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534a1defcf7f9d1a/Company Models CloudSave/RDW/"/>
    </mc:Choice>
  </mc:AlternateContent>
  <xr:revisionPtr revIDLastSave="2282" documentId="8_{9D7C6FB3-E889-4C6A-A4F2-1ECF6CB88BB2}" xr6:coauthVersionLast="47" xr6:coauthVersionMax="47" xr10:uidLastSave="{41E206B8-ECA8-4296-8ACB-DA01653FBED7}"/>
  <bookViews>
    <workbookView xWindow="3000" yWindow="1530" windowWidth="34080" windowHeight="19020" activeTab="2" xr2:uid="{C970BFA8-84D0-4F74-AB89-871C65EF2168}"/>
  </bookViews>
  <sheets>
    <sheet name="Main" sheetId="3" r:id="rId1"/>
    <sheet name="Info" sheetId="2" r:id="rId2"/>
    <sheet name="Model"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7" i="1" l="1"/>
  <c r="N12" i="1"/>
  <c r="N28" i="1"/>
  <c r="N27" i="1"/>
  <c r="N26" i="1"/>
  <c r="N18" i="1"/>
  <c r="N17" i="1"/>
  <c r="N16" i="1"/>
  <c r="R28" i="1"/>
  <c r="R27" i="1"/>
  <c r="R26" i="1"/>
  <c r="R18" i="1"/>
  <c r="R17" i="1"/>
  <c r="R16" i="1"/>
  <c r="R55" i="1"/>
  <c r="R54" i="1"/>
  <c r="R52" i="1"/>
  <c r="R50" i="1"/>
  <c r="R49" i="1"/>
  <c r="R38" i="1"/>
  <c r="R37" i="1"/>
  <c r="R45" i="1"/>
  <c r="R44" i="1"/>
  <c r="R43" i="1"/>
  <c r="R42" i="1"/>
  <c r="R41" i="1"/>
  <c r="S118" i="1"/>
  <c r="G13" i="1"/>
  <c r="H13" i="1"/>
  <c r="H14" i="1" s="1"/>
  <c r="I13" i="1"/>
  <c r="I14" i="1" s="1"/>
  <c r="K13" i="1"/>
  <c r="K14" i="1" s="1"/>
  <c r="L13" i="1"/>
  <c r="L14" i="1" s="1"/>
  <c r="M13" i="1"/>
  <c r="O13" i="1"/>
  <c r="P13" i="1"/>
  <c r="Q13" i="1"/>
  <c r="Q14" i="1" s="1"/>
  <c r="S13" i="1"/>
  <c r="S14" i="1" s="1"/>
  <c r="T13" i="1"/>
  <c r="T14" i="1" s="1"/>
  <c r="U13" i="1"/>
  <c r="U14" i="1" s="1"/>
  <c r="V13" i="1"/>
  <c r="V14" i="1" s="1"/>
  <c r="G14" i="1"/>
  <c r="M14" i="1"/>
  <c r="O14" i="1"/>
  <c r="P14" i="1"/>
  <c r="F13" i="1"/>
  <c r="F14" i="1" s="1"/>
  <c r="G29" i="1"/>
  <c r="G31" i="1" s="1"/>
  <c r="G34" i="1" s="1"/>
  <c r="H29" i="1"/>
  <c r="H33" i="1" s="1"/>
  <c r="I29" i="1"/>
  <c r="I33" i="1" s="1"/>
  <c r="J29" i="1"/>
  <c r="J31" i="1" s="1"/>
  <c r="J34" i="1" s="1"/>
  <c r="K29" i="1"/>
  <c r="K31" i="1" s="1"/>
  <c r="L29" i="1"/>
  <c r="L33" i="1" s="1"/>
  <c r="M29" i="1"/>
  <c r="M33" i="1" s="1"/>
  <c r="O29" i="1"/>
  <c r="O33" i="1" s="1"/>
  <c r="P29" i="1"/>
  <c r="P33" i="1" s="1"/>
  <c r="Q29" i="1"/>
  <c r="Q32" i="1" s="1"/>
  <c r="S29" i="1"/>
  <c r="S31" i="1" s="1"/>
  <c r="T29" i="1"/>
  <c r="T31" i="1" s="1"/>
  <c r="U29" i="1"/>
  <c r="U33" i="1" s="1"/>
  <c r="V29" i="1"/>
  <c r="V33" i="1" s="1"/>
  <c r="U31" i="1"/>
  <c r="V31" i="1"/>
  <c r="G32" i="1"/>
  <c r="H32" i="1"/>
  <c r="J32" i="1"/>
  <c r="P32" i="1"/>
  <c r="U32" i="1"/>
  <c r="V32" i="1"/>
  <c r="G33" i="1"/>
  <c r="J33" i="1"/>
  <c r="U34" i="1"/>
  <c r="V34" i="1"/>
  <c r="F29" i="1"/>
  <c r="F33" i="1" s="1"/>
  <c r="G19" i="1"/>
  <c r="G23" i="1" s="1"/>
  <c r="H19" i="1"/>
  <c r="H22" i="1" s="1"/>
  <c r="I19" i="1"/>
  <c r="I22" i="1" s="1"/>
  <c r="J19" i="1"/>
  <c r="J22" i="1" s="1"/>
  <c r="K19" i="1"/>
  <c r="K21" i="1" s="1"/>
  <c r="L19" i="1"/>
  <c r="L21" i="1" s="1"/>
  <c r="M19" i="1"/>
  <c r="O19" i="1"/>
  <c r="O23" i="1" s="1"/>
  <c r="P19" i="1"/>
  <c r="P23" i="1" s="1"/>
  <c r="Q19" i="1"/>
  <c r="Q22" i="1" s="1"/>
  <c r="S19" i="1"/>
  <c r="S21" i="1" s="1"/>
  <c r="T19" i="1"/>
  <c r="T21" i="1" s="1"/>
  <c r="U19" i="1"/>
  <c r="U22" i="1" s="1"/>
  <c r="V19" i="1"/>
  <c r="V22" i="1" s="1"/>
  <c r="G21" i="1"/>
  <c r="G24" i="1" s="1"/>
  <c r="M21" i="1"/>
  <c r="U21" i="1"/>
  <c r="V21" i="1"/>
  <c r="G22" i="1"/>
  <c r="M22" i="1"/>
  <c r="M23" i="1"/>
  <c r="U23" i="1"/>
  <c r="V23" i="1"/>
  <c r="U24" i="1"/>
  <c r="V24" i="1"/>
  <c r="F19" i="1"/>
  <c r="F22" i="1" s="1"/>
  <c r="Q119" i="1"/>
  <c r="R119" i="1"/>
  <c r="S119" i="1"/>
  <c r="U119" i="1"/>
  <c r="V119" i="1"/>
  <c r="T118" i="1"/>
  <c r="T119" i="1" s="1"/>
  <c r="R109" i="1"/>
  <c r="R107" i="1"/>
  <c r="R106" i="1"/>
  <c r="R105" i="1"/>
  <c r="R104" i="1"/>
  <c r="R103" i="1"/>
  <c r="R102" i="1"/>
  <c r="R101" i="1"/>
  <c r="R97" i="1"/>
  <c r="R96" i="1"/>
  <c r="R95" i="1"/>
  <c r="R94" i="1"/>
  <c r="R93" i="1"/>
  <c r="R92" i="1"/>
  <c r="R89" i="1"/>
  <c r="R88" i="1"/>
  <c r="R87" i="1"/>
  <c r="R86" i="1"/>
  <c r="R85" i="1"/>
  <c r="R84" i="1"/>
  <c r="R83" i="1"/>
  <c r="R82" i="1"/>
  <c r="R78" i="1"/>
  <c r="R77" i="1"/>
  <c r="R76" i="1"/>
  <c r="R75" i="1"/>
  <c r="R74" i="1"/>
  <c r="R73" i="1"/>
  <c r="R70" i="1"/>
  <c r="R69" i="1"/>
  <c r="R68" i="1"/>
  <c r="R67" i="1"/>
  <c r="R66" i="1"/>
  <c r="R65" i="1"/>
  <c r="R64" i="1"/>
  <c r="R113" i="1" s="1"/>
  <c r="Q108" i="1"/>
  <c r="Q110" i="1" s="1"/>
  <c r="S108" i="1"/>
  <c r="S110" i="1" s="1"/>
  <c r="T108" i="1"/>
  <c r="T110" i="1" s="1"/>
  <c r="U108" i="1"/>
  <c r="U110" i="1" s="1"/>
  <c r="V108" i="1"/>
  <c r="V110" i="1" s="1"/>
  <c r="Q113" i="1"/>
  <c r="S113" i="1"/>
  <c r="T113" i="1"/>
  <c r="U113" i="1"/>
  <c r="V113" i="1"/>
  <c r="Q114" i="1"/>
  <c r="S114" i="1"/>
  <c r="T114" i="1"/>
  <c r="U114" i="1"/>
  <c r="V114" i="1"/>
  <c r="V115" i="1"/>
  <c r="Q98" i="1"/>
  <c r="S98" i="1"/>
  <c r="T98" i="1"/>
  <c r="T99" i="1" s="1"/>
  <c r="U98" i="1"/>
  <c r="U99" i="1" s="1"/>
  <c r="V98" i="1"/>
  <c r="V99" i="1" s="1"/>
  <c r="Q90" i="1"/>
  <c r="S90" i="1"/>
  <c r="T90" i="1"/>
  <c r="U90" i="1"/>
  <c r="V90" i="1"/>
  <c r="Q79" i="1"/>
  <c r="S79" i="1"/>
  <c r="T79" i="1"/>
  <c r="T80" i="1" s="1"/>
  <c r="U79" i="1"/>
  <c r="V79" i="1"/>
  <c r="V80" i="1" s="1"/>
  <c r="U80" i="1"/>
  <c r="Q71" i="1"/>
  <c r="S71" i="1"/>
  <c r="T71" i="1"/>
  <c r="U71" i="1"/>
  <c r="V71" i="1"/>
  <c r="L117" i="1"/>
  <c r="L118" i="1"/>
  <c r="M118" i="1"/>
  <c r="M117" i="1"/>
  <c r="N121" i="1"/>
  <c r="N118" i="1"/>
  <c r="N117" i="1"/>
  <c r="P118" i="1"/>
  <c r="P117" i="1"/>
  <c r="Q46" i="1"/>
  <c r="S46" i="1"/>
  <c r="T46" i="1"/>
  <c r="U46" i="1"/>
  <c r="V46" i="1"/>
  <c r="Q39" i="1"/>
  <c r="S39" i="1"/>
  <c r="T39" i="1"/>
  <c r="U39" i="1"/>
  <c r="V39" i="1"/>
  <c r="AE27" i="1"/>
  <c r="AE28" i="1"/>
  <c r="AF28" i="1"/>
  <c r="AF27" i="1"/>
  <c r="AE11" i="1"/>
  <c r="AF11" i="1"/>
  <c r="AG11" i="1"/>
  <c r="AH11" i="1"/>
  <c r="AE13" i="1"/>
  <c r="AE14" i="1" s="1"/>
  <c r="AF13" i="1"/>
  <c r="AF14" i="1" s="1"/>
  <c r="AG13" i="1"/>
  <c r="AG14" i="1" s="1"/>
  <c r="AH13" i="1"/>
  <c r="AH14" i="1" s="1"/>
  <c r="AC29" i="1"/>
  <c r="AC31" i="1" s="1"/>
  <c r="AC34" i="1" s="1"/>
  <c r="AD29" i="1"/>
  <c r="AD31" i="1" s="1"/>
  <c r="AD34" i="1" s="1"/>
  <c r="AG29" i="1"/>
  <c r="AG31" i="1" s="1"/>
  <c r="AB29" i="1"/>
  <c r="AB33" i="1" s="1"/>
  <c r="AH29" i="1"/>
  <c r="AH32" i="1" s="1"/>
  <c r="AG19" i="1"/>
  <c r="AG21" i="1" s="1"/>
  <c r="AH19" i="1"/>
  <c r="AH23" i="1" s="1"/>
  <c r="AC19" i="1"/>
  <c r="AC21" i="1" s="1"/>
  <c r="AC24" i="1" s="1"/>
  <c r="AD19" i="1"/>
  <c r="AD21" i="1" s="1"/>
  <c r="AD24" i="1" s="1"/>
  <c r="AE19" i="1"/>
  <c r="AE21" i="1" s="1"/>
  <c r="AF19" i="1"/>
  <c r="AF21" i="1" s="1"/>
  <c r="AB19" i="1"/>
  <c r="AB23" i="1" s="1"/>
  <c r="AG55" i="1"/>
  <c r="AH55" i="1"/>
  <c r="AH46" i="1"/>
  <c r="AH39" i="1"/>
  <c r="AH108" i="1"/>
  <c r="AH110" i="1" s="1"/>
  <c r="AH98" i="1"/>
  <c r="AH90" i="1"/>
  <c r="AH79" i="1"/>
  <c r="AH71" i="1"/>
  <c r="M156" i="1"/>
  <c r="O156" i="1"/>
  <c r="P156" i="1"/>
  <c r="N156" i="1"/>
  <c r="G113" i="1"/>
  <c r="H113" i="1"/>
  <c r="I113" i="1"/>
  <c r="J113" i="1"/>
  <c r="K113" i="1"/>
  <c r="L113" i="1"/>
  <c r="M113" i="1"/>
  <c r="N113" i="1"/>
  <c r="O113" i="1"/>
  <c r="G114" i="1"/>
  <c r="H114" i="1"/>
  <c r="I114" i="1"/>
  <c r="J114" i="1"/>
  <c r="K114" i="1"/>
  <c r="L114" i="1"/>
  <c r="M114" i="1"/>
  <c r="N114" i="1"/>
  <c r="O114" i="1"/>
  <c r="P114" i="1"/>
  <c r="P113" i="1"/>
  <c r="B30" i="2"/>
  <c r="C30" i="2"/>
  <c r="N30" i="2"/>
  <c r="O30" i="2"/>
  <c r="N29" i="2"/>
  <c r="O29" i="2"/>
  <c r="C29" i="2"/>
  <c r="B29" i="2"/>
  <c r="D26" i="2"/>
  <c r="E26" i="2" s="1"/>
  <c r="F26" i="2" s="1"/>
  <c r="G26" i="2" s="1"/>
  <c r="H26" i="2" s="1"/>
  <c r="I26" i="2" s="1"/>
  <c r="J26" i="2" s="1"/>
  <c r="K26" i="2" s="1"/>
  <c r="L26" i="2" s="1"/>
  <c r="M26" i="2" s="1"/>
  <c r="N26" i="2" s="1"/>
  <c r="O26" i="2" s="1"/>
  <c r="P26" i="2" s="1"/>
  <c r="Q26" i="2" s="1"/>
  <c r="R26" i="2" s="1"/>
  <c r="S26" i="2" s="1"/>
  <c r="T26" i="2" s="1"/>
  <c r="U26" i="2" s="1"/>
  <c r="V26" i="2" s="1"/>
  <c r="W26" i="2" s="1"/>
  <c r="X26" i="2" s="1"/>
  <c r="Y26" i="2" s="1"/>
  <c r="Z26" i="2" s="1"/>
  <c r="G147" i="1"/>
  <c r="H147" i="1"/>
  <c r="I147" i="1"/>
  <c r="K147" i="1"/>
  <c r="L147" i="1"/>
  <c r="M147" i="1"/>
  <c r="O147" i="1"/>
  <c r="F147" i="1"/>
  <c r="P147" i="1"/>
  <c r="AA148" i="1"/>
  <c r="AB147" i="1"/>
  <c r="AC147" i="1"/>
  <c r="AD147" i="1"/>
  <c r="AE147" i="1"/>
  <c r="AF147" i="1"/>
  <c r="AA147" i="1"/>
  <c r="AG147" i="1"/>
  <c r="G139" i="1"/>
  <c r="G138" i="1" s="1"/>
  <c r="H139" i="1"/>
  <c r="H138" i="1" s="1"/>
  <c r="I139" i="1"/>
  <c r="I138" i="1" s="1"/>
  <c r="J139" i="1"/>
  <c r="J138" i="1" s="1"/>
  <c r="K139" i="1"/>
  <c r="K138" i="1" s="1"/>
  <c r="L139" i="1"/>
  <c r="L138" i="1" s="1"/>
  <c r="M139" i="1"/>
  <c r="M138" i="1" s="1"/>
  <c r="N139" i="1"/>
  <c r="N138" i="1" s="1"/>
  <c r="O139" i="1"/>
  <c r="O138" i="1" s="1"/>
  <c r="P139" i="1"/>
  <c r="P138" i="1" s="1"/>
  <c r="F139" i="1"/>
  <c r="F138" i="1" s="1"/>
  <c r="AB139" i="1"/>
  <c r="AB138" i="1" s="1"/>
  <c r="AC139" i="1"/>
  <c r="AC138" i="1" s="1"/>
  <c r="AD139" i="1"/>
  <c r="AD138" i="1" s="1"/>
  <c r="AE139" i="1"/>
  <c r="AE138" i="1" s="1"/>
  <c r="AE140" i="1" s="1"/>
  <c r="AF139" i="1"/>
  <c r="AF138" i="1" s="1"/>
  <c r="AF140" i="1" s="1"/>
  <c r="AA139" i="1"/>
  <c r="AA138" i="1" s="1"/>
  <c r="AG139" i="1"/>
  <c r="AG138" i="1" s="1"/>
  <c r="B6" i="3"/>
  <c r="B3" i="3" a="1"/>
  <c r="B3" i="3" s="1"/>
  <c r="B2" i="3" a="1"/>
  <c r="B2" i="3" s="1"/>
  <c r="T111" i="1" l="1"/>
  <c r="V111" i="1"/>
  <c r="J21" i="1"/>
  <c r="J24" i="1" s="1"/>
  <c r="H21" i="1"/>
  <c r="H24" i="1" s="1"/>
  <c r="J23" i="1"/>
  <c r="Q31" i="1"/>
  <c r="H23" i="1"/>
  <c r="P31" i="1"/>
  <c r="P34" i="1" s="1"/>
  <c r="Q99" i="1"/>
  <c r="U115" i="1"/>
  <c r="H31" i="1"/>
  <c r="H34" i="1" s="1"/>
  <c r="U111" i="1"/>
  <c r="T115" i="1"/>
  <c r="I32" i="1"/>
  <c r="I31" i="1"/>
  <c r="I23" i="1"/>
  <c r="I21" i="1"/>
  <c r="N29" i="1"/>
  <c r="N33" i="1" s="1"/>
  <c r="N19" i="1"/>
  <c r="N21" i="1" s="1"/>
  <c r="R29" i="1"/>
  <c r="R32" i="1" s="1"/>
  <c r="R19" i="1"/>
  <c r="R22" i="1" s="1"/>
  <c r="R39" i="1"/>
  <c r="R13" i="1"/>
  <c r="R14" i="1" s="1"/>
  <c r="R46" i="1"/>
  <c r="R47" i="1" s="1"/>
  <c r="R51" i="1" s="1"/>
  <c r="R53" i="1" s="1"/>
  <c r="R56" i="1" s="1"/>
  <c r="R58" i="1" s="1"/>
  <c r="K32" i="1"/>
  <c r="K33" i="1"/>
  <c r="K34" i="1" s="1"/>
  <c r="K23" i="1"/>
  <c r="K22" i="1"/>
  <c r="L31" i="1"/>
  <c r="L32" i="1"/>
  <c r="L22" i="1"/>
  <c r="L24" i="1" s="1"/>
  <c r="L23" i="1"/>
  <c r="M31" i="1"/>
  <c r="M32" i="1"/>
  <c r="M24" i="1"/>
  <c r="Q23" i="1"/>
  <c r="Q21" i="1"/>
  <c r="Q115" i="1"/>
  <c r="Q111" i="1"/>
  <c r="Q80" i="1"/>
  <c r="O32" i="1"/>
  <c r="O31" i="1"/>
  <c r="O34" i="1" s="1"/>
  <c r="O22" i="1"/>
  <c r="O21" i="1"/>
  <c r="S99" i="1"/>
  <c r="S111" i="1" s="1"/>
  <c r="S115" i="1"/>
  <c r="S80" i="1"/>
  <c r="T33" i="1"/>
  <c r="S33" i="1"/>
  <c r="T32" i="1"/>
  <c r="T34" i="1" s="1"/>
  <c r="Q33" i="1"/>
  <c r="Q34" i="1" s="1"/>
  <c r="S32" i="1"/>
  <c r="S34" i="1" s="1"/>
  <c r="F32" i="1"/>
  <c r="F31" i="1"/>
  <c r="F34" i="1" s="1"/>
  <c r="P21" i="1"/>
  <c r="P22" i="1"/>
  <c r="T23" i="1"/>
  <c r="S23" i="1"/>
  <c r="T22" i="1"/>
  <c r="T24" i="1" s="1"/>
  <c r="S22" i="1"/>
  <c r="F23" i="1"/>
  <c r="F21" i="1"/>
  <c r="F24" i="1" s="1"/>
  <c r="R108" i="1"/>
  <c r="R110" i="1" s="1"/>
  <c r="R98" i="1"/>
  <c r="R90" i="1"/>
  <c r="R114" i="1"/>
  <c r="R115" i="1" s="1"/>
  <c r="R79" i="1"/>
  <c r="R71" i="1"/>
  <c r="AE29" i="1"/>
  <c r="AE31" i="1" s="1"/>
  <c r="T47" i="1"/>
  <c r="T51" i="1" s="1"/>
  <c r="T53" i="1" s="1"/>
  <c r="T56" i="1" s="1"/>
  <c r="T58" i="1" s="1"/>
  <c r="S47" i="1"/>
  <c r="S51" i="1" s="1"/>
  <c r="S53" i="1" s="1"/>
  <c r="V47" i="1"/>
  <c r="V51" i="1" s="1"/>
  <c r="V53" i="1" s="1"/>
  <c r="V56" i="1" s="1"/>
  <c r="AF29" i="1"/>
  <c r="AF31" i="1" s="1"/>
  <c r="U47" i="1"/>
  <c r="U51" i="1" s="1"/>
  <c r="U53" i="1" s="1"/>
  <c r="U56" i="1" s="1"/>
  <c r="Q47" i="1"/>
  <c r="Q51" i="1" s="1"/>
  <c r="Q53" i="1" s="1"/>
  <c r="Q56" i="1" s="1"/>
  <c r="Q58" i="1" s="1"/>
  <c r="AH33" i="1"/>
  <c r="AC33" i="1"/>
  <c r="AD32" i="1"/>
  <c r="AG33" i="1"/>
  <c r="AD33" i="1"/>
  <c r="AG32" i="1"/>
  <c r="AH31" i="1"/>
  <c r="AC32" i="1"/>
  <c r="AB31" i="1"/>
  <c r="AB34" i="1" s="1"/>
  <c r="AB32" i="1"/>
  <c r="AG23" i="1"/>
  <c r="K115" i="1"/>
  <c r="J115" i="1"/>
  <c r="AB21" i="1"/>
  <c r="AB24" i="1" s="1"/>
  <c r="AF23" i="1"/>
  <c r="AC22" i="1"/>
  <c r="AE23" i="1"/>
  <c r="AD23" i="1"/>
  <c r="AC23" i="1"/>
  <c r="AH21" i="1"/>
  <c r="AG22" i="1"/>
  <c r="AH22" i="1"/>
  <c r="AF22" i="1"/>
  <c r="AE22" i="1"/>
  <c r="AD22" i="1"/>
  <c r="AB22" i="1"/>
  <c r="P115" i="1"/>
  <c r="L115" i="1"/>
  <c r="M115" i="1"/>
  <c r="H115" i="1"/>
  <c r="N115" i="1"/>
  <c r="G115" i="1"/>
  <c r="AH80" i="1"/>
  <c r="O115" i="1"/>
  <c r="I115" i="1"/>
  <c r="AH99" i="1"/>
  <c r="AH111" i="1" s="1"/>
  <c r="AH47" i="1"/>
  <c r="AH51" i="1" s="1"/>
  <c r="AH53" i="1" s="1"/>
  <c r="AH56" i="1" s="1"/>
  <c r="AH58" i="1" s="1"/>
  <c r="AG140" i="1"/>
  <c r="H140" i="1"/>
  <c r="G140" i="1"/>
  <c r="AA141" i="1"/>
  <c r="AA140" i="1"/>
  <c r="AA142" i="1"/>
  <c r="F140" i="1"/>
  <c r="I140" i="1"/>
  <c r="AD140" i="1"/>
  <c r="AC140" i="1"/>
  <c r="AB140" i="1"/>
  <c r="B4" i="3"/>
  <c r="B7" i="3" s="1"/>
  <c r="S56" i="1" l="1"/>
  <c r="S58" i="1" s="1"/>
  <c r="AF32" i="1"/>
  <c r="I34" i="1"/>
  <c r="I24" i="1"/>
  <c r="N32" i="1"/>
  <c r="N31" i="1"/>
  <c r="N34" i="1" s="1"/>
  <c r="N22" i="1"/>
  <c r="N23" i="1"/>
  <c r="R33" i="1"/>
  <c r="R31" i="1"/>
  <c r="R23" i="1"/>
  <c r="R21" i="1"/>
  <c r="K24" i="1"/>
  <c r="L34" i="1"/>
  <c r="M34" i="1"/>
  <c r="Q24" i="1"/>
  <c r="O24" i="1"/>
  <c r="S24" i="1"/>
  <c r="P24" i="1"/>
  <c r="R99" i="1"/>
  <c r="R111" i="1" s="1"/>
  <c r="R80" i="1"/>
  <c r="AE33" i="1"/>
  <c r="AE32" i="1"/>
  <c r="AF33" i="1"/>
  <c r="AF34" i="1" s="1"/>
  <c r="AE24" i="1"/>
  <c r="AF24" i="1"/>
  <c r="AH34" i="1"/>
  <c r="AG34" i="1"/>
  <c r="AG24" i="1"/>
  <c r="AH24" i="1"/>
  <c r="J117" i="1"/>
  <c r="J55" i="1"/>
  <c r="J52" i="1"/>
  <c r="J50" i="1"/>
  <c r="J49" i="1"/>
  <c r="J45" i="1"/>
  <c r="J44" i="1"/>
  <c r="J43" i="1"/>
  <c r="J42" i="1"/>
  <c r="J41" i="1"/>
  <c r="J38" i="1"/>
  <c r="J37" i="1"/>
  <c r="N55" i="1"/>
  <c r="N52" i="1"/>
  <c r="N50" i="1"/>
  <c r="N49" i="1"/>
  <c r="N45" i="1"/>
  <c r="N44" i="1"/>
  <c r="N43" i="1"/>
  <c r="N42" i="1"/>
  <c r="N41" i="1"/>
  <c r="N38" i="1"/>
  <c r="N37" i="1"/>
  <c r="N13" i="1" s="1"/>
  <c r="N14" i="1" s="1"/>
  <c r="I118" i="1"/>
  <c r="I119" i="1" s="1"/>
  <c r="O118" i="1"/>
  <c r="O119" i="1" s="1"/>
  <c r="K118" i="1"/>
  <c r="K119" i="1" s="1"/>
  <c r="P46" i="1"/>
  <c r="P39" i="1"/>
  <c r="P108" i="1"/>
  <c r="P110" i="1" s="1"/>
  <c r="P98" i="1"/>
  <c r="P90" i="1"/>
  <c r="P79" i="1"/>
  <c r="G39" i="1"/>
  <c r="H39" i="1"/>
  <c r="I39" i="1"/>
  <c r="K39" i="1"/>
  <c r="L39" i="1"/>
  <c r="M39" i="1"/>
  <c r="O39" i="1"/>
  <c r="G46" i="1"/>
  <c r="H46" i="1"/>
  <c r="I46" i="1"/>
  <c r="K46" i="1"/>
  <c r="L46" i="1"/>
  <c r="M46" i="1"/>
  <c r="O46" i="1"/>
  <c r="G71" i="1"/>
  <c r="H71" i="1"/>
  <c r="I71" i="1"/>
  <c r="J71" i="1"/>
  <c r="K71" i="1"/>
  <c r="L71" i="1"/>
  <c r="M71" i="1"/>
  <c r="N71" i="1"/>
  <c r="O71" i="1"/>
  <c r="G79" i="1"/>
  <c r="H79" i="1"/>
  <c r="I79" i="1"/>
  <c r="J79" i="1"/>
  <c r="K79" i="1"/>
  <c r="L79" i="1"/>
  <c r="M79" i="1"/>
  <c r="N79" i="1"/>
  <c r="O79" i="1"/>
  <c r="G90" i="1"/>
  <c r="H90" i="1"/>
  <c r="I90" i="1"/>
  <c r="J90" i="1"/>
  <c r="K90" i="1"/>
  <c r="L90" i="1"/>
  <c r="M90" i="1"/>
  <c r="N90" i="1"/>
  <c r="O90" i="1"/>
  <c r="G98" i="1"/>
  <c r="H98" i="1"/>
  <c r="I98" i="1"/>
  <c r="J98" i="1"/>
  <c r="K98" i="1"/>
  <c r="L98" i="1"/>
  <c r="M98" i="1"/>
  <c r="N98" i="1"/>
  <c r="O98" i="1"/>
  <c r="G108" i="1"/>
  <c r="G110" i="1" s="1"/>
  <c r="H108" i="1"/>
  <c r="H110" i="1" s="1"/>
  <c r="I108" i="1"/>
  <c r="I110" i="1" s="1"/>
  <c r="I142" i="1" s="1"/>
  <c r="J108" i="1"/>
  <c r="J110" i="1" s="1"/>
  <c r="J142" i="1" s="1"/>
  <c r="K108" i="1"/>
  <c r="K110" i="1" s="1"/>
  <c r="K142" i="1" s="1"/>
  <c r="L108" i="1"/>
  <c r="L110" i="1" s="1"/>
  <c r="L142" i="1" s="1"/>
  <c r="M108" i="1"/>
  <c r="M110" i="1" s="1"/>
  <c r="M142" i="1" s="1"/>
  <c r="N108" i="1"/>
  <c r="N110" i="1" s="1"/>
  <c r="N142" i="1" s="1"/>
  <c r="O108" i="1"/>
  <c r="O110" i="1" s="1"/>
  <c r="O142" i="1" s="1"/>
  <c r="G119" i="1"/>
  <c r="G149" i="1" s="1"/>
  <c r="H119" i="1"/>
  <c r="F119" i="1"/>
  <c r="F149" i="1" s="1"/>
  <c r="F108" i="1"/>
  <c r="F110" i="1" s="1"/>
  <c r="F142" i="1" s="1"/>
  <c r="F98" i="1"/>
  <c r="F90" i="1"/>
  <c r="F79" i="1"/>
  <c r="F71" i="1"/>
  <c r="F46" i="1"/>
  <c r="F39" i="1"/>
  <c r="P71" i="1"/>
  <c r="AE65" i="1"/>
  <c r="AE71" i="1" s="1"/>
  <c r="AE39" i="1"/>
  <c r="AE46" i="1"/>
  <c r="AE79" i="1"/>
  <c r="AE90" i="1"/>
  <c r="AE98" i="1"/>
  <c r="AE108" i="1"/>
  <c r="AE110" i="1" s="1"/>
  <c r="AE142" i="1" s="1"/>
  <c r="AF39" i="1"/>
  <c r="AG39" i="1"/>
  <c r="AF46" i="1"/>
  <c r="AG46" i="1"/>
  <c r="AF71" i="1"/>
  <c r="AG71" i="1"/>
  <c r="AF79" i="1"/>
  <c r="AG79" i="1"/>
  <c r="AF90" i="1"/>
  <c r="AG90" i="1"/>
  <c r="AF98" i="1"/>
  <c r="AG98" i="1"/>
  <c r="AF108" i="1"/>
  <c r="AF110" i="1" s="1"/>
  <c r="AF142" i="1" s="1"/>
  <c r="AG108" i="1"/>
  <c r="AG110" i="1" s="1"/>
  <c r="AG142" i="1" s="1"/>
  <c r="AC108" i="1"/>
  <c r="AC110" i="1" s="1"/>
  <c r="AD108" i="1"/>
  <c r="AD110" i="1" s="1"/>
  <c r="AB108" i="1"/>
  <c r="AB110" i="1" s="1"/>
  <c r="AC98" i="1"/>
  <c r="AD98" i="1"/>
  <c r="AB98" i="1"/>
  <c r="AC90" i="1"/>
  <c r="AD90" i="1"/>
  <c r="AB90" i="1"/>
  <c r="AC79" i="1"/>
  <c r="AD79" i="1"/>
  <c r="AB79" i="1"/>
  <c r="AC71" i="1"/>
  <c r="AD71" i="1"/>
  <c r="AB71" i="1"/>
  <c r="AC46" i="1"/>
  <c r="AD46" i="1"/>
  <c r="AB46" i="1"/>
  <c r="AC39" i="1"/>
  <c r="AD39" i="1"/>
  <c r="AB39" i="1"/>
  <c r="Y119" i="1"/>
  <c r="Z119" i="1"/>
  <c r="AA119" i="1"/>
  <c r="AB119" i="1"/>
  <c r="AC119" i="1"/>
  <c r="AD119" i="1"/>
  <c r="AE119" i="1"/>
  <c r="AF119" i="1"/>
  <c r="X119" i="1"/>
  <c r="AG119" i="1"/>
  <c r="R24" i="1" l="1"/>
  <c r="J147" i="1"/>
  <c r="J13" i="1"/>
  <c r="J14" i="1" s="1"/>
  <c r="N24" i="1"/>
  <c r="R34" i="1"/>
  <c r="AE34" i="1"/>
  <c r="O149" i="1"/>
  <c r="AF99" i="1"/>
  <c r="P119" i="1"/>
  <c r="AG80" i="1"/>
  <c r="AD47" i="1"/>
  <c r="AD51" i="1" s="1"/>
  <c r="AD53" i="1" s="1"/>
  <c r="AD56" i="1" s="1"/>
  <c r="AD141" i="1" s="1"/>
  <c r="AG47" i="1"/>
  <c r="AG51" i="1" s="1"/>
  <c r="AG53" i="1" s="1"/>
  <c r="AG56" i="1" s="1"/>
  <c r="AG141" i="1" s="1"/>
  <c r="F47" i="1"/>
  <c r="F51" i="1" s="1"/>
  <c r="F53" i="1" s="1"/>
  <c r="H80" i="1"/>
  <c r="AB47" i="1"/>
  <c r="AB51" i="1" s="1"/>
  <c r="AB53" i="1" s="1"/>
  <c r="AB56" i="1" s="1"/>
  <c r="AB148" i="1" s="1"/>
  <c r="AC47" i="1"/>
  <c r="AC51" i="1" s="1"/>
  <c r="AC53" i="1" s="1"/>
  <c r="AC56" i="1" s="1"/>
  <c r="K47" i="1"/>
  <c r="K51" i="1" s="1"/>
  <c r="K53" i="1" s="1"/>
  <c r="AF80" i="1"/>
  <c r="AD99" i="1"/>
  <c r="AD111" i="1" s="1"/>
  <c r="AC99" i="1"/>
  <c r="AC111" i="1" s="1"/>
  <c r="AF47" i="1"/>
  <c r="AF51" i="1" s="1"/>
  <c r="AF53" i="1" s="1"/>
  <c r="AF56" i="1" s="1"/>
  <c r="AF58" i="1" s="1"/>
  <c r="AC80" i="1"/>
  <c r="AG99" i="1"/>
  <c r="AG111" i="1" s="1"/>
  <c r="AF111" i="1"/>
  <c r="AD80" i="1"/>
  <c r="H149" i="1"/>
  <c r="G99" i="1"/>
  <c r="G111" i="1" s="1"/>
  <c r="AB99" i="1"/>
  <c r="AB111" i="1" s="1"/>
  <c r="I149" i="1"/>
  <c r="AB143" i="1"/>
  <c r="AB149" i="1"/>
  <c r="K149" i="1"/>
  <c r="N147" i="1"/>
  <c r="AA143" i="1"/>
  <c r="AA149" i="1"/>
  <c r="H99" i="1"/>
  <c r="H111" i="1" s="1"/>
  <c r="F80" i="1"/>
  <c r="AE143" i="1"/>
  <c r="AE149" i="1"/>
  <c r="N80" i="1"/>
  <c r="AG143" i="1"/>
  <c r="AG149" i="1"/>
  <c r="AF143" i="1"/>
  <c r="AF149" i="1"/>
  <c r="AD143" i="1"/>
  <c r="AD149" i="1"/>
  <c r="P80" i="1"/>
  <c r="AC143" i="1"/>
  <c r="AC149" i="1"/>
  <c r="AB142" i="1"/>
  <c r="AD142" i="1"/>
  <c r="AC142" i="1"/>
  <c r="H142" i="1"/>
  <c r="N140" i="1"/>
  <c r="O140" i="1"/>
  <c r="P140" i="1"/>
  <c r="G142" i="1"/>
  <c r="G80" i="1"/>
  <c r="I143" i="1"/>
  <c r="J99" i="1"/>
  <c r="J111" i="1" s="1"/>
  <c r="J118" i="1"/>
  <c r="J119" i="1" s="1"/>
  <c r="J149" i="1" s="1"/>
  <c r="N99" i="1"/>
  <c r="N111" i="1" s="1"/>
  <c r="F143" i="1"/>
  <c r="G143" i="1"/>
  <c r="H143" i="1"/>
  <c r="H47" i="1"/>
  <c r="H51" i="1" s="1"/>
  <c r="H53" i="1" s="1"/>
  <c r="H56" i="1" s="1"/>
  <c r="P99" i="1"/>
  <c r="P111" i="1" s="1"/>
  <c r="P142" i="1"/>
  <c r="F99" i="1"/>
  <c r="F111" i="1" s="1"/>
  <c r="AB80" i="1"/>
  <c r="L140" i="1"/>
  <c r="J140" i="1"/>
  <c r="M140" i="1"/>
  <c r="K140" i="1"/>
  <c r="I99" i="1"/>
  <c r="I111" i="1" s="1"/>
  <c r="I80" i="1"/>
  <c r="AE47" i="1"/>
  <c r="AE51" i="1" s="1"/>
  <c r="J46" i="1"/>
  <c r="J39" i="1"/>
  <c r="N46" i="1"/>
  <c r="N39" i="1"/>
  <c r="G47" i="1"/>
  <c r="G51" i="1" s="1"/>
  <c r="G53" i="1" s="1"/>
  <c r="K99" i="1"/>
  <c r="K111" i="1" s="1"/>
  <c r="J80" i="1"/>
  <c r="K80" i="1"/>
  <c r="L99" i="1"/>
  <c r="L111" i="1" s="1"/>
  <c r="L80" i="1"/>
  <c r="M99" i="1"/>
  <c r="M111" i="1" s="1"/>
  <c r="M80" i="1"/>
  <c r="I47" i="1"/>
  <c r="I51" i="1" s="1"/>
  <c r="I53" i="1" s="1"/>
  <c r="I56" i="1" s="1"/>
  <c r="M47" i="1"/>
  <c r="M51" i="1" s="1"/>
  <c r="M53" i="1" s="1"/>
  <c r="M56" i="1" s="1"/>
  <c r="O47" i="1"/>
  <c r="O51" i="1" s="1"/>
  <c r="O53" i="1" s="1"/>
  <c r="O99" i="1"/>
  <c r="O111" i="1" s="1"/>
  <c r="O80" i="1"/>
  <c r="L47" i="1"/>
  <c r="L51" i="1" s="1"/>
  <c r="L53" i="1" s="1"/>
  <c r="L56" i="1" s="1"/>
  <c r="P47" i="1"/>
  <c r="P51" i="1" s="1"/>
  <c r="P53" i="1" s="1"/>
  <c r="P56" i="1" s="1"/>
  <c r="P58" i="1" s="1"/>
  <c r="AE99" i="1"/>
  <c r="AE111" i="1" s="1"/>
  <c r="AE80" i="1"/>
  <c r="O56" i="1" l="1"/>
  <c r="O60" i="1" s="1"/>
  <c r="F56" i="1"/>
  <c r="G56" i="1"/>
  <c r="G58" i="1" s="1"/>
  <c r="AD58" i="1"/>
  <c r="K56" i="1"/>
  <c r="K144" i="1" s="1"/>
  <c r="AG58" i="1"/>
  <c r="AD148" i="1"/>
  <c r="AC58" i="1"/>
  <c r="AC141" i="1"/>
  <c r="AB141" i="1"/>
  <c r="AB58" i="1"/>
  <c r="AC148" i="1"/>
  <c r="AF141" i="1"/>
  <c r="AG148" i="1"/>
  <c r="K143" i="1"/>
  <c r="L144" i="1"/>
  <c r="L148" i="1"/>
  <c r="M144" i="1"/>
  <c r="M148" i="1"/>
  <c r="H148" i="1"/>
  <c r="H144" i="1"/>
  <c r="G148" i="1"/>
  <c r="G144" i="1"/>
  <c r="O144" i="1"/>
  <c r="O148" i="1"/>
  <c r="P144" i="1"/>
  <c r="P148" i="1"/>
  <c r="I148" i="1"/>
  <c r="I144" i="1"/>
  <c r="L58" i="1"/>
  <c r="H58" i="1"/>
  <c r="H141" i="1"/>
  <c r="I141" i="1"/>
  <c r="L119" i="1"/>
  <c r="L149" i="1" s="1"/>
  <c r="M58" i="1"/>
  <c r="I58" i="1"/>
  <c r="AE53" i="1"/>
  <c r="AE56" i="1" s="1"/>
  <c r="J143" i="1"/>
  <c r="J47" i="1"/>
  <c r="J51" i="1" s="1"/>
  <c r="J53" i="1" s="1"/>
  <c r="J56" i="1" s="1"/>
  <c r="N47" i="1"/>
  <c r="N51" i="1" s="1"/>
  <c r="N53" i="1" s="1"/>
  <c r="K148" i="1" l="1"/>
  <c r="N56" i="1"/>
  <c r="P141" i="1" s="1"/>
  <c r="F144" i="1"/>
  <c r="F141" i="1"/>
  <c r="F58" i="1"/>
  <c r="F148" i="1"/>
  <c r="K58" i="1"/>
  <c r="G141" i="1"/>
  <c r="P149" i="1"/>
  <c r="N144" i="1"/>
  <c r="N148" i="1"/>
  <c r="L141" i="1"/>
  <c r="J148" i="1"/>
  <c r="J144" i="1"/>
  <c r="AE148" i="1"/>
  <c r="AF148" i="1"/>
  <c r="AE58" i="1"/>
  <c r="AE141" i="1"/>
  <c r="L143" i="1"/>
  <c r="K141" i="1"/>
  <c r="N119" i="1"/>
  <c r="N149" i="1" s="1"/>
  <c r="M119" i="1"/>
  <c r="N58" i="1"/>
  <c r="N141" i="1"/>
  <c r="J58" i="1"/>
  <c r="M141" i="1"/>
  <c r="J141" i="1"/>
  <c r="O141" i="1"/>
  <c r="M149" i="1" l="1"/>
  <c r="P143" i="1"/>
  <c r="N143" i="1"/>
  <c r="M143" i="1"/>
  <c r="O14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6" authorId="0" shapeId="0" xr:uid="{8A037AE9-E2FE-4D9E-B7D8-6CA1D62AF130}">
      <text>
        <r>
          <rPr>
            <b/>
            <sz val="9"/>
            <color indexed="81"/>
            <rFont val="Tahoma"/>
            <family val="2"/>
          </rPr>
          <t>William:</t>
        </r>
        <r>
          <rPr>
            <sz val="9"/>
            <color indexed="81"/>
            <rFont val="Tahoma"/>
            <family val="2"/>
          </rPr>
          <t xml:space="preserve">
Includes: 
- short-term debt
- short-term operating lease liabilities
-long-term debt
- long-term operating lease liabilities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P56" authorId="0" shapeId="0" xr:uid="{B37BDC9E-2373-400E-9FE8-CF958749802D}">
      <text>
        <r>
          <rPr>
            <b/>
            <sz val="9"/>
            <color indexed="81"/>
            <rFont val="Tahoma"/>
            <family val="2"/>
          </rPr>
          <t>William:</t>
        </r>
        <r>
          <rPr>
            <sz val="9"/>
            <color indexed="81"/>
            <rFont val="Tahoma"/>
            <family val="2"/>
          </rPr>
          <t xml:space="preserve">
Includes "dividends on Convertible Preferred Stock"</t>
        </r>
      </text>
    </comment>
    <comment ref="AE65" authorId="0" shapeId="0" xr:uid="{62E24F91-3BF0-4850-B48F-8F9F5CD85DDD}">
      <text>
        <r>
          <rPr>
            <b/>
            <sz val="9"/>
            <color indexed="81"/>
            <rFont val="Tahoma"/>
            <family val="2"/>
          </rPr>
          <t>William:</t>
        </r>
        <r>
          <rPr>
            <sz val="9"/>
            <color indexed="81"/>
            <rFont val="Tahoma"/>
            <family val="2"/>
          </rPr>
          <t xml:space="preserve">
Includes "Related party recievable"</t>
        </r>
      </text>
    </comment>
    <comment ref="N123" authorId="0" shapeId="0" xr:uid="{13737764-E9A8-48E2-838F-F7998194BDBE}">
      <text>
        <r>
          <rPr>
            <b/>
            <sz val="9"/>
            <color indexed="81"/>
            <rFont val="Tahoma"/>
            <family val="2"/>
          </rPr>
          <t>William:
- "Shares repurchased for setllement of employee tax witholdings on share-based awards."</t>
        </r>
      </text>
    </comment>
    <comment ref="AG123" authorId="0" shapeId="0" xr:uid="{B7CD0959-F111-4047-8F12-1F33BF675B36}">
      <text>
        <r>
          <rPr>
            <b/>
            <sz val="9"/>
            <color indexed="81"/>
            <rFont val="Tahoma"/>
            <family val="2"/>
          </rPr>
          <t>William:
- "Shares repurchased for setllement of employee tax witholdings on share-based awards."</t>
        </r>
      </text>
    </comment>
    <comment ref="P124" authorId="0" shapeId="0" xr:uid="{1A3996DE-62BA-43A6-B770-E00E7EAD569A}">
      <text>
        <r>
          <rPr>
            <b/>
            <sz val="9"/>
            <color indexed="81"/>
            <rFont val="Tahoma"/>
            <family val="2"/>
          </rPr>
          <t>William:</t>
        </r>
        <r>
          <rPr>
            <sz val="9"/>
            <color indexed="81"/>
            <rFont val="Tahoma"/>
            <family val="2"/>
          </rPr>
          <t xml:space="preserve">
Dividends for only "Preferred Convertible" stock. Can be found at the bottom of the income statement.</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<sst xmlns="http://schemas.openxmlformats.org/spreadsheetml/2006/main" count="257" uniqueCount="223">
  <si>
    <t>Quarter</t>
  </si>
  <si>
    <t>Filing Date</t>
  </si>
  <si>
    <t>Period of Report</t>
  </si>
  <si>
    <t>Stock Prices</t>
  </si>
  <si>
    <t>Income Statement</t>
  </si>
  <si>
    <t>Balance Sheet *in thousands, USD</t>
  </si>
  <si>
    <t>Current Assets</t>
  </si>
  <si>
    <t>Cash &amp; cash equivalents</t>
  </si>
  <si>
    <t>AR</t>
  </si>
  <si>
    <t>Contract assets</t>
  </si>
  <si>
    <t>Inventory</t>
  </si>
  <si>
    <t>Income taxes receivable</t>
  </si>
  <si>
    <t>Prepaid insurance</t>
  </si>
  <si>
    <t>Prepaid expenses, and other current assets</t>
  </si>
  <si>
    <t>Total Current Assets</t>
  </si>
  <si>
    <t>Non-current Assets</t>
  </si>
  <si>
    <t>Right-of-use assets</t>
  </si>
  <si>
    <t>Intangible assets, net</t>
  </si>
  <si>
    <t>Goodwill</t>
  </si>
  <si>
    <t>Equity method investments</t>
  </si>
  <si>
    <t>Other non-current assets</t>
  </si>
  <si>
    <t>Total Non-current Assets</t>
  </si>
  <si>
    <t>Total Assets</t>
  </si>
  <si>
    <t>Current Liabilities</t>
  </si>
  <si>
    <t>AP</t>
  </si>
  <si>
    <t>Notes payable to sellers</t>
  </si>
  <si>
    <t>Short-term debt. Including current portion of long-term debt</t>
  </si>
  <si>
    <t>Short-term operating lease liabilities</t>
  </si>
  <si>
    <t>Short-term finance lease liabilities</t>
  </si>
  <si>
    <t>Accrued expenses</t>
  </si>
  <si>
    <t>Deferred revenue</t>
  </si>
  <si>
    <t>Other current liabilities</t>
  </si>
  <si>
    <t>Total Current Liabilities</t>
  </si>
  <si>
    <t>Non-current Liabilities</t>
  </si>
  <si>
    <t>Long-term debt</t>
  </si>
  <si>
    <t>Long-term operating leases liabilities</t>
  </si>
  <si>
    <t>Warrant liabilities</t>
  </si>
  <si>
    <t>Deferred tax liabilities</t>
  </si>
  <si>
    <t>Other non-current liabilities</t>
  </si>
  <si>
    <t>Total Non-current Liabilities</t>
  </si>
  <si>
    <t>Total Liabilities</t>
  </si>
  <si>
    <t xml:space="preserve">Equity   </t>
  </si>
  <si>
    <t>Convertible preferred stock</t>
  </si>
  <si>
    <t>Preferred stock</t>
  </si>
  <si>
    <t>Common stock</t>
  </si>
  <si>
    <t>Treasury stock</t>
  </si>
  <si>
    <t>Additional paid-in capital</t>
  </si>
  <si>
    <t>Accumulated deficit</t>
  </si>
  <si>
    <t>Accumulated other comprehensive income (loss)</t>
  </si>
  <si>
    <t>Total Shareholder's equity</t>
  </si>
  <si>
    <t>Noncontrolling interests</t>
  </si>
  <si>
    <t>Total Equity</t>
  </si>
  <si>
    <t>Total Equity &amp; Liabilities</t>
  </si>
  <si>
    <t>Revenues</t>
  </si>
  <si>
    <t>COGs</t>
  </si>
  <si>
    <t>Gross Profit</t>
  </si>
  <si>
    <t>Operating Expenses</t>
  </si>
  <si>
    <t>SG&amp;A</t>
  </si>
  <si>
    <t>Contingent earnout expense</t>
  </si>
  <si>
    <t>Transaction expenses</t>
  </si>
  <si>
    <t>Impairment expense</t>
  </si>
  <si>
    <t>R&amp;D</t>
  </si>
  <si>
    <t>Total Operating Expenses</t>
  </si>
  <si>
    <t>Operating Income</t>
  </si>
  <si>
    <t>Other (income)/expense</t>
  </si>
  <si>
    <t>Interest expense</t>
  </si>
  <si>
    <t>Other (income) expense</t>
  </si>
  <si>
    <t>Income before Taxes</t>
  </si>
  <si>
    <t>Taxes (benefit)</t>
  </si>
  <si>
    <t>Net Income, Including Noncontrolling interests</t>
  </si>
  <si>
    <t>Net income attributable to Noncontrolling interests</t>
  </si>
  <si>
    <t>Net Income Attributable to Redwire Corporation</t>
  </si>
  <si>
    <t>EPS</t>
  </si>
  <si>
    <t>EPS - Basic &amp; Diluted</t>
  </si>
  <si>
    <t>Cash Flow *thousands</t>
  </si>
  <si>
    <t>CFFO</t>
  </si>
  <si>
    <t>CapEx</t>
  </si>
  <si>
    <t>FCF</t>
  </si>
  <si>
    <t>SBI</t>
  </si>
  <si>
    <t>SBC</t>
  </si>
  <si>
    <t>SBB</t>
  </si>
  <si>
    <t>Dividends</t>
  </si>
  <si>
    <t>PP&amp;E</t>
  </si>
  <si>
    <t>Shares</t>
  </si>
  <si>
    <t>Long-term finance lease liabilities</t>
  </si>
  <si>
    <t>RDW</t>
  </si>
  <si>
    <t>Price</t>
  </si>
  <si>
    <t>MC</t>
  </si>
  <si>
    <t>Cash</t>
  </si>
  <si>
    <t>Debt</t>
  </si>
  <si>
    <t>EV</t>
  </si>
  <si>
    <t>Company Name</t>
  </si>
  <si>
    <t>Ticker</t>
  </si>
  <si>
    <t>Country</t>
  </si>
  <si>
    <t>Sector</t>
  </si>
  <si>
    <t>Industry</t>
  </si>
  <si>
    <t xml:space="preserve">Redwire Corporation </t>
  </si>
  <si>
    <t>USA</t>
  </si>
  <si>
    <t>Industrials</t>
  </si>
  <si>
    <t>Aerospace &amp; Defense</t>
  </si>
  <si>
    <t>Stock Statistics</t>
  </si>
  <si>
    <t>High</t>
  </si>
  <si>
    <t xml:space="preserve">Low </t>
  </si>
  <si>
    <t>Average</t>
  </si>
  <si>
    <t>Marketcap</t>
  </si>
  <si>
    <t>P/S</t>
  </si>
  <si>
    <t>P/E</t>
  </si>
  <si>
    <t>P/B</t>
  </si>
  <si>
    <t>P/FCF</t>
  </si>
  <si>
    <t>Q422</t>
  </si>
  <si>
    <t>Q322</t>
  </si>
  <si>
    <t>Q122</t>
  </si>
  <si>
    <t>Q222</t>
  </si>
  <si>
    <t>Q421</t>
  </si>
  <si>
    <t>Q321</t>
  </si>
  <si>
    <t>Q221</t>
  </si>
  <si>
    <t>Q121</t>
  </si>
  <si>
    <t>Q123</t>
  </si>
  <si>
    <t>Q223</t>
  </si>
  <si>
    <t>Growth</t>
  </si>
  <si>
    <t>Revenue</t>
  </si>
  <si>
    <t>Earnings</t>
  </si>
  <si>
    <t>Info</t>
  </si>
  <si>
    <t>- It provides critical space solutions and reliability components for solar power generation, in-space 3D printing and manufacturing, avionics, critical components, sensors, digital engineering, and space-based biotechnology.</t>
  </si>
  <si>
    <t>- Redwire Corporation operates as a space infrastructure company in the United States, Netherlands, Luxemburg, the United Kingdom, Italy, Germany, Spain, South Korea, Poland, and internationally.</t>
  </si>
  <si>
    <t>- The company's product portfolio includes antennas, boom deployers, data modules, deorbit devices, deployable radiator, engineering services and solutions, heat pipes, in-space manufacturing, power solutions, robotics software, solar arrays, space cameras, space-based research, star tracker, sensors and shades, and thermal energy storage. In addition, it offers space domain awareness and resiliency including sensor systems for on-orbit monitoring, advanced modeling &amp; simulation, cyber resiliency, asset hardening, robotics, and full satellite solutions; and digitally engaged spacecraft technology includes software and hardware-in-the-loop configurations, to enable next generation space architectures and solutions, such as advanced artificial intelligence, machine learning, and cyber technologies. </t>
  </si>
  <si>
    <t>- It also provides low-earth orbit commercialization, which includes in-space additive manufacturing, space-based biotechnology applications, space plant and animal science, in-space advanced material manufacturing and support of human exploration, habitation, and commercial activities in space. Redwire Corporation is headquartered in Jacksonville, Florida.</t>
  </si>
  <si>
    <t>HQ</t>
  </si>
  <si>
    <t>Jacksonville Florida</t>
  </si>
  <si>
    <t>Redwire Navigation</t>
  </si>
  <si>
    <t>Redwire Camera System</t>
  </si>
  <si>
    <t>NOTES: Redwire’s high performance space camera systems for human and robotic spacecraft can support multiple commercial, civil space and defense mission applications including machine vision, optical navigation, science, remote sensing, photogrammetry, inspection, video monitoring and mission documentation. Redwire cameras are also being utilized for a NASA Commercial Lunar Payload Services mission.</t>
  </si>
  <si>
    <t>- NASA's Double Asteroid Redirection Test (DART)</t>
  </si>
  <si>
    <t>- IRIS</t>
  </si>
  <si>
    <t>- Parker Solar Probe</t>
  </si>
  <si>
    <t>- MESSENGER to Mercury</t>
  </si>
  <si>
    <t>- Magellan to Venus</t>
  </si>
  <si>
    <t>- STEREO</t>
  </si>
  <si>
    <t>- Cassini-Huygens mission to Saturn</t>
  </si>
  <si>
    <t>- Mars Pathfinder</t>
  </si>
  <si>
    <t>- NASA's Artemis 1 Mission</t>
  </si>
  <si>
    <t>Redwire Digital Sun Sensor</t>
  </si>
  <si>
    <t>- Mars Exploration Rovers A &amp; B</t>
  </si>
  <si>
    <t>- Mars 2020 Perserverance</t>
  </si>
  <si>
    <t>- Cassini-Huygens</t>
  </si>
  <si>
    <t>Operating Profit</t>
  </si>
  <si>
    <t>Operating Margin</t>
  </si>
  <si>
    <t>AeroSpace Industry Sales *in billions, USD</t>
  </si>
  <si>
    <t>FORECAST</t>
  </si>
  <si>
    <t>Total Cash</t>
  </si>
  <si>
    <t>Total Debt</t>
  </si>
  <si>
    <t>Net Cash</t>
  </si>
  <si>
    <t>- Mars Science Lander Curiosity</t>
  </si>
  <si>
    <t xml:space="preserve">- International Space Station </t>
  </si>
  <si>
    <t xml:space="preserve">Missions by Body </t>
  </si>
  <si>
    <t>Sun</t>
  </si>
  <si>
    <t>Equipment</t>
  </si>
  <si>
    <t>Subsidiaries</t>
  </si>
  <si>
    <t>Adcole Space</t>
  </si>
  <si>
    <t>specializes in the design, manufacturing, integration and testing of spacecraft components for application in the commercial, research and military sectors.</t>
  </si>
  <si>
    <t>Deep Space Systems</t>
  </si>
  <si>
    <r>
      <t>is focused on </t>
    </r>
    <r>
      <rPr>
        <sz val="11"/>
        <color rgb="FF3366CC"/>
        <rFont val="Arial"/>
        <family val="2"/>
      </rPr>
      <t>systems engineering</t>
    </r>
    <r>
      <rPr>
        <sz val="11"/>
        <color rgb="FF202122"/>
        <rFont val="Arial"/>
        <family val="2"/>
      </rPr>
      <t>, </t>
    </r>
    <r>
      <rPr>
        <sz val="11"/>
        <color rgb="FF3366CC"/>
        <rFont val="Arial"/>
        <family val="2"/>
      </rPr>
      <t>spacecraft design</t>
    </r>
    <r>
      <rPr>
        <sz val="11"/>
        <color rgb="FF202122"/>
        <rFont val="Arial"/>
        <family val="2"/>
      </rPr>
      <t>, development, integration and testing, deep space mission operations, and high-definition space-qualified cameras. DSS was incorporated in 2001, and was a founding component of Redwire, after its merger on June 1, 2020 with Adcole Space.</t>
    </r>
    <r>
      <rPr>
        <vertAlign val="superscript"/>
        <sz val="11"/>
        <color rgb="FF3366CC"/>
        <rFont val="Arial"/>
        <family val="2"/>
      </rPr>
      <t>[13]</t>
    </r>
  </si>
  <si>
    <t>Deployable Space Systems</t>
  </si>
  <si>
    <t>specializes in the development of deployable technologies for space applications.</t>
  </si>
  <si>
    <t>LoadPath</t>
  </si>
  <si>
    <t>Made In Space, Inc.</t>
  </si>
  <si>
    <t>specializes in mechanical, structural, and thermal technologies for satellite and space launch applications. </t>
  </si>
  <si>
    <r>
      <t>specializes in the development and manufacturing of </t>
    </r>
    <r>
      <rPr>
        <sz val="11"/>
        <color rgb="FF3366CC"/>
        <rFont val="Arial"/>
        <family val="2"/>
      </rPr>
      <t>three-dimensional printers</t>
    </r>
    <r>
      <rPr>
        <sz val="11"/>
        <color rgb="FF202122"/>
        <rFont val="Arial"/>
        <family val="2"/>
      </rPr>
      <t> for use in </t>
    </r>
    <r>
      <rPr>
        <sz val="11"/>
        <color rgb="FF3366CC"/>
        <rFont val="Arial"/>
        <family val="2"/>
      </rPr>
      <t>microgravity</t>
    </r>
    <r>
      <rPr>
        <sz val="11"/>
        <color rgb="FF202122"/>
        <rFont val="Arial"/>
        <family val="2"/>
      </rPr>
      <t>. </t>
    </r>
  </si>
  <si>
    <t>Oakman Aerospace</t>
  </si>
  <si>
    <r>
      <t>OAI has the capability and capacity to simultaneously design, assemble, integrate, and test programs or perform multiple technology test and evaluation efforts. The assembly and test laboratories are equipped with regularly calibrated measuring and test equipment. The laboratories have six independent workstations equipped with modern assembly equipment and tools. The facility is in full compliance with all OSHA and State safety requirements. OAI laboratory space has the ability to host flight components using clean room level laminar flow benches with individual temperature and humidity controls. Oakman is building a satellite ground station with 5.5 m dish at </t>
    </r>
    <r>
      <rPr>
        <sz val="11"/>
        <color rgb="FF3366CC"/>
        <rFont val="Arial"/>
        <family val="2"/>
      </rPr>
      <t>Chippewa County International Airport</t>
    </r>
    <r>
      <rPr>
        <sz val="11"/>
        <color rgb="FF202122"/>
        <rFont val="Arial"/>
        <family val="2"/>
      </rPr>
      <t>.</t>
    </r>
    <r>
      <rPr>
        <vertAlign val="superscript"/>
        <sz val="11"/>
        <color rgb="FF3366CC"/>
        <rFont val="Arial"/>
        <family val="2"/>
      </rPr>
      <t>[20]</t>
    </r>
  </si>
  <si>
    <t>Roccor</t>
  </si>
  <si>
    <t>Space NV</t>
  </si>
  <si>
    <t>Roccor is a manufacturer of solar panels, antennas, and deployable booms.</t>
  </si>
  <si>
    <t>Redwire acquired Belgium-based satellite design and development company Space NV for £28m. Prior to the acquisition, Space NV had worked with civil and commercial space agency's such as the European Space Agency and the Belgian Science Policy Office</t>
  </si>
  <si>
    <t>Mercury</t>
  </si>
  <si>
    <t>Venus</t>
  </si>
  <si>
    <t>Earth - LEO</t>
  </si>
  <si>
    <t>Earth - GEO</t>
  </si>
  <si>
    <t>Earth - Beyond GEO</t>
  </si>
  <si>
    <t>Earth - MEO</t>
  </si>
  <si>
    <t>ISS</t>
  </si>
  <si>
    <t>Moon</t>
  </si>
  <si>
    <t>Mars</t>
  </si>
  <si>
    <t>Asteroids</t>
  </si>
  <si>
    <t>Jupiter</t>
  </si>
  <si>
    <t>Saturn</t>
  </si>
  <si>
    <t>Pluto</t>
  </si>
  <si>
    <t>New Horizons</t>
  </si>
  <si>
    <t>Parket Solar Probe</t>
  </si>
  <si>
    <t>Cassini-Huygens</t>
  </si>
  <si>
    <t xml:space="preserve">Galileo </t>
  </si>
  <si>
    <t>Juno</t>
  </si>
  <si>
    <t>Redwire Rollout Solar Array (ROSA)</t>
  </si>
  <si>
    <t>Analyst Estimates</t>
  </si>
  <si>
    <t>EPS - Actual</t>
  </si>
  <si>
    <t>EPS - Forecast</t>
  </si>
  <si>
    <t>Surprise %</t>
  </si>
  <si>
    <t>Notes</t>
  </si>
  <si>
    <t>- First FCF positive quarter Q223</t>
  </si>
  <si>
    <t>Q323</t>
  </si>
  <si>
    <t>Q423</t>
  </si>
  <si>
    <t>Q124</t>
  </si>
  <si>
    <t>Civil Space</t>
  </si>
  <si>
    <t>National Security</t>
  </si>
  <si>
    <t>Commercial &amp; Other</t>
  </si>
  <si>
    <t>Total Revenues</t>
  </si>
  <si>
    <t>U.S.</t>
  </si>
  <si>
    <t>Europe</t>
  </si>
  <si>
    <t>Other</t>
  </si>
  <si>
    <t>Mix</t>
  </si>
  <si>
    <t>Total Mix</t>
  </si>
  <si>
    <t>Segment Revenues *in thousands, USD</t>
  </si>
  <si>
    <t>Geographic Revenues *in thousands, USD</t>
  </si>
  <si>
    <t>Contract Backlog</t>
  </si>
  <si>
    <t>Backlog *in thousands, USD</t>
  </si>
  <si>
    <t>Contracts Awarded</t>
  </si>
  <si>
    <t>Book-to-Bill Ratio</t>
  </si>
  <si>
    <t xml:space="preserve">   Backlog Growth</t>
  </si>
  <si>
    <t>9/30/203</t>
  </si>
  <si>
    <t>Convertible Dividends</t>
  </si>
  <si>
    <t>3-Month Adjusted</t>
  </si>
  <si>
    <t>Preferred Dividends</t>
  </si>
  <si>
    <t>Q224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</si>
</sst>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quot;$&quot;#,##0.00"/>
    <numFmt numFmtId="166" formatCode="&quot;$&quot;#,##0"/>
  </numFmts>
  <fonts count="12"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i/>
      <u/>
      <sz val="11"/>
      <color theme="1"/>
      <name val="Calibri"/>
      <family val="2"/>
      <scheme val="minor"/>
    </font>
    <font>
      <sz val="9"/>
      <color indexed="81"/>
      <name val="Tahoma"/>
      <family val="2"/>
    </font>
    <font>
      <b/>
      <sz val="9"/>
      <color indexed="81"/>
      <name val="Tahoma"/>
      <family val="2"/>
    </font>
    <font>
      <sz val="11"/>
      <color rgb="FF232A31"/>
      <name val="Arial"/>
      <family val="2"/>
    </font>
    <font>
      <sz val="11"/>
      <color rgb="FF202122"/>
      <name val="Arial"/>
      <family val="2"/>
    </font>
    <font>
      <sz val="11"/>
      <color rgb="FF3366CC"/>
      <name val="Arial"/>
      <family val="2"/>
    </font>
    <font>
      <vertAlign val="superscript"/>
      <sz val="11"/>
      <color rgb="FF3366CC"/>
      <name val="Arial"/>
      <family val="2"/>
    </font>
    <font>
      <b/>
      <i/>
      <u/>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57">
    <xf numFmtId="0" fontId="0" fillId="0" borderId="0" xfId="0"/>
    <xf numFmtId="0" fontId="3" fillId="2" borderId="0" xfId="0" applyFont="1" applyFill="1"/>
    <xf numFmtId="0" fontId="1" fillId="2" borderId="0" xfId="0" applyFont="1" applyFill="1"/>
    <xf numFmtId="14" fontId="0" fillId="0" borderId="0" xfId="0" applyNumberFormat="1"/>
    <xf numFmtId="0" fontId="4" fillId="3" borderId="0" xfId="0" applyFont="1" applyFill="1"/>
    <xf numFmtId="0" fontId="2" fillId="0" borderId="0" xfId="0" applyFont="1"/>
    <xf numFmtId="0" fontId="0" fillId="0" borderId="0" xfId="0" quotePrefix="1"/>
    <xf numFmtId="3" fontId="0" fillId="0" borderId="0" xfId="0" applyNumberFormat="1"/>
    <xf numFmtId="3" fontId="0" fillId="0" borderId="1" xfId="0" applyNumberFormat="1" applyBorder="1"/>
    <xf numFmtId="3" fontId="2" fillId="0" borderId="0" xfId="0" applyNumberFormat="1" applyFont="1"/>
    <xf numFmtId="3" fontId="4" fillId="3" borderId="0" xfId="0" applyNumberFormat="1" applyFont="1" applyFill="1"/>
    <xf numFmtId="3" fontId="0" fillId="0" borderId="2" xfId="0" applyNumberFormat="1" applyBorder="1"/>
    <xf numFmtId="3" fontId="0" fillId="3" borderId="0" xfId="0" applyNumberFormat="1" applyFill="1"/>
    <xf numFmtId="3" fontId="1" fillId="2" borderId="0" xfId="0" applyNumberFormat="1" applyFont="1" applyFill="1"/>
    <xf numFmtId="3" fontId="0" fillId="0" borderId="0" xfId="0" quotePrefix="1" applyNumberFormat="1"/>
    <xf numFmtId="3" fontId="2" fillId="0" borderId="2" xfId="0" applyNumberFormat="1" applyFont="1" applyBorder="1"/>
    <xf numFmtId="4" fontId="0" fillId="0" borderId="0" xfId="0" applyNumberFormat="1"/>
    <xf numFmtId="0" fontId="2" fillId="0" borderId="3" xfId="0" applyFont="1" applyBorder="1" applyAlignment="1">
      <alignment horizontal="center" vertical="top"/>
    </xf>
    <xf numFmtId="164" fontId="0" fillId="0" borderId="0" xfId="0" applyNumberFormat="1"/>
    <xf numFmtId="37" fontId="0" fillId="0" borderId="0" xfId="0" applyNumberFormat="1"/>
    <xf numFmtId="2" fontId="0" fillId="0" borderId="0" xfId="0" applyNumberFormat="1"/>
    <xf numFmtId="165" fontId="0" fillId="0" borderId="0" xfId="0" applyNumberFormat="1"/>
    <xf numFmtId="165" fontId="2" fillId="0" borderId="0" xfId="0" applyNumberFormat="1" applyFont="1"/>
    <xf numFmtId="2" fontId="4" fillId="3" borderId="0" xfId="0" applyNumberFormat="1" applyFont="1" applyFill="1"/>
    <xf numFmtId="10" fontId="0" fillId="0" borderId="0" xfId="0" applyNumberFormat="1"/>
    <xf numFmtId="166" fontId="2" fillId="0" borderId="0" xfId="0" applyNumberFormat="1" applyFont="1"/>
    <xf numFmtId="0" fontId="7" fillId="0" borderId="0" xfId="0" applyFont="1"/>
    <xf numFmtId="0" fontId="7" fillId="0" borderId="0" xfId="0" quotePrefix="1" applyFont="1"/>
    <xf numFmtId="0" fontId="8" fillId="0" borderId="0" xfId="0" applyFont="1"/>
    <xf numFmtId="10" fontId="4" fillId="3" borderId="0" xfId="0" applyNumberFormat="1" applyFont="1" applyFill="1"/>
    <xf numFmtId="0" fontId="11" fillId="0" borderId="0" xfId="0" applyFont="1"/>
    <xf numFmtId="9" fontId="0" fillId="0" borderId="0" xfId="0" applyNumberFormat="1" applyFill="1" applyBorder="1"/>
    <xf numFmtId="9" fontId="0" fillId="0" borderId="0" xfId="0" applyNumberFormat="1"/>
    <xf numFmtId="9" fontId="0" fillId="0" borderId="1" xfId="0" applyNumberFormat="1" applyFill="1" applyBorder="1"/>
    <xf numFmtId="9" fontId="0" fillId="0" borderId="1" xfId="0" applyNumberFormat="1" applyBorder="1"/>
    <xf numFmtId="9" fontId="2" fillId="0" borderId="0" xfId="0" quotePrefix="1" applyNumberFormat="1" applyFont="1"/>
    <xf numFmtId="9" fontId="2" fillId="0" borderId="0" xfId="0" applyNumberFormat="1" applyFont="1"/>
    <xf numFmtId="3" fontId="0" fillId="0" borderId="0" xfId="0" applyNumberFormat="1" applyBorder="1"/>
    <xf numFmtId="0" fontId="2" fillId="0" borderId="0" xfId="0" applyFont="1" applyBorder="1"/>
    <xf numFmtId="14" fontId="0" fillId="0" borderId="0" xfId="0" applyNumberFormat="1" applyBorder="1"/>
    <xf numFmtId="0" fontId="1" fillId="2" borderId="0" xfId="0" applyFont="1" applyFill="1" applyBorder="1"/>
    <xf numFmtId="165" fontId="0" fillId="0" borderId="0" xfId="0" applyNumberFormat="1" applyBorder="1"/>
    <xf numFmtId="165" fontId="2" fillId="0" borderId="0" xfId="0" applyNumberFormat="1" applyFont="1" applyBorder="1"/>
    <xf numFmtId="3" fontId="2" fillId="0" borderId="0" xfId="0" applyNumberFormat="1" applyFont="1" applyBorder="1"/>
    <xf numFmtId="9" fontId="2" fillId="0" borderId="0" xfId="0" applyNumberFormat="1" applyFont="1" applyBorder="1"/>
    <xf numFmtId="4" fontId="0" fillId="0" borderId="0" xfId="0" applyNumberFormat="1" applyBorder="1"/>
    <xf numFmtId="0" fontId="0" fillId="0" borderId="0" xfId="0" applyBorder="1"/>
    <xf numFmtId="9" fontId="0" fillId="0" borderId="0" xfId="0" applyNumberFormat="1" applyBorder="1"/>
    <xf numFmtId="0" fontId="4" fillId="3" borderId="0" xfId="0" applyFont="1" applyFill="1" applyBorder="1"/>
    <xf numFmtId="3" fontId="4" fillId="3" borderId="0" xfId="0" applyNumberFormat="1" applyFont="1" applyFill="1" applyBorder="1"/>
    <xf numFmtId="3" fontId="0" fillId="3" borderId="0" xfId="0" applyNumberFormat="1" applyFill="1" applyBorder="1"/>
    <xf numFmtId="3" fontId="1" fillId="2" borderId="0" xfId="0" applyNumberFormat="1" applyFont="1" applyFill="1" applyBorder="1"/>
    <xf numFmtId="166" fontId="2" fillId="0" borderId="0" xfId="0" applyNumberFormat="1" applyFont="1" applyBorder="1"/>
    <xf numFmtId="2" fontId="0" fillId="0" borderId="0" xfId="0" applyNumberFormat="1" applyBorder="1"/>
    <xf numFmtId="2" fontId="4" fillId="3" borderId="0" xfId="0" applyNumberFormat="1" applyFont="1" applyFill="1" applyBorder="1"/>
    <xf numFmtId="10" fontId="0" fillId="0" borderId="0" xfId="0" applyNumberFormat="1" applyBorder="1"/>
    <xf numFmtId="10" fontId="4" fillId="3" borderId="0"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17</xdr:col>
      <xdr:colOff>723900</xdr:colOff>
      <xdr:row>0</xdr:row>
      <xdr:rowOff>25400</xdr:rowOff>
    </xdr:from>
    <xdr:to>
      <xdr:col>18</xdr:col>
      <xdr:colOff>12700</xdr:colOff>
      <xdr:row>168</xdr:row>
      <xdr:rowOff>88900</xdr:rowOff>
    </xdr:to>
    <xdr:cxnSp macro="">
      <xdr:nvCxnSpPr>
        <xdr:cNvPr id="3" name="Straight Connector 2">
          <a:extLst>
            <a:ext uri="{FF2B5EF4-FFF2-40B4-BE49-F238E27FC236}">
              <a16:creationId xmlns:a16="http://schemas.microsoft.com/office/drawing/2014/main" id="{6B8C9A6F-B158-5647-6F22-06F4F46938BD}"/>
            </a:ext>
          </a:extLst>
        </xdr:cNvPr>
        <xdr:cNvCxnSpPr/>
      </xdr:nvCxnSpPr>
      <xdr:spPr>
        <a:xfrm>
          <a:off x="14338300" y="25400"/>
          <a:ext cx="19050" cy="28975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0</xdr:row>
      <xdr:rowOff>0</xdr:rowOff>
    </xdr:from>
    <xdr:to>
      <xdr:col>14</xdr:col>
      <xdr:colOff>19050</xdr:colOff>
      <xdr:row>168</xdr:row>
      <xdr:rowOff>63500</xdr:rowOff>
    </xdr:to>
    <xdr:cxnSp macro="">
      <xdr:nvCxnSpPr>
        <xdr:cNvPr id="8" name="Straight Connector 7">
          <a:extLst>
            <a:ext uri="{FF2B5EF4-FFF2-40B4-BE49-F238E27FC236}">
              <a16:creationId xmlns:a16="http://schemas.microsoft.com/office/drawing/2014/main" id="{F6DC1BD3-E6F1-481B-B7CC-96219A2330DD}"/>
            </a:ext>
          </a:extLst>
        </xdr:cNvPr>
        <xdr:cNvCxnSpPr/>
      </xdr:nvCxnSpPr>
      <xdr:spPr>
        <a:xfrm>
          <a:off x="11633200" y="0"/>
          <a:ext cx="19050" cy="31000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0</xdr:row>
      <xdr:rowOff>0</xdr:rowOff>
    </xdr:from>
    <xdr:to>
      <xdr:col>10</xdr:col>
      <xdr:colOff>19050</xdr:colOff>
      <xdr:row>168</xdr:row>
      <xdr:rowOff>63500</xdr:rowOff>
    </xdr:to>
    <xdr:cxnSp macro="">
      <xdr:nvCxnSpPr>
        <xdr:cNvPr id="9" name="Straight Connector 8">
          <a:extLst>
            <a:ext uri="{FF2B5EF4-FFF2-40B4-BE49-F238E27FC236}">
              <a16:creationId xmlns:a16="http://schemas.microsoft.com/office/drawing/2014/main" id="{271882B8-DF78-4CFB-843A-12773E88D6E4}"/>
            </a:ext>
          </a:extLst>
        </xdr:cNvPr>
        <xdr:cNvCxnSpPr/>
      </xdr:nvCxnSpPr>
      <xdr:spPr>
        <a:xfrm>
          <a:off x="8851900" y="0"/>
          <a:ext cx="19050" cy="31000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0</xdr:row>
      <xdr:rowOff>0</xdr:rowOff>
    </xdr:from>
    <xdr:to>
      <xdr:col>6</xdr:col>
      <xdr:colOff>19050</xdr:colOff>
      <xdr:row>168</xdr:row>
      <xdr:rowOff>63500</xdr:rowOff>
    </xdr:to>
    <xdr:cxnSp macro="">
      <xdr:nvCxnSpPr>
        <xdr:cNvPr id="10" name="Straight Connector 9">
          <a:extLst>
            <a:ext uri="{FF2B5EF4-FFF2-40B4-BE49-F238E27FC236}">
              <a16:creationId xmlns:a16="http://schemas.microsoft.com/office/drawing/2014/main" id="{B3F7D89D-5C24-4184-BB06-8E3CC1D8F7B3}"/>
            </a:ext>
          </a:extLst>
        </xdr:cNvPr>
        <xdr:cNvCxnSpPr/>
      </xdr:nvCxnSpPr>
      <xdr:spPr>
        <a:xfrm>
          <a:off x="6140450" y="0"/>
          <a:ext cx="19050" cy="31000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https://www.bing.com/financeapi/forcetrigger?t=bxe2w7&amp;q=XNYS%3aRDW&amp;form=skydnc</v>
    <v>Learn more on Bing</v>
  </rv>
  <rv s="1">
    <v>en-US</v>
    <v>bxe2w7</v>
    <v>268435456</v>
    <v>1</v>
    <v>Powered by Refinitiv</v>
    <v>0</v>
    <v>REDWIRE CORPORATION (XNYS:RDW)</v>
    <v>2</v>
    <v>3</v>
    <v>Finance</v>
    <v>4</v>
    <v>8.23</v>
    <v>2.35</v>
    <v>1.9683999999999999</v>
    <v>-0.41</v>
    <v>9.4640000000000002E-3</v>
    <v>-6.0740999999999996E-2</v>
    <v>0.06</v>
    <v>USD</v>
    <v>Redwire Corporation develops and manufactures mission-critical space solutions and high-reliability components for the space economy. The Company’s primary business model is to provide mission critical solutions based on space infrastructure offerings for government and commercial customers through long-duration projects. These core offerings include technologies and production capability for avionics and sensors; power generation; structure and mechanisms; radio frequency (RF) systems; platforms, payloads and missions; and microgravity payloads. The Company's products and solutions include antennas, satellite technology, space-qualified sensors, deployable space structure, berthing and docking equipment, and space-enabled manufacturing payloads. It offers enterprise software suite that enables advanced digital engineering and generation of high fidelity, interactive modeling and simulations of individual components, entire spacecraft and full constellations in a cloud-based model.</v>
    <v>700</v>
    <v>New York Stock Exchange</v>
    <v>XNYS</v>
    <v>XNYS</v>
    <v>8226 Philips Highway, Suite 101, Suite 101, JACKSONVILLE, FL, 32256 US</v>
    <v>6.8</v>
    <v>Aerospace &amp; Defense</v>
    <v>Stock</v>
    <v>45538.958333367969</v>
    <v>0</v>
    <v>6.34</v>
    <v>421835323</v>
    <v>REDWIRE CORPORATION</v>
    <v>REDWIRE CORPORATION</v>
    <v>6.68</v>
    <v>6.75</v>
    <v>6.34</v>
    <v>6.4</v>
    <v>66535540</v>
    <v>RDW</v>
    <v>REDWIRE CORPORATION (XNYS:RDW)</v>
    <v>306407</v>
    <v>376954</v>
    <v>2021</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27" formatCode="m/d/yyyy\ h:mm"/>
    </x:dxf>
    <x:dxf>
      <x:numFmt numFmtId="14" formatCode="0.00%"/>
    </x:dxf>
    <x:dxf>
      <x:numFmt numFmtId="3" formatCode="#,##0"/>
    </x:dxf>
    <x:dxf>
      <x:numFmt numFmtId="0" formatCode="General"/>
    </x:dxf>
    <x:dxf>
      <x:numFmt numFmtId="4" formatCode="#,##0.00"/>
    </x:dxf>
    <x:dxf>
      <x:numFmt numFmtId="1" formatCode="0"/>
    </x:dxf>
  </dxfs>
  <richProperties>
    <rPr n="NumberFormat" t="s"/>
    <rPr n="IsTitleField" t="b"/>
  </richProperties>
  <richStyles>
    <rSty dxfid="4">
      <rpv i="0">_([$$-en-US]* #,##0.00_);_([$$-en-US]* (#,##0.00);_([$$-en-US]* "-"??_);_(@_)</rpv>
    </rSty>
    <rSty dxfid="5">
      <rpv i="0">#,##0.00</rpv>
    </rSty>
    <rSty>
      <rpv i="1">1</rpv>
    </rSty>
    <rSty dxfid="3">
      <rpv i="0">#,##0</rpv>
    </rSty>
    <rSty dxfid="2"/>
    <rSty dxfid="4">
      <rpv i="0">_([$$-en-US]* #,##0_);_([$$-en-US]* (#,##0);_([$$-en-US]* "-"_);_(@_)</rpv>
    </rSty>
    <rSty dxfid="1"/>
    <rSty dxfid="6">
      <rpv i="0">0</rpv>
    </rSty>
    <rSty dxfid="0">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90BA7-A564-46F1-9574-0FAA5750F1B7}">
  <dimension ref="A1:B13"/>
  <sheetViews>
    <sheetView workbookViewId="0">
      <selection activeCell="A2" sqref="A2:A7"/>
    </sheetView>
  </sheetViews>
  <sheetFormatPr defaultRowHeight="14.5" x14ac:dyDescent="0.35"/>
  <cols>
    <col min="1" max="1" width="9.453125" bestFit="1" customWidth="1"/>
  </cols>
  <sheetData>
    <row r="1" spans="1:2" x14ac:dyDescent="0.35">
      <c r="A1" t="e" vm="1">
        <v>#VALUE!</v>
      </c>
    </row>
    <row r="2" spans="1:2" x14ac:dyDescent="0.35">
      <c r="A2" s="17" t="s">
        <v>86</v>
      </c>
      <c r="B2" s="18">
        <f t="array" ref="B2">_FV(A1,"Price")</f>
        <v>6.34</v>
      </c>
    </row>
    <row r="3" spans="1:2" x14ac:dyDescent="0.35">
      <c r="A3" s="17" t="s">
        <v>83</v>
      </c>
      <c r="B3" s="7" cm="1">
        <f t="array" ref="B3">_FV(A1,"Shares outstanding",TRUE)/1000</f>
        <v>66535.539999999994</v>
      </c>
    </row>
    <row r="4" spans="1:2" x14ac:dyDescent="0.35">
      <c r="A4" s="17" t="s">
        <v>87</v>
      </c>
      <c r="B4" s="19">
        <f>B2*B3</f>
        <v>421835.32359999995</v>
      </c>
    </row>
    <row r="5" spans="1:2" x14ac:dyDescent="0.35">
      <c r="A5" s="17" t="s">
        <v>88</v>
      </c>
      <c r="B5" s="7">
        <v>11231</v>
      </c>
    </row>
    <row r="6" spans="1:2" x14ac:dyDescent="0.35">
      <c r="A6" s="17" t="s">
        <v>89</v>
      </c>
      <c r="B6" s="7">
        <f>780+75046+14069+3614</f>
        <v>93509</v>
      </c>
    </row>
    <row r="7" spans="1:2" x14ac:dyDescent="0.35">
      <c r="A7" s="17" t="s">
        <v>90</v>
      </c>
      <c r="B7" s="19">
        <f>B4-B5+B6</f>
        <v>504113.32359999995</v>
      </c>
    </row>
    <row r="12" spans="1:2" s="2" customFormat="1" x14ac:dyDescent="0.35">
      <c r="A12" s="2" t="s">
        <v>197</v>
      </c>
    </row>
    <row r="13" spans="1:2" x14ac:dyDescent="0.35">
      <c r="A13" s="3">
        <v>45187</v>
      </c>
      <c r="B13" s="6" t="s">
        <v>198</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CA6D6-505A-4492-A841-10B7B7365E80}">
  <dimension ref="A1:Z111"/>
  <sheetViews>
    <sheetView workbookViewId="0">
      <selection activeCell="H6" sqref="H6"/>
    </sheetView>
  </sheetViews>
  <sheetFormatPr defaultRowHeight="14.5" x14ac:dyDescent="0.35"/>
  <cols>
    <col min="1" max="1" width="22" customWidth="1"/>
    <col min="21" max="21" width="9.7265625" bestFit="1" customWidth="1"/>
  </cols>
  <sheetData>
    <row r="1" spans="1:2" x14ac:dyDescent="0.35">
      <c r="A1" t="s">
        <v>91</v>
      </c>
      <c r="B1" t="s">
        <v>96</v>
      </c>
    </row>
    <row r="2" spans="1:2" x14ac:dyDescent="0.35">
      <c r="A2" t="s">
        <v>92</v>
      </c>
      <c r="B2" t="s">
        <v>85</v>
      </c>
    </row>
    <row r="3" spans="1:2" x14ac:dyDescent="0.35">
      <c r="A3" t="s">
        <v>93</v>
      </c>
      <c r="B3" t="s">
        <v>97</v>
      </c>
    </row>
    <row r="4" spans="1:2" x14ac:dyDescent="0.35">
      <c r="A4" t="s">
        <v>94</v>
      </c>
      <c r="B4" t="s">
        <v>98</v>
      </c>
    </row>
    <row r="5" spans="1:2" x14ac:dyDescent="0.35">
      <c r="A5" t="s">
        <v>95</v>
      </c>
      <c r="B5" t="s">
        <v>99</v>
      </c>
    </row>
    <row r="6" spans="1:2" x14ac:dyDescent="0.35">
      <c r="A6" t="s">
        <v>127</v>
      </c>
      <c r="B6" t="s">
        <v>128</v>
      </c>
    </row>
    <row r="10" spans="1:2" s="2" customFormat="1" x14ac:dyDescent="0.35">
      <c r="A10" s="2" t="s">
        <v>122</v>
      </c>
    </row>
    <row r="11" spans="1:2" x14ac:dyDescent="0.35">
      <c r="A11" s="27" t="s">
        <v>124</v>
      </c>
    </row>
    <row r="12" spans="1:2" x14ac:dyDescent="0.35">
      <c r="A12" s="27" t="s">
        <v>123</v>
      </c>
    </row>
    <row r="13" spans="1:2" x14ac:dyDescent="0.35">
      <c r="A13" s="27" t="s">
        <v>125</v>
      </c>
    </row>
    <row r="14" spans="1:2" x14ac:dyDescent="0.35">
      <c r="A14" s="27" t="s">
        <v>126</v>
      </c>
    </row>
    <row r="16" spans="1:2" s="2" customFormat="1" x14ac:dyDescent="0.35">
      <c r="A16" s="2" t="s">
        <v>157</v>
      </c>
    </row>
    <row r="17" spans="1:26" x14ac:dyDescent="0.35">
      <c r="A17" s="26" t="s">
        <v>158</v>
      </c>
      <c r="B17" s="28" t="s">
        <v>159</v>
      </c>
    </row>
    <row r="18" spans="1:26" ht="17" x14ac:dyDescent="0.35">
      <c r="A18" t="s">
        <v>160</v>
      </c>
      <c r="B18" s="28" t="s">
        <v>161</v>
      </c>
    </row>
    <row r="19" spans="1:26" x14ac:dyDescent="0.35">
      <c r="A19" t="s">
        <v>162</v>
      </c>
      <c r="B19" s="28" t="s">
        <v>163</v>
      </c>
    </row>
    <row r="20" spans="1:26" x14ac:dyDescent="0.35">
      <c r="A20" t="s">
        <v>164</v>
      </c>
      <c r="B20" s="28" t="s">
        <v>166</v>
      </c>
      <c r="P20" t="s">
        <v>148</v>
      </c>
      <c r="Q20" t="s">
        <v>148</v>
      </c>
      <c r="R20" t="s">
        <v>148</v>
      </c>
      <c r="S20" t="s">
        <v>148</v>
      </c>
      <c r="T20" t="s">
        <v>148</v>
      </c>
      <c r="U20" t="s">
        <v>148</v>
      </c>
      <c r="V20" t="s">
        <v>148</v>
      </c>
      <c r="W20" t="s">
        <v>148</v>
      </c>
      <c r="X20" t="s">
        <v>148</v>
      </c>
    </row>
    <row r="21" spans="1:26" x14ac:dyDescent="0.35">
      <c r="A21" t="s">
        <v>165</v>
      </c>
      <c r="B21" s="28" t="s">
        <v>167</v>
      </c>
    </row>
    <row r="22" spans="1:26" ht="17" x14ac:dyDescent="0.35">
      <c r="A22" t="s">
        <v>168</v>
      </c>
      <c r="B22" s="28" t="s">
        <v>169</v>
      </c>
    </row>
    <row r="23" spans="1:26" x14ac:dyDescent="0.35">
      <c r="A23" t="s">
        <v>170</v>
      </c>
      <c r="B23" t="s">
        <v>172</v>
      </c>
    </row>
    <row r="24" spans="1:26" x14ac:dyDescent="0.35">
      <c r="A24" t="s">
        <v>171</v>
      </c>
      <c r="B24" s="28" t="s">
        <v>173</v>
      </c>
    </row>
    <row r="26" spans="1:26" s="2" customFormat="1" x14ac:dyDescent="0.35">
      <c r="A26" s="2" t="s">
        <v>147</v>
      </c>
      <c r="B26" s="2">
        <v>2009</v>
      </c>
      <c r="C26" s="2">
        <v>2010</v>
      </c>
      <c r="D26" s="2">
        <f>C26+1</f>
        <v>2011</v>
      </c>
      <c r="E26" s="2">
        <f t="shared" ref="E26:Z26" si="0">D26+1</f>
        <v>2012</v>
      </c>
      <c r="F26" s="2">
        <f t="shared" si="0"/>
        <v>2013</v>
      </c>
      <c r="G26" s="2">
        <f t="shared" si="0"/>
        <v>2014</v>
      </c>
      <c r="H26" s="2">
        <f t="shared" si="0"/>
        <v>2015</v>
      </c>
      <c r="I26" s="2">
        <f t="shared" si="0"/>
        <v>2016</v>
      </c>
      <c r="J26" s="2">
        <f t="shared" si="0"/>
        <v>2017</v>
      </c>
      <c r="K26" s="2">
        <f t="shared" si="0"/>
        <v>2018</v>
      </c>
      <c r="L26" s="2">
        <f t="shared" si="0"/>
        <v>2019</v>
      </c>
      <c r="M26" s="2">
        <f t="shared" si="0"/>
        <v>2020</v>
      </c>
      <c r="N26" s="2">
        <f t="shared" si="0"/>
        <v>2021</v>
      </c>
      <c r="O26" s="2">
        <f t="shared" si="0"/>
        <v>2022</v>
      </c>
      <c r="P26" s="2">
        <f t="shared" si="0"/>
        <v>2023</v>
      </c>
      <c r="Q26" s="2">
        <f t="shared" si="0"/>
        <v>2024</v>
      </c>
      <c r="R26" s="2">
        <f t="shared" si="0"/>
        <v>2025</v>
      </c>
      <c r="S26" s="2">
        <f t="shared" si="0"/>
        <v>2026</v>
      </c>
      <c r="T26" s="2">
        <f t="shared" si="0"/>
        <v>2027</v>
      </c>
      <c r="U26" s="2">
        <f t="shared" si="0"/>
        <v>2028</v>
      </c>
      <c r="V26" s="2">
        <f t="shared" si="0"/>
        <v>2029</v>
      </c>
      <c r="W26" s="2">
        <f t="shared" si="0"/>
        <v>2030</v>
      </c>
      <c r="X26" s="2">
        <f t="shared" si="0"/>
        <v>2031</v>
      </c>
      <c r="Y26" s="2">
        <f t="shared" si="0"/>
        <v>2032</v>
      </c>
      <c r="Z26" s="2">
        <f t="shared" si="0"/>
        <v>2033</v>
      </c>
    </row>
    <row r="27" spans="1:26" s="7" customFormat="1" x14ac:dyDescent="0.35">
      <c r="A27" s="7" t="s">
        <v>120</v>
      </c>
      <c r="B27" s="7">
        <v>635017</v>
      </c>
      <c r="C27" s="7">
        <v>645805</v>
      </c>
      <c r="N27" s="7">
        <v>714000</v>
      </c>
      <c r="O27" s="7">
        <v>741000</v>
      </c>
      <c r="U27" s="7">
        <v>1055200</v>
      </c>
      <c r="W27" s="7">
        <v>1233240</v>
      </c>
    </row>
    <row r="28" spans="1:26" s="7" customFormat="1" x14ac:dyDescent="0.35">
      <c r="A28" s="7" t="s">
        <v>145</v>
      </c>
      <c r="B28" s="7">
        <v>49299</v>
      </c>
      <c r="C28" s="7">
        <v>58422</v>
      </c>
      <c r="N28" s="7">
        <v>62000</v>
      </c>
      <c r="O28" s="7">
        <v>67000</v>
      </c>
    </row>
    <row r="29" spans="1:26" s="24" customFormat="1" x14ac:dyDescent="0.35">
      <c r="A29" s="24" t="s">
        <v>146</v>
      </c>
      <c r="B29" s="24">
        <f>B28/B27</f>
        <v>7.7634142078086096E-2</v>
      </c>
      <c r="C29" s="24">
        <f>C28/C27</f>
        <v>9.04638397039354E-2</v>
      </c>
      <c r="N29" s="24">
        <f>N28/N27</f>
        <v>8.683473389355742E-2</v>
      </c>
      <c r="O29" s="24">
        <f>O28/O27</f>
        <v>9.041835357624832E-2</v>
      </c>
    </row>
    <row r="30" spans="1:26" s="24" customFormat="1" x14ac:dyDescent="0.35">
      <c r="A30" s="24" t="s">
        <v>119</v>
      </c>
      <c r="B30" s="24" t="e">
        <f>B27/A27-1</f>
        <v>#VALUE!</v>
      </c>
      <c r="C30" s="24">
        <f>C27/B27-1</f>
        <v>1.6988521567139037E-2</v>
      </c>
      <c r="N30" s="24" t="e">
        <f>N27/M27-1</f>
        <v>#DIV/0!</v>
      </c>
      <c r="O30" s="24">
        <f>O27/N27-1</f>
        <v>3.7815126050420256E-2</v>
      </c>
    </row>
    <row r="32" spans="1:26" s="1" customFormat="1" x14ac:dyDescent="0.35">
      <c r="A32" s="2" t="s">
        <v>130</v>
      </c>
    </row>
    <row r="33" spans="1:1" x14ac:dyDescent="0.35">
      <c r="A33" t="s">
        <v>131</v>
      </c>
    </row>
    <row r="37" spans="1:1" s="2" customFormat="1" x14ac:dyDescent="0.35">
      <c r="A37" s="2" t="s">
        <v>129</v>
      </c>
    </row>
    <row r="38" spans="1:1" x14ac:dyDescent="0.35">
      <c r="A38" s="6" t="s">
        <v>132</v>
      </c>
    </row>
    <row r="39" spans="1:1" x14ac:dyDescent="0.35">
      <c r="A39" s="6" t="s">
        <v>133</v>
      </c>
    </row>
    <row r="40" spans="1:1" x14ac:dyDescent="0.35">
      <c r="A40" s="6" t="s">
        <v>134</v>
      </c>
    </row>
    <row r="41" spans="1:1" x14ac:dyDescent="0.35">
      <c r="A41" s="6" t="s">
        <v>135</v>
      </c>
    </row>
    <row r="42" spans="1:1" x14ac:dyDescent="0.35">
      <c r="A42" s="6" t="s">
        <v>136</v>
      </c>
    </row>
    <row r="43" spans="1:1" x14ac:dyDescent="0.35">
      <c r="A43" s="6" t="s">
        <v>137</v>
      </c>
    </row>
    <row r="44" spans="1:1" x14ac:dyDescent="0.35">
      <c r="A44" s="6" t="s">
        <v>138</v>
      </c>
    </row>
    <row r="45" spans="1:1" x14ac:dyDescent="0.35">
      <c r="A45" s="6" t="s">
        <v>139</v>
      </c>
    </row>
    <row r="46" spans="1:1" x14ac:dyDescent="0.35">
      <c r="A46" s="6" t="s">
        <v>140</v>
      </c>
    </row>
    <row r="48" spans="1:1" s="2" customFormat="1" x14ac:dyDescent="0.35">
      <c r="A48" s="2" t="s">
        <v>141</v>
      </c>
    </row>
    <row r="49" spans="1:2" x14ac:dyDescent="0.35">
      <c r="A49" s="6" t="s">
        <v>142</v>
      </c>
    </row>
    <row r="50" spans="1:2" x14ac:dyDescent="0.35">
      <c r="A50" s="6" t="s">
        <v>152</v>
      </c>
    </row>
    <row r="51" spans="1:2" x14ac:dyDescent="0.35">
      <c r="A51" s="6" t="s">
        <v>143</v>
      </c>
    </row>
    <row r="52" spans="1:2" x14ac:dyDescent="0.35">
      <c r="A52" s="6" t="s">
        <v>133</v>
      </c>
    </row>
    <row r="53" spans="1:2" x14ac:dyDescent="0.35">
      <c r="A53" s="6" t="s">
        <v>144</v>
      </c>
    </row>
    <row r="55" spans="1:2" s="2" customFormat="1" x14ac:dyDescent="0.35">
      <c r="A55" s="2" t="s">
        <v>192</v>
      </c>
    </row>
    <row r="56" spans="1:2" x14ac:dyDescent="0.35">
      <c r="A56" s="6" t="s">
        <v>132</v>
      </c>
    </row>
    <row r="57" spans="1:2" x14ac:dyDescent="0.35">
      <c r="A57" s="6" t="s">
        <v>153</v>
      </c>
    </row>
    <row r="60" spans="1:2" s="2" customFormat="1" x14ac:dyDescent="0.35">
      <c r="A60" s="2" t="s">
        <v>154</v>
      </c>
      <c r="B60" s="2" t="s">
        <v>156</v>
      </c>
    </row>
    <row r="61" spans="1:2" s="4" customFormat="1" x14ac:dyDescent="0.35">
      <c r="A61" s="4" t="s">
        <v>155</v>
      </c>
    </row>
    <row r="62" spans="1:2" x14ac:dyDescent="0.35">
      <c r="A62" t="s">
        <v>188</v>
      </c>
    </row>
    <row r="64" spans="1:2" s="4" customFormat="1" x14ac:dyDescent="0.35">
      <c r="A64" s="4" t="s">
        <v>174</v>
      </c>
    </row>
    <row r="68" spans="1:1" s="4" customFormat="1" x14ac:dyDescent="0.35">
      <c r="A68" s="4" t="s">
        <v>175</v>
      </c>
    </row>
    <row r="72" spans="1:1" s="4" customFormat="1" x14ac:dyDescent="0.35">
      <c r="A72" s="4" t="s">
        <v>176</v>
      </c>
    </row>
    <row r="76" spans="1:1" s="4" customFormat="1" x14ac:dyDescent="0.35">
      <c r="A76" s="4" t="s">
        <v>177</v>
      </c>
    </row>
    <row r="79" spans="1:1" s="4" customFormat="1" x14ac:dyDescent="0.35">
      <c r="A79" s="4" t="s">
        <v>179</v>
      </c>
    </row>
    <row r="83" spans="1:1" s="4" customFormat="1" x14ac:dyDescent="0.35">
      <c r="A83" s="4" t="s">
        <v>178</v>
      </c>
    </row>
    <row r="86" spans="1:1" s="4" customFormat="1" x14ac:dyDescent="0.35">
      <c r="A86" s="4" t="s">
        <v>180</v>
      </c>
    </row>
    <row r="89" spans="1:1" s="4" customFormat="1" x14ac:dyDescent="0.35">
      <c r="A89" s="4" t="s">
        <v>181</v>
      </c>
    </row>
    <row r="95" spans="1:1" s="4" customFormat="1" x14ac:dyDescent="0.35">
      <c r="A95" s="4" t="s">
        <v>182</v>
      </c>
    </row>
    <row r="100" spans="1:1" s="4" customFormat="1" x14ac:dyDescent="0.35">
      <c r="A100" s="4" t="s">
        <v>183</v>
      </c>
    </row>
    <row r="105" spans="1:1" s="4" customFormat="1" x14ac:dyDescent="0.35">
      <c r="A105" s="4" t="s">
        <v>184</v>
      </c>
    </row>
    <row r="106" spans="1:1" x14ac:dyDescent="0.35">
      <c r="A106" t="s">
        <v>190</v>
      </c>
    </row>
    <row r="107" spans="1:1" x14ac:dyDescent="0.35">
      <c r="A107" t="s">
        <v>191</v>
      </c>
    </row>
    <row r="108" spans="1:1" s="4" customFormat="1" x14ac:dyDescent="0.35">
      <c r="A108" s="4" t="s">
        <v>185</v>
      </c>
    </row>
    <row r="109" spans="1:1" x14ac:dyDescent="0.35">
      <c r="A109" t="s">
        <v>189</v>
      </c>
    </row>
    <row r="110" spans="1:1" s="4" customFormat="1" x14ac:dyDescent="0.35">
      <c r="A110" s="4" t="s">
        <v>186</v>
      </c>
    </row>
    <row r="111" spans="1:1" x14ac:dyDescent="0.35">
      <c r="A111" t="s">
        <v>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0126-BCEC-4955-9E0E-CDA1E5117D90}">
  <dimension ref="B1:AH156"/>
  <sheetViews>
    <sheetView tabSelected="1" workbookViewId="0">
      <pane xSplit="2" ySplit="7" topLeftCell="C125" activePane="bottomRight" state="frozen"/>
      <selection pane="topRight" activeCell="C1" sqref="C1"/>
      <selection pane="bottomLeft" activeCell="A6" sqref="A6"/>
      <selection pane="bottomRight" activeCell="N142" sqref="N142"/>
    </sheetView>
  </sheetViews>
  <sheetFormatPr defaultRowHeight="14.5" x14ac:dyDescent="0.35"/>
  <cols>
    <col min="2" max="2" width="24.36328125" customWidth="1"/>
    <col min="7" max="7" width="9.453125" style="46" bestFit="1" customWidth="1"/>
    <col min="8" max="9" width="9.453125" bestFit="1" customWidth="1"/>
    <col min="10" max="10" width="10.453125" bestFit="1" customWidth="1"/>
    <col min="11" max="11" width="9.453125" style="46" bestFit="1" customWidth="1"/>
    <col min="12" max="12" width="9.453125" bestFit="1" customWidth="1"/>
    <col min="13" max="14" width="10.453125" bestFit="1" customWidth="1"/>
    <col min="15" max="15" width="9.453125" style="46" bestFit="1" customWidth="1"/>
    <col min="16" max="17" width="9.453125" bestFit="1" customWidth="1"/>
    <col min="18" max="18" width="10.453125" bestFit="1" customWidth="1"/>
    <col min="19" max="20" width="9.453125" bestFit="1" customWidth="1"/>
    <col min="31" max="34" width="10.453125" bestFit="1" customWidth="1"/>
  </cols>
  <sheetData>
    <row r="1" spans="2:34" s="5" customFormat="1" x14ac:dyDescent="0.35">
      <c r="B1" s="5" t="s">
        <v>0</v>
      </c>
      <c r="G1" s="38" t="s">
        <v>116</v>
      </c>
      <c r="H1" s="5" t="s">
        <v>115</v>
      </c>
      <c r="I1" s="5" t="s">
        <v>114</v>
      </c>
      <c r="J1" s="5" t="s">
        <v>113</v>
      </c>
      <c r="K1" s="38" t="s">
        <v>111</v>
      </c>
      <c r="L1" s="5" t="s">
        <v>112</v>
      </c>
      <c r="M1" s="5" t="s">
        <v>110</v>
      </c>
      <c r="N1" s="5" t="s">
        <v>109</v>
      </c>
      <c r="O1" s="38" t="s">
        <v>117</v>
      </c>
      <c r="P1" s="5" t="s">
        <v>118</v>
      </c>
      <c r="Q1" s="5" t="s">
        <v>199</v>
      </c>
      <c r="R1" s="5" t="s">
        <v>200</v>
      </c>
      <c r="S1" s="5" t="s">
        <v>201</v>
      </c>
      <c r="T1" s="5" t="s">
        <v>222</v>
      </c>
      <c r="AE1" s="5">
        <v>2020</v>
      </c>
      <c r="AF1" s="5">
        <v>2021</v>
      </c>
      <c r="AG1" s="5">
        <v>2022</v>
      </c>
      <c r="AH1" s="5">
        <v>2023</v>
      </c>
    </row>
    <row r="2" spans="2:34" x14ac:dyDescent="0.35">
      <c r="B2" t="s">
        <v>1</v>
      </c>
      <c r="G2" s="39">
        <v>44340</v>
      </c>
      <c r="H2" s="3">
        <v>44421</v>
      </c>
      <c r="I2" s="3">
        <v>44652</v>
      </c>
      <c r="J2" s="3">
        <v>44662</v>
      </c>
      <c r="K2" s="39">
        <v>44694</v>
      </c>
      <c r="L2" s="3">
        <v>44788</v>
      </c>
      <c r="M2" s="3">
        <v>44879</v>
      </c>
      <c r="N2" s="3">
        <v>45016</v>
      </c>
      <c r="O2" s="39">
        <v>45058</v>
      </c>
      <c r="P2" s="3">
        <v>45147</v>
      </c>
      <c r="Q2" s="3">
        <v>45238</v>
      </c>
      <c r="R2" s="3">
        <v>45371</v>
      </c>
      <c r="S2" s="3">
        <v>45422</v>
      </c>
      <c r="T2" s="3">
        <v>45512</v>
      </c>
      <c r="AE2" s="3">
        <v>44284</v>
      </c>
      <c r="AF2" s="3">
        <v>44662</v>
      </c>
      <c r="AG2" s="3">
        <v>45016</v>
      </c>
      <c r="AH2" s="3">
        <v>45371</v>
      </c>
    </row>
    <row r="3" spans="2:34" x14ac:dyDescent="0.35">
      <c r="B3" t="s">
        <v>2</v>
      </c>
      <c r="G3" s="39">
        <v>44286</v>
      </c>
      <c r="H3" s="3">
        <v>44377</v>
      </c>
      <c r="I3" s="3">
        <v>44469</v>
      </c>
      <c r="J3" s="3">
        <v>44561</v>
      </c>
      <c r="K3" s="39">
        <v>44651</v>
      </c>
      <c r="L3" s="3">
        <v>44742</v>
      </c>
      <c r="M3" s="3">
        <v>44834</v>
      </c>
      <c r="N3" s="3">
        <v>44926</v>
      </c>
      <c r="O3" s="39">
        <v>45016</v>
      </c>
      <c r="P3" s="3">
        <v>45107</v>
      </c>
      <c r="Q3" t="s">
        <v>218</v>
      </c>
      <c r="R3" s="3">
        <v>45291</v>
      </c>
      <c r="S3" s="3">
        <v>45382</v>
      </c>
      <c r="T3" s="3">
        <v>45473</v>
      </c>
      <c r="AE3" s="3">
        <v>44196</v>
      </c>
      <c r="AF3" s="3">
        <v>44561</v>
      </c>
      <c r="AG3" s="3">
        <v>44926</v>
      </c>
      <c r="AH3" s="3">
        <v>45291</v>
      </c>
    </row>
    <row r="4" spans="2:34" s="2" customFormat="1" x14ac:dyDescent="0.35">
      <c r="B4" s="2" t="s">
        <v>3</v>
      </c>
      <c r="G4" s="40"/>
      <c r="K4" s="40"/>
      <c r="O4" s="40"/>
    </row>
    <row r="5" spans="2:34" s="21" customFormat="1" x14ac:dyDescent="0.35">
      <c r="B5" s="21" t="s">
        <v>101</v>
      </c>
      <c r="G5" s="41">
        <v>11.75</v>
      </c>
      <c r="H5" s="21">
        <v>11.39</v>
      </c>
      <c r="I5" s="21">
        <v>13.34</v>
      </c>
      <c r="J5" s="21">
        <v>16.98</v>
      </c>
      <c r="K5" s="41">
        <v>8.3699999999999992</v>
      </c>
      <c r="L5" s="21">
        <v>7.15</v>
      </c>
      <c r="M5" s="21">
        <v>3.98</v>
      </c>
      <c r="N5" s="21">
        <v>2.95</v>
      </c>
      <c r="O5" s="41">
        <v>4.58</v>
      </c>
      <c r="P5" s="21">
        <v>3.3</v>
      </c>
      <c r="AE5" s="21">
        <v>16.98</v>
      </c>
      <c r="AF5" s="21">
        <v>8.7799999999999994</v>
      </c>
      <c r="AG5" s="21">
        <v>4.58</v>
      </c>
    </row>
    <row r="6" spans="2:34" s="21" customFormat="1" x14ac:dyDescent="0.35">
      <c r="B6" s="21" t="s">
        <v>102</v>
      </c>
      <c r="G6" s="41">
        <v>9.76</v>
      </c>
      <c r="H6" s="21">
        <v>9.98</v>
      </c>
      <c r="I6" s="21">
        <v>9.8000000000000007</v>
      </c>
      <c r="J6" s="21">
        <v>6.44</v>
      </c>
      <c r="K6" s="41">
        <v>4.25</v>
      </c>
      <c r="L6" s="21">
        <v>2.82</v>
      </c>
      <c r="M6" s="21">
        <v>2.29</v>
      </c>
      <c r="N6" s="21">
        <v>1.67</v>
      </c>
      <c r="O6" s="41">
        <v>1.92</v>
      </c>
      <c r="P6" s="21">
        <v>2.35</v>
      </c>
      <c r="AE6" s="21">
        <v>6.44</v>
      </c>
      <c r="AF6" s="21">
        <v>1.67</v>
      </c>
      <c r="AG6" s="21">
        <v>1.92</v>
      </c>
    </row>
    <row r="7" spans="2:34" s="22" customFormat="1" x14ac:dyDescent="0.35">
      <c r="B7" s="22" t="s">
        <v>103</v>
      </c>
      <c r="G7" s="42">
        <v>10.4</v>
      </c>
      <c r="H7" s="22">
        <v>10.14</v>
      </c>
      <c r="I7" s="22">
        <v>10.43</v>
      </c>
      <c r="J7" s="22">
        <v>9.68</v>
      </c>
      <c r="K7" s="42">
        <v>6.06</v>
      </c>
      <c r="L7" s="22">
        <v>4.84</v>
      </c>
      <c r="M7" s="22">
        <v>3.1</v>
      </c>
      <c r="N7" s="22">
        <v>2.2999999999999998</v>
      </c>
      <c r="O7" s="42">
        <v>2.95</v>
      </c>
      <c r="P7" s="22">
        <v>2.73</v>
      </c>
      <c r="AE7" s="22">
        <v>10.15</v>
      </c>
      <c r="AF7" s="22">
        <v>4.0599999999999996</v>
      </c>
      <c r="AG7" s="22">
        <v>2.96</v>
      </c>
    </row>
    <row r="9" spans="2:34" s="2" customFormat="1" x14ac:dyDescent="0.35">
      <c r="B9" s="2" t="s">
        <v>214</v>
      </c>
      <c r="G9" s="40"/>
      <c r="K9" s="40"/>
      <c r="O9" s="40"/>
    </row>
    <row r="10" spans="2:34" s="9" customFormat="1" x14ac:dyDescent="0.35">
      <c r="B10" s="9" t="s">
        <v>213</v>
      </c>
      <c r="G10" s="43"/>
      <c r="I10" s="9">
        <v>121368</v>
      </c>
      <c r="J10" s="9">
        <v>139742</v>
      </c>
      <c r="K10" s="43">
        <v>137301</v>
      </c>
      <c r="L10" s="9">
        <v>162137</v>
      </c>
      <c r="M10" s="9">
        <v>158930</v>
      </c>
      <c r="N10" s="9">
        <v>313057</v>
      </c>
      <c r="O10" s="43">
        <v>286750</v>
      </c>
      <c r="P10" s="9">
        <v>272831</v>
      </c>
      <c r="Q10" s="9">
        <v>253430</v>
      </c>
      <c r="R10" s="9">
        <v>372790</v>
      </c>
      <c r="S10" s="9">
        <v>317964</v>
      </c>
      <c r="T10" s="9">
        <v>354344</v>
      </c>
      <c r="AE10" s="9">
        <v>122273</v>
      </c>
      <c r="AF10" s="9">
        <v>139742</v>
      </c>
      <c r="AG10" s="9">
        <v>313057</v>
      </c>
      <c r="AH10" s="9">
        <v>372790</v>
      </c>
    </row>
    <row r="11" spans="2:34" s="36" customFormat="1" x14ac:dyDescent="0.35">
      <c r="B11" s="35" t="s">
        <v>217</v>
      </c>
      <c r="G11" s="44"/>
      <c r="K11" s="44"/>
      <c r="O11" s="44"/>
      <c r="AE11" s="36" t="e">
        <f>AE10/AD10-1</f>
        <v>#DIV/0!</v>
      </c>
      <c r="AF11" s="36">
        <f>AF10/AE10-1</f>
        <v>0.14286882631488562</v>
      </c>
      <c r="AG11" s="36">
        <f>AG10/AF10-1</f>
        <v>1.2402498890813072</v>
      </c>
      <c r="AH11" s="36">
        <f>AH10/AG10-1</f>
        <v>0.19080550826207365</v>
      </c>
    </row>
    <row r="12" spans="2:34" s="7" customFormat="1" x14ac:dyDescent="0.35">
      <c r="B12" s="7" t="s">
        <v>215</v>
      </c>
      <c r="G12" s="37"/>
      <c r="I12" s="7">
        <v>18650</v>
      </c>
      <c r="K12" s="37">
        <v>30426</v>
      </c>
      <c r="L12" s="7">
        <v>61563</v>
      </c>
      <c r="M12" s="7">
        <v>34042</v>
      </c>
      <c r="N12" s="7">
        <f>AG12-M12-L12-K12</f>
        <v>201004</v>
      </c>
      <c r="O12" s="37">
        <v>29665</v>
      </c>
      <c r="P12" s="7">
        <v>45646</v>
      </c>
      <c r="Q12" s="7">
        <v>46523</v>
      </c>
      <c r="R12" s="7">
        <v>45646</v>
      </c>
      <c r="S12" s="7">
        <v>35101</v>
      </c>
      <c r="T12" s="7">
        <v>114437</v>
      </c>
      <c r="AE12" s="7">
        <v>22668</v>
      </c>
      <c r="AF12" s="7">
        <v>155070</v>
      </c>
      <c r="AG12" s="7">
        <v>327035</v>
      </c>
      <c r="AH12" s="7">
        <v>300042</v>
      </c>
    </row>
    <row r="13" spans="2:34" s="7" customFormat="1" x14ac:dyDescent="0.35">
      <c r="B13" s="7" t="s">
        <v>53</v>
      </c>
      <c r="F13" s="7">
        <f>F37</f>
        <v>0</v>
      </c>
      <c r="G13" s="37">
        <f t="shared" ref="G13:V13" si="0">G37</f>
        <v>31698</v>
      </c>
      <c r="H13" s="7">
        <f t="shared" si="0"/>
        <v>32148</v>
      </c>
      <c r="I13" s="7">
        <f t="shared" si="0"/>
        <v>32680</v>
      </c>
      <c r="J13" s="7">
        <f t="shared" si="0"/>
        <v>41075</v>
      </c>
      <c r="K13" s="37">
        <f t="shared" si="0"/>
        <v>32867</v>
      </c>
      <c r="L13" s="7">
        <f t="shared" si="0"/>
        <v>36728</v>
      </c>
      <c r="M13" s="7">
        <f t="shared" si="0"/>
        <v>37249</v>
      </c>
      <c r="N13" s="7">
        <f t="shared" si="0"/>
        <v>53705</v>
      </c>
      <c r="O13" s="37">
        <f t="shared" si="0"/>
        <v>57605</v>
      </c>
      <c r="P13" s="7">
        <f t="shared" si="0"/>
        <v>60098</v>
      </c>
      <c r="Q13" s="7">
        <f t="shared" si="0"/>
        <v>62612</v>
      </c>
      <c r="R13" s="7">
        <f t="shared" si="0"/>
        <v>63485</v>
      </c>
      <c r="S13" s="7">
        <f t="shared" si="0"/>
        <v>87792</v>
      </c>
      <c r="T13" s="7">
        <f t="shared" si="0"/>
        <v>78111</v>
      </c>
      <c r="U13" s="7">
        <f t="shared" si="0"/>
        <v>0</v>
      </c>
      <c r="V13" s="7">
        <f t="shared" si="0"/>
        <v>0</v>
      </c>
      <c r="AE13" s="7">
        <f>AE37</f>
        <v>40785</v>
      </c>
      <c r="AF13" s="7">
        <f>AF37</f>
        <v>137601</v>
      </c>
      <c r="AG13" s="7">
        <f>AG37</f>
        <v>160549</v>
      </c>
      <c r="AH13" s="7">
        <f>AH37</f>
        <v>243800</v>
      </c>
    </row>
    <row r="14" spans="2:34" s="16" customFormat="1" x14ac:dyDescent="0.35">
      <c r="B14" s="16" t="s">
        <v>216</v>
      </c>
      <c r="F14" s="16" t="e">
        <f>F12/F13</f>
        <v>#DIV/0!</v>
      </c>
      <c r="G14" s="45">
        <f t="shared" ref="G14:V14" si="1">G12/G13</f>
        <v>0</v>
      </c>
      <c r="H14" s="16">
        <f t="shared" si="1"/>
        <v>0</v>
      </c>
      <c r="I14" s="16">
        <f t="shared" si="1"/>
        <v>0.57068543451652387</v>
      </c>
      <c r="J14" s="16">
        <f t="shared" si="1"/>
        <v>0</v>
      </c>
      <c r="K14" s="45">
        <f t="shared" si="1"/>
        <v>0.92573097635926616</v>
      </c>
      <c r="L14" s="16">
        <f t="shared" si="1"/>
        <v>1.6761871052058375</v>
      </c>
      <c r="M14" s="16">
        <f t="shared" si="1"/>
        <v>0.91390372895916672</v>
      </c>
      <c r="N14" s="16">
        <f t="shared" si="1"/>
        <v>3.742742761381622</v>
      </c>
      <c r="O14" s="45">
        <f t="shared" si="1"/>
        <v>0.51497265862338337</v>
      </c>
      <c r="P14" s="16">
        <f t="shared" si="1"/>
        <v>0.75952610735798198</v>
      </c>
      <c r="Q14" s="16">
        <f t="shared" si="1"/>
        <v>0.74303647863029454</v>
      </c>
      <c r="R14" s="16">
        <f t="shared" si="1"/>
        <v>0.71900448924942895</v>
      </c>
      <c r="S14" s="16">
        <f t="shared" si="1"/>
        <v>0.39982002915983234</v>
      </c>
      <c r="T14" s="16">
        <f t="shared" si="1"/>
        <v>1.4650561380599403</v>
      </c>
      <c r="U14" s="16" t="e">
        <f t="shared" si="1"/>
        <v>#DIV/0!</v>
      </c>
      <c r="V14" s="16" t="e">
        <f t="shared" si="1"/>
        <v>#DIV/0!</v>
      </c>
      <c r="AE14" s="16">
        <f>AE12/AE13</f>
        <v>0.55579257079808753</v>
      </c>
      <c r="AF14" s="16">
        <f>AF12/AF13</f>
        <v>1.1269540192295113</v>
      </c>
      <c r="AG14" s="16">
        <f>AG12/AG13</f>
        <v>2.0369793645553695</v>
      </c>
      <c r="AH14" s="16">
        <f>AH12/AH13</f>
        <v>1.2306890894175553</v>
      </c>
    </row>
    <row r="15" spans="2:34" s="2" customFormat="1" x14ac:dyDescent="0.35">
      <c r="B15" s="2" t="s">
        <v>211</v>
      </c>
      <c r="G15" s="40"/>
      <c r="K15" s="40"/>
      <c r="O15" s="40"/>
    </row>
    <row r="16" spans="2:34" s="7" customFormat="1" x14ac:dyDescent="0.35">
      <c r="B16" s="7" t="s">
        <v>202</v>
      </c>
      <c r="G16" s="37"/>
      <c r="I16" s="7">
        <v>18166</v>
      </c>
      <c r="K16" s="37">
        <v>16164</v>
      </c>
      <c r="L16" s="7">
        <v>16850</v>
      </c>
      <c r="M16" s="7">
        <v>13391</v>
      </c>
      <c r="N16" s="7">
        <f>AG16-M16-L16-K16</f>
        <v>16598</v>
      </c>
      <c r="O16" s="37">
        <v>26055</v>
      </c>
      <c r="P16" s="7">
        <v>27440</v>
      </c>
      <c r="Q16" s="7">
        <v>29336</v>
      </c>
      <c r="R16" s="7">
        <f>AH16-Q16-P16-O16</f>
        <v>19763</v>
      </c>
      <c r="S16" s="7">
        <v>22926</v>
      </c>
      <c r="T16" s="7">
        <v>25052</v>
      </c>
      <c r="AE16" s="7">
        <v>23571</v>
      </c>
      <c r="AF16" s="7">
        <v>60052</v>
      </c>
      <c r="AG16" s="7">
        <v>63003</v>
      </c>
      <c r="AH16" s="7">
        <v>102594</v>
      </c>
    </row>
    <row r="17" spans="2:34" s="7" customFormat="1" x14ac:dyDescent="0.35">
      <c r="B17" s="7" t="s">
        <v>203</v>
      </c>
      <c r="G17" s="37"/>
      <c r="I17" s="7">
        <v>6896</v>
      </c>
      <c r="K17" s="37">
        <v>7578</v>
      </c>
      <c r="L17" s="7">
        <v>9632</v>
      </c>
      <c r="M17" s="7">
        <v>12032</v>
      </c>
      <c r="N17" s="7">
        <f>AG17-M17-L17-K17</f>
        <v>14664</v>
      </c>
      <c r="O17" s="37">
        <v>10582</v>
      </c>
      <c r="P17" s="7">
        <v>14178</v>
      </c>
      <c r="Q17" s="7">
        <v>13393</v>
      </c>
      <c r="R17" s="7">
        <f>AH17-Q17-P17-O17</f>
        <v>20900</v>
      </c>
      <c r="S17" s="7">
        <v>13922</v>
      </c>
      <c r="T17" s="7">
        <v>16247</v>
      </c>
      <c r="AE17" s="7">
        <v>7034</v>
      </c>
      <c r="AF17" s="7">
        <v>29833</v>
      </c>
      <c r="AG17" s="7">
        <v>43906</v>
      </c>
      <c r="AH17" s="7">
        <v>59053</v>
      </c>
    </row>
    <row r="18" spans="2:34" s="8" customFormat="1" x14ac:dyDescent="0.35">
      <c r="B18" s="8" t="s">
        <v>204</v>
      </c>
      <c r="I18" s="8">
        <v>7618</v>
      </c>
      <c r="K18" s="8">
        <v>9125</v>
      </c>
      <c r="L18" s="8">
        <v>10246</v>
      </c>
      <c r="M18" s="8">
        <v>11826</v>
      </c>
      <c r="N18" s="8">
        <f>AG18-M18-L18-K18</f>
        <v>22443</v>
      </c>
      <c r="O18" s="8">
        <v>20968</v>
      </c>
      <c r="P18" s="8">
        <v>18480</v>
      </c>
      <c r="Q18" s="8">
        <v>19883</v>
      </c>
      <c r="R18" s="8">
        <f>AH18-Q18-P18-O18</f>
        <v>22822</v>
      </c>
      <c r="S18" s="8">
        <v>50944</v>
      </c>
      <c r="T18" s="8">
        <v>36812</v>
      </c>
      <c r="AE18" s="8">
        <v>10180</v>
      </c>
      <c r="AF18" s="8">
        <v>47716</v>
      </c>
      <c r="AG18" s="8">
        <v>53640</v>
      </c>
      <c r="AH18" s="8">
        <v>82153</v>
      </c>
    </row>
    <row r="19" spans="2:34" s="9" customFormat="1" x14ac:dyDescent="0.35">
      <c r="B19" s="9" t="s">
        <v>205</v>
      </c>
      <c r="F19" s="9">
        <f>SUM(F16:F18)</f>
        <v>0</v>
      </c>
      <c r="G19" s="43">
        <f t="shared" ref="G19:V19" si="2">SUM(G16:G18)</f>
        <v>0</v>
      </c>
      <c r="H19" s="9">
        <f t="shared" si="2"/>
        <v>0</v>
      </c>
      <c r="I19" s="9">
        <f t="shared" si="2"/>
        <v>32680</v>
      </c>
      <c r="J19" s="9">
        <f t="shared" si="2"/>
        <v>0</v>
      </c>
      <c r="K19" s="43">
        <f t="shared" si="2"/>
        <v>32867</v>
      </c>
      <c r="L19" s="9">
        <f t="shared" si="2"/>
        <v>36728</v>
      </c>
      <c r="M19" s="9">
        <f t="shared" si="2"/>
        <v>37249</v>
      </c>
      <c r="N19" s="9">
        <f t="shared" si="2"/>
        <v>53705</v>
      </c>
      <c r="O19" s="43">
        <f t="shared" si="2"/>
        <v>57605</v>
      </c>
      <c r="P19" s="9">
        <f t="shared" si="2"/>
        <v>60098</v>
      </c>
      <c r="Q19" s="9">
        <f t="shared" si="2"/>
        <v>62612</v>
      </c>
      <c r="R19" s="9">
        <f t="shared" si="2"/>
        <v>63485</v>
      </c>
      <c r="S19" s="9">
        <f t="shared" si="2"/>
        <v>87792</v>
      </c>
      <c r="T19" s="9">
        <f t="shared" si="2"/>
        <v>78111</v>
      </c>
      <c r="U19" s="9">
        <f t="shared" si="2"/>
        <v>0</v>
      </c>
      <c r="V19" s="9">
        <f t="shared" si="2"/>
        <v>0</v>
      </c>
      <c r="AB19" s="9">
        <f>SUM(AB16:AB18)</f>
        <v>0</v>
      </c>
      <c r="AC19" s="9">
        <f t="shared" ref="AC19:AF19" si="3">SUM(AC16:AC18)</f>
        <v>0</v>
      </c>
      <c r="AD19" s="9">
        <f t="shared" si="3"/>
        <v>0</v>
      </c>
      <c r="AE19" s="9">
        <f t="shared" si="3"/>
        <v>40785</v>
      </c>
      <c r="AF19" s="9">
        <f t="shared" si="3"/>
        <v>137601</v>
      </c>
      <c r="AG19" s="9">
        <f t="shared" ref="AG19" si="4">SUM(AG16:AG18)</f>
        <v>160549</v>
      </c>
      <c r="AH19" s="9">
        <f t="shared" ref="AH19" si="5">SUM(AH16:AH18)</f>
        <v>243800</v>
      </c>
    </row>
    <row r="20" spans="2:34" x14ac:dyDescent="0.35">
      <c r="B20" s="30" t="s">
        <v>209</v>
      </c>
    </row>
    <row r="21" spans="2:34" s="32" customFormat="1" x14ac:dyDescent="0.35">
      <c r="B21" s="31" t="s">
        <v>202</v>
      </c>
      <c r="F21" s="32" t="e">
        <f>F16/F$19</f>
        <v>#DIV/0!</v>
      </c>
      <c r="G21" s="47" t="e">
        <f t="shared" ref="G21:V21" si="6">G16/G$19</f>
        <v>#DIV/0!</v>
      </c>
      <c r="H21" s="32" t="e">
        <f t="shared" si="6"/>
        <v>#DIV/0!</v>
      </c>
      <c r="I21" s="32">
        <f t="shared" si="6"/>
        <v>0.55587515299877599</v>
      </c>
      <c r="J21" s="32" t="e">
        <f t="shared" si="6"/>
        <v>#DIV/0!</v>
      </c>
      <c r="K21" s="47">
        <f t="shared" si="6"/>
        <v>0.49180028600115616</v>
      </c>
      <c r="L21" s="32">
        <f t="shared" si="6"/>
        <v>0.45877804399912875</v>
      </c>
      <c r="M21" s="32">
        <f t="shared" si="6"/>
        <v>0.35949958388144648</v>
      </c>
      <c r="N21" s="32">
        <f t="shared" si="6"/>
        <v>0.30905874685783447</v>
      </c>
      <c r="O21" s="47">
        <f t="shared" si="6"/>
        <v>0.45230448745768598</v>
      </c>
      <c r="P21" s="32">
        <f t="shared" si="6"/>
        <v>0.45658757362973812</v>
      </c>
      <c r="Q21" s="32">
        <f t="shared" si="6"/>
        <v>0.46853638280201876</v>
      </c>
      <c r="R21" s="32">
        <f t="shared" si="6"/>
        <v>0.3113018823344097</v>
      </c>
      <c r="S21" s="32">
        <f t="shared" si="6"/>
        <v>0.26113996719518862</v>
      </c>
      <c r="T21" s="32">
        <f t="shared" si="6"/>
        <v>0.32072307357478458</v>
      </c>
      <c r="U21" s="32" t="e">
        <f t="shared" si="6"/>
        <v>#DIV/0!</v>
      </c>
      <c r="V21" s="32" t="e">
        <f t="shared" si="6"/>
        <v>#DIV/0!</v>
      </c>
      <c r="AB21" s="32" t="e">
        <f>AB16/AB$19</f>
        <v>#DIV/0!</v>
      </c>
      <c r="AC21" s="32" t="e">
        <f t="shared" ref="AC21:AG21" si="7">AC16/AC$19</f>
        <v>#DIV/0!</v>
      </c>
      <c r="AD21" s="32" t="e">
        <f t="shared" si="7"/>
        <v>#DIV/0!</v>
      </c>
      <c r="AE21" s="32">
        <f t="shared" si="7"/>
        <v>0.57793306362633323</v>
      </c>
      <c r="AF21" s="32">
        <f t="shared" si="7"/>
        <v>0.43642124693861234</v>
      </c>
      <c r="AG21" s="32">
        <f t="shared" si="7"/>
        <v>0.39242225115073903</v>
      </c>
      <c r="AH21" s="32">
        <f>AH16/AH$19</f>
        <v>0.42081214109926168</v>
      </c>
    </row>
    <row r="22" spans="2:34" s="32" customFormat="1" x14ac:dyDescent="0.35">
      <c r="B22" s="31" t="s">
        <v>203</v>
      </c>
      <c r="F22" s="32" t="e">
        <f>F17/F$19</f>
        <v>#DIV/0!</v>
      </c>
      <c r="G22" s="47" t="e">
        <f t="shared" ref="G22:V22" si="8">G17/G$19</f>
        <v>#DIV/0!</v>
      </c>
      <c r="H22" s="32" t="e">
        <f t="shared" si="8"/>
        <v>#DIV/0!</v>
      </c>
      <c r="I22" s="32">
        <f t="shared" si="8"/>
        <v>0.21101591187270502</v>
      </c>
      <c r="J22" s="32" t="e">
        <f t="shared" si="8"/>
        <v>#DIV/0!</v>
      </c>
      <c r="K22" s="47">
        <f t="shared" si="8"/>
        <v>0.2305656129248182</v>
      </c>
      <c r="L22" s="32">
        <f t="shared" si="8"/>
        <v>0.26225223262905684</v>
      </c>
      <c r="M22" s="32">
        <f t="shared" si="8"/>
        <v>0.32301538296330101</v>
      </c>
      <c r="N22" s="32">
        <f t="shared" si="8"/>
        <v>0.27304720230890978</v>
      </c>
      <c r="O22" s="47">
        <f t="shared" si="8"/>
        <v>0.18369933165523827</v>
      </c>
      <c r="P22" s="32">
        <f t="shared" si="8"/>
        <v>0.23591467270125463</v>
      </c>
      <c r="Q22" s="32">
        <f t="shared" si="8"/>
        <v>0.21390468280840733</v>
      </c>
      <c r="R22" s="32">
        <f t="shared" si="8"/>
        <v>0.32921162479325827</v>
      </c>
      <c r="S22" s="32">
        <f t="shared" si="8"/>
        <v>0.15857936941862585</v>
      </c>
      <c r="T22" s="32">
        <f t="shared" si="8"/>
        <v>0.20799887339811293</v>
      </c>
      <c r="U22" s="32" t="e">
        <f t="shared" si="8"/>
        <v>#DIV/0!</v>
      </c>
      <c r="V22" s="32" t="e">
        <f t="shared" si="8"/>
        <v>#DIV/0!</v>
      </c>
      <c r="AB22" s="32" t="e">
        <f>AB17/AB$19</f>
        <v>#DIV/0!</v>
      </c>
      <c r="AC22" s="32" t="e">
        <f t="shared" ref="AC22:AG22" si="9">AC17/AC$19</f>
        <v>#DIV/0!</v>
      </c>
      <c r="AD22" s="32" t="e">
        <f t="shared" si="9"/>
        <v>#DIV/0!</v>
      </c>
      <c r="AE22" s="32">
        <f t="shared" si="9"/>
        <v>0.17246536716930244</v>
      </c>
      <c r="AF22" s="32">
        <f t="shared" si="9"/>
        <v>0.21680801738359459</v>
      </c>
      <c r="AG22" s="32">
        <f t="shared" si="9"/>
        <v>0.27347414185077451</v>
      </c>
      <c r="AH22" s="32">
        <f>AH17/AH$19</f>
        <v>0.24221903199343725</v>
      </c>
    </row>
    <row r="23" spans="2:34" s="34" customFormat="1" x14ac:dyDescent="0.35">
      <c r="B23" s="33" t="s">
        <v>204</v>
      </c>
      <c r="F23" s="34" t="e">
        <f>F18/F$19</f>
        <v>#DIV/0!</v>
      </c>
      <c r="G23" s="34" t="e">
        <f t="shared" ref="G23:V23" si="10">G18/G$19</f>
        <v>#DIV/0!</v>
      </c>
      <c r="H23" s="34" t="e">
        <f t="shared" si="10"/>
        <v>#DIV/0!</v>
      </c>
      <c r="I23" s="34">
        <f t="shared" si="10"/>
        <v>0.23310893512851896</v>
      </c>
      <c r="J23" s="34" t="e">
        <f t="shared" si="10"/>
        <v>#DIV/0!</v>
      </c>
      <c r="K23" s="34">
        <f t="shared" si="10"/>
        <v>0.27763410107402564</v>
      </c>
      <c r="L23" s="34">
        <f t="shared" si="10"/>
        <v>0.27896972337181442</v>
      </c>
      <c r="M23" s="34">
        <f t="shared" si="10"/>
        <v>0.31748503315525251</v>
      </c>
      <c r="N23" s="34">
        <f t="shared" si="10"/>
        <v>0.41789405083325576</v>
      </c>
      <c r="O23" s="34">
        <f t="shared" si="10"/>
        <v>0.36399618088707575</v>
      </c>
      <c r="P23" s="34">
        <f t="shared" si="10"/>
        <v>0.30749775366900728</v>
      </c>
      <c r="Q23" s="34">
        <f t="shared" si="10"/>
        <v>0.31755893438957389</v>
      </c>
      <c r="R23" s="34">
        <f t="shared" si="10"/>
        <v>0.35948649287233203</v>
      </c>
      <c r="S23" s="34">
        <f t="shared" si="10"/>
        <v>0.58028066338618556</v>
      </c>
      <c r="T23" s="34">
        <f t="shared" si="10"/>
        <v>0.47127805302710246</v>
      </c>
      <c r="U23" s="34" t="e">
        <f t="shared" si="10"/>
        <v>#DIV/0!</v>
      </c>
      <c r="V23" s="34" t="e">
        <f t="shared" si="10"/>
        <v>#DIV/0!</v>
      </c>
      <c r="AB23" s="34" t="e">
        <f>AB18/AB$19</f>
        <v>#DIV/0!</v>
      </c>
      <c r="AC23" s="34" t="e">
        <f t="shared" ref="AC23:AG23" si="11">AC18/AC$19</f>
        <v>#DIV/0!</v>
      </c>
      <c r="AD23" s="34" t="e">
        <f t="shared" si="11"/>
        <v>#DIV/0!</v>
      </c>
      <c r="AE23" s="34">
        <f t="shared" si="11"/>
        <v>0.24960156920436435</v>
      </c>
      <c r="AF23" s="34">
        <f t="shared" si="11"/>
        <v>0.34677073567779304</v>
      </c>
      <c r="AG23" s="34">
        <f t="shared" si="11"/>
        <v>0.33410360699848646</v>
      </c>
      <c r="AH23" s="34">
        <f>AH18/AH$19</f>
        <v>0.33696882690730107</v>
      </c>
    </row>
    <row r="24" spans="2:34" s="32" customFormat="1" x14ac:dyDescent="0.35">
      <c r="B24" s="31" t="s">
        <v>210</v>
      </c>
      <c r="F24" s="32" t="e">
        <f>SUM(F21:F23)</f>
        <v>#DIV/0!</v>
      </c>
      <c r="G24" s="47" t="e">
        <f t="shared" ref="G24:V24" si="12">SUM(G21:G23)</f>
        <v>#DIV/0!</v>
      </c>
      <c r="H24" s="32" t="e">
        <f t="shared" si="12"/>
        <v>#DIV/0!</v>
      </c>
      <c r="I24" s="32">
        <f t="shared" si="12"/>
        <v>1</v>
      </c>
      <c r="J24" s="32" t="e">
        <f t="shared" si="12"/>
        <v>#DIV/0!</v>
      </c>
      <c r="K24" s="47">
        <f t="shared" si="12"/>
        <v>1</v>
      </c>
      <c r="L24" s="32">
        <f t="shared" si="12"/>
        <v>1</v>
      </c>
      <c r="M24" s="32">
        <f t="shared" si="12"/>
        <v>1</v>
      </c>
      <c r="N24" s="32">
        <f t="shared" si="12"/>
        <v>1</v>
      </c>
      <c r="O24" s="47">
        <f t="shared" si="12"/>
        <v>1</v>
      </c>
      <c r="P24" s="32">
        <f t="shared" si="12"/>
        <v>1</v>
      </c>
      <c r="Q24" s="32">
        <f t="shared" si="12"/>
        <v>1</v>
      </c>
      <c r="R24" s="32">
        <f t="shared" si="12"/>
        <v>1</v>
      </c>
      <c r="S24" s="32">
        <f t="shared" si="12"/>
        <v>1</v>
      </c>
      <c r="T24" s="32">
        <f t="shared" si="12"/>
        <v>1</v>
      </c>
      <c r="U24" s="32" t="e">
        <f t="shared" si="12"/>
        <v>#DIV/0!</v>
      </c>
      <c r="V24" s="32" t="e">
        <f t="shared" si="12"/>
        <v>#DIV/0!</v>
      </c>
      <c r="AB24" s="32" t="e">
        <f>SUM(AB21:AB23)</f>
        <v>#DIV/0!</v>
      </c>
      <c r="AC24" s="32" t="e">
        <f t="shared" ref="AC24:AG24" si="13">SUM(AC21:AC23)</f>
        <v>#DIV/0!</v>
      </c>
      <c r="AD24" s="32" t="e">
        <f t="shared" si="13"/>
        <v>#DIV/0!</v>
      </c>
      <c r="AE24" s="32">
        <f t="shared" si="13"/>
        <v>1</v>
      </c>
      <c r="AF24" s="32">
        <f t="shared" si="13"/>
        <v>1</v>
      </c>
      <c r="AG24" s="32">
        <f t="shared" si="13"/>
        <v>1</v>
      </c>
      <c r="AH24" s="32">
        <f>SUM(AH21:AH23)</f>
        <v>1</v>
      </c>
    </row>
    <row r="25" spans="2:34" s="2" customFormat="1" x14ac:dyDescent="0.35">
      <c r="B25" s="2" t="s">
        <v>212</v>
      </c>
      <c r="G25" s="40"/>
      <c r="K25" s="40"/>
      <c r="O25" s="40"/>
    </row>
    <row r="26" spans="2:34" s="7" customFormat="1" x14ac:dyDescent="0.35">
      <c r="B26" s="7" t="s">
        <v>206</v>
      </c>
      <c r="G26" s="37"/>
      <c r="I26" s="7">
        <v>31367</v>
      </c>
      <c r="K26" s="37">
        <v>31351</v>
      </c>
      <c r="L26" s="7">
        <v>35273</v>
      </c>
      <c r="M26" s="7">
        <v>36190</v>
      </c>
      <c r="N26" s="7">
        <f>AG26-M26-L26-K26</f>
        <v>40053</v>
      </c>
      <c r="O26" s="37">
        <v>43783</v>
      </c>
      <c r="P26" s="7">
        <v>44653</v>
      </c>
      <c r="Q26" s="7">
        <v>47138</v>
      </c>
      <c r="R26" s="7">
        <f>AH26-Q26-P26-O26</f>
        <v>37329</v>
      </c>
      <c r="S26" s="7">
        <v>32522</v>
      </c>
      <c r="T26" s="7">
        <v>31319</v>
      </c>
      <c r="AE26" s="7">
        <v>38774</v>
      </c>
      <c r="AF26" s="7">
        <v>133309</v>
      </c>
      <c r="AG26" s="7">
        <v>142867</v>
      </c>
      <c r="AH26" s="7">
        <v>172903</v>
      </c>
    </row>
    <row r="27" spans="2:34" s="7" customFormat="1" x14ac:dyDescent="0.35">
      <c r="B27" s="7" t="s">
        <v>207</v>
      </c>
      <c r="G27" s="37"/>
      <c r="I27" s="7">
        <f>1156+51+38</f>
        <v>1245</v>
      </c>
      <c r="K27" s="37">
        <v>1334</v>
      </c>
      <c r="L27" s="7">
        <v>1297</v>
      </c>
      <c r="M27" s="7">
        <v>1008</v>
      </c>
      <c r="N27" s="7">
        <f>AG27-M27-L27-K27</f>
        <v>13566</v>
      </c>
      <c r="O27" s="37">
        <v>13822</v>
      </c>
      <c r="P27" s="7">
        <v>15368</v>
      </c>
      <c r="Q27" s="7">
        <v>15468</v>
      </c>
      <c r="R27" s="7">
        <f>AH27-Q27-P27-O27</f>
        <v>26156</v>
      </c>
      <c r="S27" s="7">
        <v>55208</v>
      </c>
      <c r="T27" s="7">
        <v>46783</v>
      </c>
      <c r="AE27" s="7">
        <f>1535+46+169</f>
        <v>1750</v>
      </c>
      <c r="AF27" s="7">
        <f>3724+140+138</f>
        <v>4002</v>
      </c>
      <c r="AG27" s="7">
        <v>17205</v>
      </c>
      <c r="AH27" s="7">
        <v>70814</v>
      </c>
    </row>
    <row r="28" spans="2:34" s="8" customFormat="1" x14ac:dyDescent="0.35">
      <c r="B28" s="8" t="s">
        <v>208</v>
      </c>
      <c r="I28" s="8">
        <v>68</v>
      </c>
      <c r="K28" s="8">
        <v>182</v>
      </c>
      <c r="L28" s="8">
        <v>158</v>
      </c>
      <c r="M28" s="8">
        <v>51</v>
      </c>
      <c r="N28" s="8">
        <f>AG28-M28-L28-K28</f>
        <v>86</v>
      </c>
      <c r="O28" s="8">
        <v>0</v>
      </c>
      <c r="P28" s="8">
        <v>77</v>
      </c>
      <c r="Q28" s="8">
        <v>6</v>
      </c>
      <c r="R28" s="8">
        <f>AH28-Q28-P28-O28</f>
        <v>0</v>
      </c>
      <c r="S28" s="8">
        <v>62</v>
      </c>
      <c r="T28" s="8">
        <v>9</v>
      </c>
      <c r="AE28" s="8">
        <f>114+147</f>
        <v>261</v>
      </c>
      <c r="AF28" s="8">
        <f>18+272</f>
        <v>290</v>
      </c>
      <c r="AG28" s="8">
        <v>477</v>
      </c>
      <c r="AH28" s="8">
        <v>83</v>
      </c>
    </row>
    <row r="29" spans="2:34" s="9" customFormat="1" x14ac:dyDescent="0.35">
      <c r="B29" s="9" t="s">
        <v>205</v>
      </c>
      <c r="F29" s="9">
        <f>SUM(F26:F28)</f>
        <v>0</v>
      </c>
      <c r="G29" s="43">
        <f t="shared" ref="G29:V29" si="14">SUM(G26:G28)</f>
        <v>0</v>
      </c>
      <c r="H29" s="9">
        <f t="shared" si="14"/>
        <v>0</v>
      </c>
      <c r="I29" s="9">
        <f t="shared" si="14"/>
        <v>32680</v>
      </c>
      <c r="J29" s="9">
        <f t="shared" si="14"/>
        <v>0</v>
      </c>
      <c r="K29" s="43">
        <f t="shared" si="14"/>
        <v>32867</v>
      </c>
      <c r="L29" s="9">
        <f t="shared" si="14"/>
        <v>36728</v>
      </c>
      <c r="M29" s="9">
        <f t="shared" si="14"/>
        <v>37249</v>
      </c>
      <c r="N29" s="9">
        <f t="shared" si="14"/>
        <v>53705</v>
      </c>
      <c r="O29" s="43">
        <f t="shared" si="14"/>
        <v>57605</v>
      </c>
      <c r="P29" s="9">
        <f t="shared" si="14"/>
        <v>60098</v>
      </c>
      <c r="Q29" s="9">
        <f t="shared" si="14"/>
        <v>62612</v>
      </c>
      <c r="R29" s="9">
        <f t="shared" si="14"/>
        <v>63485</v>
      </c>
      <c r="S29" s="9">
        <f t="shared" si="14"/>
        <v>87792</v>
      </c>
      <c r="T29" s="9">
        <f t="shared" si="14"/>
        <v>78111</v>
      </c>
      <c r="U29" s="9">
        <f t="shared" si="14"/>
        <v>0</v>
      </c>
      <c r="V29" s="9">
        <f t="shared" si="14"/>
        <v>0</v>
      </c>
      <c r="AB29" s="9">
        <f>SUM(AB26:AB28)</f>
        <v>0</v>
      </c>
      <c r="AC29" s="9">
        <f t="shared" ref="AC29:AG29" si="15">SUM(AC26:AC28)</f>
        <v>0</v>
      </c>
      <c r="AD29" s="9">
        <f t="shared" si="15"/>
        <v>0</v>
      </c>
      <c r="AE29" s="9">
        <f t="shared" si="15"/>
        <v>40785</v>
      </c>
      <c r="AF29" s="9">
        <f t="shared" si="15"/>
        <v>137601</v>
      </c>
      <c r="AG29" s="9">
        <f t="shared" si="15"/>
        <v>160549</v>
      </c>
      <c r="AH29" s="9">
        <f>SUM(AH26:AH28)</f>
        <v>243800</v>
      </c>
    </row>
    <row r="30" spans="2:34" x14ac:dyDescent="0.35">
      <c r="B30" s="30" t="s">
        <v>209</v>
      </c>
    </row>
    <row r="31" spans="2:34" s="32" customFormat="1" x14ac:dyDescent="0.35">
      <c r="B31" s="32" t="s">
        <v>206</v>
      </c>
      <c r="F31" s="32" t="e">
        <f>F26/F$29</f>
        <v>#DIV/0!</v>
      </c>
      <c r="G31" s="47" t="e">
        <f t="shared" ref="G31:V31" si="16">G26/G$29</f>
        <v>#DIV/0!</v>
      </c>
      <c r="H31" s="32" t="e">
        <f t="shared" si="16"/>
        <v>#DIV/0!</v>
      </c>
      <c r="I31" s="32">
        <f t="shared" si="16"/>
        <v>0.9598225214198286</v>
      </c>
      <c r="J31" s="32" t="e">
        <f t="shared" si="16"/>
        <v>#DIV/0!</v>
      </c>
      <c r="K31" s="47">
        <f t="shared" si="16"/>
        <v>0.95387470715307143</v>
      </c>
      <c r="L31" s="32">
        <f t="shared" si="16"/>
        <v>0.96038444783271615</v>
      </c>
      <c r="M31" s="32">
        <f t="shared" si="16"/>
        <v>0.97156970656930386</v>
      </c>
      <c r="N31" s="32">
        <f t="shared" si="16"/>
        <v>0.74579648077460203</v>
      </c>
      <c r="O31" s="47">
        <f t="shared" si="16"/>
        <v>0.76005555073344333</v>
      </c>
      <c r="P31" s="32">
        <f t="shared" si="16"/>
        <v>0.74300309494492334</v>
      </c>
      <c r="Q31" s="32">
        <f t="shared" si="16"/>
        <v>0.75285887689260844</v>
      </c>
      <c r="R31" s="32">
        <f t="shared" si="16"/>
        <v>0.58799716468457119</v>
      </c>
      <c r="S31" s="32">
        <f t="shared" si="16"/>
        <v>0.37044377619828683</v>
      </c>
      <c r="T31" s="32">
        <f t="shared" si="16"/>
        <v>0.40095505114516522</v>
      </c>
      <c r="U31" s="32" t="e">
        <f t="shared" si="16"/>
        <v>#DIV/0!</v>
      </c>
      <c r="V31" s="32" t="e">
        <f t="shared" si="16"/>
        <v>#DIV/0!</v>
      </c>
      <c r="AB31" s="32" t="e">
        <f>AB26/AB$29</f>
        <v>#DIV/0!</v>
      </c>
      <c r="AC31" s="32" t="e">
        <f t="shared" ref="AC31:AG31" si="17">AC26/AC$29</f>
        <v>#DIV/0!</v>
      </c>
      <c r="AD31" s="32" t="e">
        <f t="shared" si="17"/>
        <v>#DIV/0!</v>
      </c>
      <c r="AE31" s="32">
        <f t="shared" si="17"/>
        <v>0.95069265661395119</v>
      </c>
      <c r="AF31" s="32">
        <f t="shared" si="17"/>
        <v>0.96880836621826871</v>
      </c>
      <c r="AG31" s="32">
        <f t="shared" si="17"/>
        <v>0.88986539934848552</v>
      </c>
      <c r="AH31" s="32">
        <f>AH26/AH$29</f>
        <v>0.70920016406890896</v>
      </c>
    </row>
    <row r="32" spans="2:34" s="32" customFormat="1" x14ac:dyDescent="0.35">
      <c r="B32" s="32" t="s">
        <v>207</v>
      </c>
      <c r="F32" s="32" t="e">
        <f>F27/F$29</f>
        <v>#DIV/0!</v>
      </c>
      <c r="G32" s="47" t="e">
        <f t="shared" ref="G32:V32" si="18">G27/G$29</f>
        <v>#DIV/0!</v>
      </c>
      <c r="H32" s="32" t="e">
        <f t="shared" si="18"/>
        <v>#DIV/0!</v>
      </c>
      <c r="I32" s="32">
        <f t="shared" si="18"/>
        <v>3.8096695226438188E-2</v>
      </c>
      <c r="J32" s="32" t="e">
        <f t="shared" si="18"/>
        <v>#DIV/0!</v>
      </c>
      <c r="K32" s="47">
        <f t="shared" si="18"/>
        <v>4.0587823652904129E-2</v>
      </c>
      <c r="L32" s="32">
        <f t="shared" si="18"/>
        <v>3.5313657155303858E-2</v>
      </c>
      <c r="M32" s="32">
        <f t="shared" si="18"/>
        <v>2.7061129157829742E-2</v>
      </c>
      <c r="N32" s="32">
        <f t="shared" si="18"/>
        <v>0.25260217856810352</v>
      </c>
      <c r="O32" s="47">
        <f t="shared" si="18"/>
        <v>0.23994444926655673</v>
      </c>
      <c r="P32" s="32">
        <f t="shared" si="18"/>
        <v>0.25571566441478916</v>
      </c>
      <c r="Q32" s="32">
        <f t="shared" si="18"/>
        <v>0.24704529483166165</v>
      </c>
      <c r="R32" s="32">
        <f t="shared" si="18"/>
        <v>0.41200283531542886</v>
      </c>
      <c r="S32" s="32">
        <f t="shared" si="18"/>
        <v>0.62885000911244759</v>
      </c>
      <c r="T32" s="32">
        <f t="shared" si="18"/>
        <v>0.59892972820729473</v>
      </c>
      <c r="U32" s="32" t="e">
        <f t="shared" si="18"/>
        <v>#DIV/0!</v>
      </c>
      <c r="V32" s="32" t="e">
        <f t="shared" si="18"/>
        <v>#DIV/0!</v>
      </c>
      <c r="AB32" s="32" t="e">
        <f>AB27/AB$29</f>
        <v>#DIV/0!</v>
      </c>
      <c r="AC32" s="32" t="e">
        <f t="shared" ref="AC32:AG32" si="19">AC27/AC$29</f>
        <v>#DIV/0!</v>
      </c>
      <c r="AD32" s="32" t="e">
        <f t="shared" si="19"/>
        <v>#DIV/0!</v>
      </c>
      <c r="AE32" s="32">
        <f t="shared" si="19"/>
        <v>4.2907931837685424E-2</v>
      </c>
      <c r="AF32" s="32">
        <f t="shared" si="19"/>
        <v>2.9084090958641288E-2</v>
      </c>
      <c r="AG32" s="32">
        <f t="shared" si="19"/>
        <v>0.10716354508592392</v>
      </c>
      <c r="AH32" s="32">
        <f>AH27/AH$29</f>
        <v>0.29045939294503692</v>
      </c>
    </row>
    <row r="33" spans="2:34" s="34" customFormat="1" x14ac:dyDescent="0.35">
      <c r="B33" s="34" t="s">
        <v>208</v>
      </c>
      <c r="F33" s="34" t="e">
        <f>F28/F$29</f>
        <v>#DIV/0!</v>
      </c>
      <c r="G33" s="34" t="e">
        <f t="shared" ref="G33:V33" si="20">G28/G$29</f>
        <v>#DIV/0!</v>
      </c>
      <c r="H33" s="34" t="e">
        <f t="shared" si="20"/>
        <v>#DIV/0!</v>
      </c>
      <c r="I33" s="34">
        <f t="shared" si="20"/>
        <v>2.08078335373317E-3</v>
      </c>
      <c r="J33" s="34" t="e">
        <f t="shared" si="20"/>
        <v>#DIV/0!</v>
      </c>
      <c r="K33" s="34">
        <f t="shared" si="20"/>
        <v>5.5374691940244013E-3</v>
      </c>
      <c r="L33" s="34">
        <f t="shared" si="20"/>
        <v>4.3018950119799605E-3</v>
      </c>
      <c r="M33" s="34">
        <f t="shared" si="20"/>
        <v>1.3691642728663857E-3</v>
      </c>
      <c r="N33" s="34">
        <f t="shared" si="20"/>
        <v>1.6013406572944792E-3</v>
      </c>
      <c r="O33" s="34">
        <f t="shared" si="20"/>
        <v>0</v>
      </c>
      <c r="P33" s="34">
        <f t="shared" si="20"/>
        <v>1.2812406402875304E-3</v>
      </c>
      <c r="Q33" s="34">
        <f t="shared" si="20"/>
        <v>9.5828275729892035E-5</v>
      </c>
      <c r="R33" s="34">
        <f t="shared" si="20"/>
        <v>0</v>
      </c>
      <c r="S33" s="34">
        <f t="shared" si="20"/>
        <v>7.0621468926553672E-4</v>
      </c>
      <c r="T33" s="34">
        <f t="shared" si="20"/>
        <v>1.1522064754003918E-4</v>
      </c>
      <c r="U33" s="34" t="e">
        <f t="shared" si="20"/>
        <v>#DIV/0!</v>
      </c>
      <c r="V33" s="34" t="e">
        <f t="shared" si="20"/>
        <v>#DIV/0!</v>
      </c>
      <c r="AB33" s="34" t="e">
        <f>AB28/AB$29</f>
        <v>#DIV/0!</v>
      </c>
      <c r="AC33" s="34" t="e">
        <f t="shared" ref="AC33:AG33" si="21">AC28/AC$29</f>
        <v>#DIV/0!</v>
      </c>
      <c r="AD33" s="34" t="e">
        <f t="shared" si="21"/>
        <v>#DIV/0!</v>
      </c>
      <c r="AE33" s="34">
        <f t="shared" si="21"/>
        <v>6.3994115483633693E-3</v>
      </c>
      <c r="AF33" s="34">
        <f t="shared" si="21"/>
        <v>2.1075428230899486E-3</v>
      </c>
      <c r="AG33" s="34">
        <f t="shared" si="21"/>
        <v>2.9710555655905672E-3</v>
      </c>
      <c r="AH33" s="34">
        <f>AH28/AH$29</f>
        <v>3.4044298605414273E-4</v>
      </c>
    </row>
    <row r="34" spans="2:34" s="32" customFormat="1" x14ac:dyDescent="0.35">
      <c r="B34" s="32" t="s">
        <v>210</v>
      </c>
      <c r="F34" s="32" t="e">
        <f>SUM(F31:F33)</f>
        <v>#DIV/0!</v>
      </c>
      <c r="G34" s="47" t="e">
        <f t="shared" ref="G34:V34" si="22">SUM(G31:G33)</f>
        <v>#DIV/0!</v>
      </c>
      <c r="H34" s="32" t="e">
        <f t="shared" si="22"/>
        <v>#DIV/0!</v>
      </c>
      <c r="I34" s="32">
        <f t="shared" si="22"/>
        <v>1</v>
      </c>
      <c r="J34" s="32" t="e">
        <f t="shared" si="22"/>
        <v>#DIV/0!</v>
      </c>
      <c r="K34" s="47">
        <f t="shared" si="22"/>
        <v>1</v>
      </c>
      <c r="L34" s="32">
        <f t="shared" si="22"/>
        <v>1</v>
      </c>
      <c r="M34" s="32">
        <f t="shared" si="22"/>
        <v>1</v>
      </c>
      <c r="N34" s="32">
        <f t="shared" si="22"/>
        <v>1</v>
      </c>
      <c r="O34" s="47">
        <f t="shared" si="22"/>
        <v>1</v>
      </c>
      <c r="P34" s="32">
        <f t="shared" si="22"/>
        <v>1</v>
      </c>
      <c r="Q34" s="32">
        <f t="shared" si="22"/>
        <v>0.99999999999999989</v>
      </c>
      <c r="R34" s="32">
        <f t="shared" si="22"/>
        <v>1</v>
      </c>
      <c r="S34" s="32">
        <f t="shared" si="22"/>
        <v>1</v>
      </c>
      <c r="T34" s="32">
        <f t="shared" si="22"/>
        <v>0.99999999999999989</v>
      </c>
      <c r="U34" s="32" t="e">
        <f t="shared" si="22"/>
        <v>#DIV/0!</v>
      </c>
      <c r="V34" s="32" t="e">
        <f t="shared" si="22"/>
        <v>#DIV/0!</v>
      </c>
      <c r="AB34" s="32" t="e">
        <f>SUM(AB31:AB33)</f>
        <v>#DIV/0!</v>
      </c>
      <c r="AC34" s="32" t="e">
        <f t="shared" ref="AC34:AG34" si="23">SUM(AC31:AC33)</f>
        <v>#DIV/0!</v>
      </c>
      <c r="AD34" s="32" t="e">
        <f t="shared" si="23"/>
        <v>#DIV/0!</v>
      </c>
      <c r="AE34" s="32">
        <f t="shared" si="23"/>
        <v>0.99999999999999989</v>
      </c>
      <c r="AF34" s="32">
        <f t="shared" si="23"/>
        <v>1</v>
      </c>
      <c r="AG34" s="32">
        <f t="shared" si="23"/>
        <v>1</v>
      </c>
      <c r="AH34" s="32">
        <f>SUM(AH31:AH33)</f>
        <v>1</v>
      </c>
    </row>
    <row r="35" spans="2:34" s="2" customFormat="1" x14ac:dyDescent="0.35">
      <c r="B35" s="2" t="s">
        <v>4</v>
      </c>
      <c r="G35" s="40"/>
      <c r="K35" s="40"/>
      <c r="O35" s="40"/>
    </row>
    <row r="36" spans="2:34" s="4" customFormat="1" x14ac:dyDescent="0.35">
      <c r="B36" s="4" t="s">
        <v>53</v>
      </c>
      <c r="G36" s="48"/>
      <c r="K36" s="48"/>
      <c r="O36" s="48"/>
    </row>
    <row r="37" spans="2:34" s="9" customFormat="1" x14ac:dyDescent="0.35">
      <c r="B37" s="9" t="s">
        <v>53</v>
      </c>
      <c r="G37" s="43">
        <v>31698</v>
      </c>
      <c r="H37" s="9">
        <v>32148</v>
      </c>
      <c r="I37" s="9">
        <v>32680</v>
      </c>
      <c r="J37" s="9">
        <f>AF37-I37-H37-G37</f>
        <v>41075</v>
      </c>
      <c r="K37" s="43">
        <v>32867</v>
      </c>
      <c r="L37" s="9">
        <v>36728</v>
      </c>
      <c r="M37" s="9">
        <v>37249</v>
      </c>
      <c r="N37" s="9">
        <f>AG37-M37-L37-K37</f>
        <v>53705</v>
      </c>
      <c r="O37" s="43">
        <v>57605</v>
      </c>
      <c r="P37" s="9">
        <v>60098</v>
      </c>
      <c r="Q37" s="9">
        <v>62612</v>
      </c>
      <c r="R37" s="9">
        <f>AH37-Q37-P37-O37</f>
        <v>63485</v>
      </c>
      <c r="S37" s="9">
        <v>87792</v>
      </c>
      <c r="T37" s="9">
        <v>78111</v>
      </c>
      <c r="AE37" s="9">
        <v>40785</v>
      </c>
      <c r="AF37" s="9">
        <v>137601</v>
      </c>
      <c r="AG37" s="9">
        <v>160549</v>
      </c>
      <c r="AH37" s="9">
        <v>243800</v>
      </c>
    </row>
    <row r="38" spans="2:34" s="8" customFormat="1" x14ac:dyDescent="0.35">
      <c r="B38" s="8" t="s">
        <v>54</v>
      </c>
      <c r="G38" s="8">
        <v>24221</v>
      </c>
      <c r="H38" s="8">
        <v>23534</v>
      </c>
      <c r="I38" s="8">
        <v>26786</v>
      </c>
      <c r="J38" s="8">
        <f>AF38-I38-H38-G38</f>
        <v>33683</v>
      </c>
      <c r="K38" s="8">
        <v>27696</v>
      </c>
      <c r="L38" s="8">
        <v>29746</v>
      </c>
      <c r="M38" s="8">
        <v>29300</v>
      </c>
      <c r="N38" s="8">
        <f>AG38-M38-L38-K38</f>
        <v>45112</v>
      </c>
      <c r="O38" s="8">
        <v>43388</v>
      </c>
      <c r="P38" s="8">
        <v>44194</v>
      </c>
      <c r="Q38" s="8">
        <v>45495</v>
      </c>
      <c r="R38" s="8">
        <f>AH38-Q38-P38-O38</f>
        <v>52754</v>
      </c>
      <c r="S38" s="8">
        <v>72967</v>
      </c>
      <c r="T38" s="8">
        <v>65127</v>
      </c>
      <c r="AE38" s="8">
        <v>32676</v>
      </c>
      <c r="AF38" s="8">
        <v>108224</v>
      </c>
      <c r="AG38" s="8">
        <v>131854</v>
      </c>
      <c r="AH38" s="8">
        <v>185831</v>
      </c>
    </row>
    <row r="39" spans="2:34" s="9" customFormat="1" x14ac:dyDescent="0.35">
      <c r="B39" s="9" t="s">
        <v>55</v>
      </c>
      <c r="F39" s="9">
        <f>F37-F38</f>
        <v>0</v>
      </c>
      <c r="G39" s="43">
        <f t="shared" ref="G39:V39" si="24">G37-G38</f>
        <v>7477</v>
      </c>
      <c r="H39" s="9">
        <f t="shared" si="24"/>
        <v>8614</v>
      </c>
      <c r="I39" s="9">
        <f t="shared" si="24"/>
        <v>5894</v>
      </c>
      <c r="J39" s="9">
        <f t="shared" si="24"/>
        <v>7392</v>
      </c>
      <c r="K39" s="43">
        <f t="shared" si="24"/>
        <v>5171</v>
      </c>
      <c r="L39" s="9">
        <f t="shared" si="24"/>
        <v>6982</v>
      </c>
      <c r="M39" s="9">
        <f t="shared" si="24"/>
        <v>7949</v>
      </c>
      <c r="N39" s="9">
        <f t="shared" si="24"/>
        <v>8593</v>
      </c>
      <c r="O39" s="43">
        <f t="shared" si="24"/>
        <v>14217</v>
      </c>
      <c r="P39" s="9">
        <f t="shared" si="24"/>
        <v>15904</v>
      </c>
      <c r="Q39" s="9">
        <f t="shared" si="24"/>
        <v>17117</v>
      </c>
      <c r="R39" s="9">
        <f t="shared" si="24"/>
        <v>10731</v>
      </c>
      <c r="S39" s="9">
        <f t="shared" si="24"/>
        <v>14825</v>
      </c>
      <c r="T39" s="9">
        <f t="shared" si="24"/>
        <v>12984</v>
      </c>
      <c r="U39" s="9">
        <f t="shared" si="24"/>
        <v>0</v>
      </c>
      <c r="V39" s="9">
        <f t="shared" si="24"/>
        <v>0</v>
      </c>
      <c r="AB39" s="9">
        <f>AB37-AB38</f>
        <v>0</v>
      </c>
      <c r="AC39" s="9">
        <f t="shared" ref="AC39:AE39" si="25">AC37-AC38</f>
        <v>0</v>
      </c>
      <c r="AD39" s="9">
        <f t="shared" si="25"/>
        <v>0</v>
      </c>
      <c r="AE39" s="9">
        <f t="shared" si="25"/>
        <v>8109</v>
      </c>
      <c r="AF39" s="9">
        <f t="shared" ref="AF39" si="26">AF37-AF38</f>
        <v>29377</v>
      </c>
      <c r="AG39" s="9">
        <f>AG37-AG38</f>
        <v>28695</v>
      </c>
      <c r="AH39" s="9">
        <f>AH37-AH38</f>
        <v>57969</v>
      </c>
    </row>
    <row r="40" spans="2:34" s="10" customFormat="1" x14ac:dyDescent="0.35">
      <c r="B40" s="10" t="s">
        <v>56</v>
      </c>
      <c r="G40" s="49"/>
      <c r="K40" s="49"/>
      <c r="O40" s="49"/>
    </row>
    <row r="41" spans="2:34" s="7" customFormat="1" x14ac:dyDescent="0.35">
      <c r="B41" s="7" t="s">
        <v>57</v>
      </c>
      <c r="G41" s="37">
        <v>11256</v>
      </c>
      <c r="H41" s="7">
        <v>12143</v>
      </c>
      <c r="I41" s="7">
        <v>34333</v>
      </c>
      <c r="J41" s="7">
        <f>AF41-I41-H41-G41</f>
        <v>20963</v>
      </c>
      <c r="K41" s="37">
        <v>20951</v>
      </c>
      <c r="L41" s="7">
        <v>17562</v>
      </c>
      <c r="M41" s="7">
        <v>15312</v>
      </c>
      <c r="N41" s="7">
        <f>AG41-M41-L41-K41</f>
        <v>16517</v>
      </c>
      <c r="O41" s="37">
        <v>16038</v>
      </c>
      <c r="P41" s="7">
        <v>17686</v>
      </c>
      <c r="Q41" s="7">
        <v>18302</v>
      </c>
      <c r="R41" s="7">
        <f>AH41-Q41-P41-O41</f>
        <v>16499</v>
      </c>
      <c r="S41" s="7">
        <v>17362</v>
      </c>
      <c r="T41" s="7">
        <v>18088</v>
      </c>
      <c r="AE41" s="7">
        <v>13103</v>
      </c>
      <c r="AF41" s="7">
        <v>78695</v>
      </c>
      <c r="AG41" s="7">
        <v>70342</v>
      </c>
      <c r="AH41" s="7">
        <v>68525</v>
      </c>
    </row>
    <row r="42" spans="2:34" s="7" customFormat="1" x14ac:dyDescent="0.35">
      <c r="B42" s="7" t="s">
        <v>58</v>
      </c>
      <c r="G42" s="37">
        <v>2417</v>
      </c>
      <c r="H42" s="7">
        <v>11114</v>
      </c>
      <c r="I42" s="7">
        <v>113</v>
      </c>
      <c r="J42" s="7">
        <f>AF42-I42-H42-G42</f>
        <v>-2307</v>
      </c>
      <c r="K42" s="37">
        <v>46</v>
      </c>
      <c r="L42" s="7">
        <v>0</v>
      </c>
      <c r="M42" s="7">
        <v>0</v>
      </c>
      <c r="N42" s="7">
        <f>AG42-M42-L42-K42</f>
        <v>-46</v>
      </c>
      <c r="O42" s="37">
        <v>9</v>
      </c>
      <c r="P42" s="7">
        <v>4</v>
      </c>
      <c r="Q42" s="7">
        <v>0</v>
      </c>
      <c r="R42" s="7">
        <f>AH42-Q42-P42-O42</f>
        <v>-13</v>
      </c>
      <c r="S42" s="7">
        <v>0</v>
      </c>
      <c r="T42" s="7">
        <v>0</v>
      </c>
      <c r="AE42" s="7">
        <v>0</v>
      </c>
      <c r="AF42" s="7">
        <v>11337</v>
      </c>
      <c r="AG42" s="7">
        <v>0</v>
      </c>
      <c r="AH42" s="7">
        <v>0</v>
      </c>
    </row>
    <row r="43" spans="2:34" s="7" customFormat="1" x14ac:dyDescent="0.35">
      <c r="B43" s="7" t="s">
        <v>59</v>
      </c>
      <c r="G43" s="37">
        <v>0</v>
      </c>
      <c r="H43" s="7">
        <v>2</v>
      </c>
      <c r="I43" s="7">
        <v>1128</v>
      </c>
      <c r="J43" s="7">
        <f>AF43-I43-H43-G43</f>
        <v>3886</v>
      </c>
      <c r="K43" s="37">
        <v>0</v>
      </c>
      <c r="L43" s="7">
        <v>48</v>
      </c>
      <c r="M43" s="7">
        <v>1819</v>
      </c>
      <c r="N43" s="7">
        <f>AG43-M43-L43-K43</f>
        <v>1370</v>
      </c>
      <c r="O43" s="37">
        <v>0</v>
      </c>
      <c r="P43" s="7">
        <v>0</v>
      </c>
      <c r="Q43" s="7">
        <v>0</v>
      </c>
      <c r="R43" s="7">
        <f>AH43-Q43-P43-O43</f>
        <v>13</v>
      </c>
      <c r="S43" s="7">
        <v>0</v>
      </c>
      <c r="T43" s="7">
        <v>278</v>
      </c>
      <c r="AE43" s="7">
        <v>9944</v>
      </c>
      <c r="AF43" s="7">
        <v>5016</v>
      </c>
      <c r="AG43" s="7">
        <v>3237</v>
      </c>
      <c r="AH43" s="7">
        <v>13</v>
      </c>
    </row>
    <row r="44" spans="2:34" s="7" customFormat="1" x14ac:dyDescent="0.35">
      <c r="B44" s="7" t="s">
        <v>60</v>
      </c>
      <c r="G44" s="37">
        <v>0</v>
      </c>
      <c r="H44" s="7">
        <v>0</v>
      </c>
      <c r="I44" s="7">
        <v>0</v>
      </c>
      <c r="J44" s="7">
        <f>AF44-I44-H44-G44</f>
        <v>0</v>
      </c>
      <c r="K44" s="37">
        <v>0</v>
      </c>
      <c r="L44" s="7">
        <v>80462</v>
      </c>
      <c r="M44" s="7">
        <v>0</v>
      </c>
      <c r="N44" s="7">
        <f>AG44-M44-L44-K44</f>
        <v>16161</v>
      </c>
      <c r="O44" s="37">
        <v>0</v>
      </c>
      <c r="P44" s="7">
        <v>0</v>
      </c>
      <c r="Q44" s="7">
        <v>0</v>
      </c>
      <c r="R44" s="7">
        <f>AH44-Q44-P44-O44</f>
        <v>0</v>
      </c>
      <c r="S44" s="7">
        <v>0</v>
      </c>
      <c r="T44" s="7">
        <v>0</v>
      </c>
      <c r="AE44" s="7">
        <v>0</v>
      </c>
      <c r="AF44" s="7">
        <v>0</v>
      </c>
      <c r="AG44" s="7">
        <v>96623</v>
      </c>
      <c r="AH44" s="7">
        <v>0</v>
      </c>
    </row>
    <row r="45" spans="2:34" s="8" customFormat="1" x14ac:dyDescent="0.35">
      <c r="B45" s="8" t="s">
        <v>61</v>
      </c>
      <c r="G45" s="8">
        <v>996</v>
      </c>
      <c r="H45" s="8">
        <v>958</v>
      </c>
      <c r="I45" s="8">
        <v>1371</v>
      </c>
      <c r="J45" s="8">
        <f>AF45-I45-H45-G45</f>
        <v>1191</v>
      </c>
      <c r="K45" s="8">
        <v>1724</v>
      </c>
      <c r="L45" s="8">
        <v>1708</v>
      </c>
      <c r="M45" s="8">
        <v>1133</v>
      </c>
      <c r="N45" s="8">
        <f>AG45-M45-L45-K45</f>
        <v>376</v>
      </c>
      <c r="O45" s="8">
        <v>388</v>
      </c>
      <c r="P45" s="8">
        <v>2070</v>
      </c>
      <c r="Q45" s="8">
        <v>1532</v>
      </c>
      <c r="R45" s="8">
        <f>AH45-Q45-P45-O45</f>
        <v>989</v>
      </c>
      <c r="S45" s="8">
        <v>1040</v>
      </c>
      <c r="T45" s="8">
        <v>1748</v>
      </c>
      <c r="AE45" s="8">
        <v>2008</v>
      </c>
      <c r="AF45" s="8">
        <v>4516</v>
      </c>
      <c r="AG45" s="8">
        <v>4941</v>
      </c>
      <c r="AH45" s="8">
        <v>4979</v>
      </c>
    </row>
    <row r="46" spans="2:34" s="8" customFormat="1" x14ac:dyDescent="0.35">
      <c r="B46" s="8" t="s">
        <v>62</v>
      </c>
      <c r="F46" s="8">
        <f>SUM(F41:F45)</f>
        <v>0</v>
      </c>
      <c r="G46" s="37">
        <f t="shared" ref="G46:P46" si="27">SUM(G41:G45)</f>
        <v>14669</v>
      </c>
      <c r="H46" s="8">
        <f t="shared" si="27"/>
        <v>24217</v>
      </c>
      <c r="I46" s="8">
        <f t="shared" si="27"/>
        <v>36945</v>
      </c>
      <c r="J46" s="8">
        <f t="shared" si="27"/>
        <v>23733</v>
      </c>
      <c r="K46" s="37">
        <f t="shared" si="27"/>
        <v>22721</v>
      </c>
      <c r="L46" s="8">
        <f t="shared" si="27"/>
        <v>99780</v>
      </c>
      <c r="M46" s="8">
        <f t="shared" si="27"/>
        <v>18264</v>
      </c>
      <c r="N46" s="8">
        <f t="shared" si="27"/>
        <v>34378</v>
      </c>
      <c r="O46" s="37">
        <f t="shared" si="27"/>
        <v>16435</v>
      </c>
      <c r="P46" s="8">
        <f t="shared" si="27"/>
        <v>19760</v>
      </c>
      <c r="Q46" s="8">
        <f t="shared" ref="Q46:V46" si="28">SUM(Q41:Q45)</f>
        <v>19834</v>
      </c>
      <c r="R46" s="8">
        <f t="shared" si="28"/>
        <v>17488</v>
      </c>
      <c r="S46" s="8">
        <f t="shared" si="28"/>
        <v>18402</v>
      </c>
      <c r="T46" s="8">
        <f t="shared" si="28"/>
        <v>20114</v>
      </c>
      <c r="U46" s="8">
        <f t="shared" si="28"/>
        <v>0</v>
      </c>
      <c r="V46" s="8">
        <f t="shared" si="28"/>
        <v>0</v>
      </c>
      <c r="AB46" s="8">
        <f>SUM(AB41:AB45)</f>
        <v>0</v>
      </c>
      <c r="AC46" s="8">
        <f t="shared" ref="AC46:AE46" si="29">SUM(AC41:AC45)</f>
        <v>0</v>
      </c>
      <c r="AD46" s="8">
        <f t="shared" si="29"/>
        <v>0</v>
      </c>
      <c r="AE46" s="8">
        <f t="shared" si="29"/>
        <v>25055</v>
      </c>
      <c r="AF46" s="8">
        <f t="shared" ref="AF46" si="30">SUM(AF41:AF45)</f>
        <v>99564</v>
      </c>
      <c r="AG46" s="8">
        <f>SUM(AG41:AG45)</f>
        <v>175143</v>
      </c>
      <c r="AH46" s="8">
        <f>SUM(AH41:AH45)</f>
        <v>73517</v>
      </c>
    </row>
    <row r="47" spans="2:34" s="9" customFormat="1" x14ac:dyDescent="0.35">
      <c r="B47" s="9" t="s">
        <v>63</v>
      </c>
      <c r="F47" s="9">
        <f>F39-F46</f>
        <v>0</v>
      </c>
      <c r="G47" s="43">
        <f t="shared" ref="G47:P47" si="31">G39-G46</f>
        <v>-7192</v>
      </c>
      <c r="H47" s="9">
        <f t="shared" si="31"/>
        <v>-15603</v>
      </c>
      <c r="I47" s="9">
        <f t="shared" si="31"/>
        <v>-31051</v>
      </c>
      <c r="J47" s="9">
        <f t="shared" si="31"/>
        <v>-16341</v>
      </c>
      <c r="K47" s="43">
        <f t="shared" si="31"/>
        <v>-17550</v>
      </c>
      <c r="L47" s="9">
        <f t="shared" si="31"/>
        <v>-92798</v>
      </c>
      <c r="M47" s="9">
        <f t="shared" si="31"/>
        <v>-10315</v>
      </c>
      <c r="N47" s="9">
        <f t="shared" si="31"/>
        <v>-25785</v>
      </c>
      <c r="O47" s="43">
        <f t="shared" si="31"/>
        <v>-2218</v>
      </c>
      <c r="P47" s="9">
        <f t="shared" si="31"/>
        <v>-3856</v>
      </c>
      <c r="Q47" s="9">
        <f t="shared" ref="Q47:V47" si="32">Q39-Q46</f>
        <v>-2717</v>
      </c>
      <c r="R47" s="9">
        <f t="shared" si="32"/>
        <v>-6757</v>
      </c>
      <c r="S47" s="9">
        <f t="shared" si="32"/>
        <v>-3577</v>
      </c>
      <c r="T47" s="9">
        <f t="shared" si="32"/>
        <v>-7130</v>
      </c>
      <c r="U47" s="9">
        <f t="shared" si="32"/>
        <v>0</v>
      </c>
      <c r="V47" s="9">
        <f t="shared" si="32"/>
        <v>0</v>
      </c>
      <c r="AB47" s="9">
        <f>AB39-AB46</f>
        <v>0</v>
      </c>
      <c r="AC47" s="9">
        <f t="shared" ref="AC47:AE47" si="33">AC39-AC46</f>
        <v>0</v>
      </c>
      <c r="AD47" s="9">
        <f t="shared" si="33"/>
        <v>0</v>
      </c>
      <c r="AE47" s="9">
        <f t="shared" si="33"/>
        <v>-16946</v>
      </c>
      <c r="AF47" s="9">
        <f t="shared" ref="AF47" si="34">AF39-AF46</f>
        <v>-70187</v>
      </c>
      <c r="AG47" s="9">
        <f>AG39-AG46</f>
        <v>-146448</v>
      </c>
      <c r="AH47" s="9">
        <f>AH39-AH46</f>
        <v>-15548</v>
      </c>
    </row>
    <row r="48" spans="2:34" s="12" customFormat="1" x14ac:dyDescent="0.35">
      <c r="B48" s="12" t="s">
        <v>64</v>
      </c>
      <c r="G48" s="50"/>
      <c r="K48" s="50"/>
      <c r="O48" s="50"/>
    </row>
    <row r="49" spans="2:34" s="7" customFormat="1" x14ac:dyDescent="0.35">
      <c r="B49" s="7" t="s">
        <v>65</v>
      </c>
      <c r="G49" s="37">
        <v>1421</v>
      </c>
      <c r="H49" s="7">
        <v>1770</v>
      </c>
      <c r="I49" s="7">
        <v>1740</v>
      </c>
      <c r="J49" s="7">
        <f>AF49-I49-H49-G49</f>
        <v>1525</v>
      </c>
      <c r="K49" s="37">
        <v>1452</v>
      </c>
      <c r="L49" s="7">
        <v>1670</v>
      </c>
      <c r="M49" s="7">
        <v>2401</v>
      </c>
      <c r="N49" s="7">
        <f>AG49-M49-L49-K49</f>
        <v>2696</v>
      </c>
      <c r="O49" s="37">
        <v>2644</v>
      </c>
      <c r="P49" s="7">
        <v>2664</v>
      </c>
      <c r="Q49" s="7">
        <v>2629</v>
      </c>
      <c r="R49" s="7">
        <f>AH49-Q49-P49-O49</f>
        <v>2762</v>
      </c>
      <c r="S49" s="7">
        <v>2918</v>
      </c>
      <c r="T49" s="7">
        <v>3009</v>
      </c>
      <c r="AE49" s="7">
        <v>1072</v>
      </c>
      <c r="AF49" s="7">
        <v>6456</v>
      </c>
      <c r="AG49" s="7">
        <v>8219</v>
      </c>
      <c r="AH49" s="7">
        <v>10699</v>
      </c>
    </row>
    <row r="50" spans="2:34" s="8" customFormat="1" x14ac:dyDescent="0.35">
      <c r="B50" s="8" t="s">
        <v>66</v>
      </c>
      <c r="G50" s="37">
        <v>87</v>
      </c>
      <c r="H50" s="8">
        <v>-110</v>
      </c>
      <c r="I50" s="8">
        <v>-2957</v>
      </c>
      <c r="J50" s="8">
        <f>AF50-I50-H50-G50</f>
        <v>-857</v>
      </c>
      <c r="K50" s="37">
        <v>1180</v>
      </c>
      <c r="L50" s="8">
        <v>-15515</v>
      </c>
      <c r="M50" s="8">
        <v>-158</v>
      </c>
      <c r="N50" s="8">
        <f>AG50-M50-L50-K50</f>
        <v>-1582</v>
      </c>
      <c r="O50" s="37">
        <v>2427</v>
      </c>
      <c r="P50" s="8">
        <v>-970</v>
      </c>
      <c r="Q50" s="8">
        <v>1232</v>
      </c>
      <c r="R50" s="8">
        <f>AH50-Q50-P50-O50</f>
        <v>-1186</v>
      </c>
      <c r="S50" s="8">
        <v>1492</v>
      </c>
      <c r="T50" s="8">
        <v>7933</v>
      </c>
      <c r="AE50" s="8">
        <v>15</v>
      </c>
      <c r="AF50" s="8">
        <v>-3837</v>
      </c>
      <c r="AG50" s="8">
        <v>-16075</v>
      </c>
      <c r="AH50" s="8">
        <v>1503</v>
      </c>
    </row>
    <row r="51" spans="2:34" s="7" customFormat="1" x14ac:dyDescent="0.35">
      <c r="B51" s="7" t="s">
        <v>67</v>
      </c>
      <c r="F51" s="7">
        <f>F47-F49-F50</f>
        <v>0</v>
      </c>
      <c r="G51" s="37">
        <f t="shared" ref="G51:V51" si="35">G47-G49-G50</f>
        <v>-8700</v>
      </c>
      <c r="H51" s="7">
        <f t="shared" si="35"/>
        <v>-17263</v>
      </c>
      <c r="I51" s="7">
        <f t="shared" si="35"/>
        <v>-29834</v>
      </c>
      <c r="J51" s="7">
        <f t="shared" si="35"/>
        <v>-17009</v>
      </c>
      <c r="K51" s="37">
        <f t="shared" si="35"/>
        <v>-20182</v>
      </c>
      <c r="L51" s="7">
        <f t="shared" si="35"/>
        <v>-78953</v>
      </c>
      <c r="M51" s="7">
        <f t="shared" si="35"/>
        <v>-12558</v>
      </c>
      <c r="N51" s="7">
        <f t="shared" si="35"/>
        <v>-26899</v>
      </c>
      <c r="O51" s="37">
        <f t="shared" si="35"/>
        <v>-7289</v>
      </c>
      <c r="P51" s="7">
        <f t="shared" si="35"/>
        <v>-5550</v>
      </c>
      <c r="Q51" s="7">
        <f t="shared" si="35"/>
        <v>-6578</v>
      </c>
      <c r="R51" s="7">
        <f t="shared" si="35"/>
        <v>-8333</v>
      </c>
      <c r="S51" s="7">
        <f t="shared" si="35"/>
        <v>-7987</v>
      </c>
      <c r="T51" s="7">
        <f t="shared" si="35"/>
        <v>-18072</v>
      </c>
      <c r="U51" s="7">
        <f t="shared" si="35"/>
        <v>0</v>
      </c>
      <c r="V51" s="7">
        <f t="shared" si="35"/>
        <v>0</v>
      </c>
      <c r="AB51" s="7">
        <f>AB47-AB49-AB50</f>
        <v>0</v>
      </c>
      <c r="AC51" s="7">
        <f t="shared" ref="AC51:AE51" si="36">AC47-AC49-AC50</f>
        <v>0</v>
      </c>
      <c r="AD51" s="7">
        <f t="shared" si="36"/>
        <v>0</v>
      </c>
      <c r="AE51" s="7">
        <f t="shared" si="36"/>
        <v>-18033</v>
      </c>
      <c r="AF51" s="7">
        <f t="shared" ref="AF51" si="37">AF47-AF49-AF50</f>
        <v>-72806</v>
      </c>
      <c r="AG51" s="7">
        <f>AG47-AG49-AG50</f>
        <v>-138592</v>
      </c>
      <c r="AH51" s="7">
        <f>AH47-AH49-AH50</f>
        <v>-27750</v>
      </c>
    </row>
    <row r="52" spans="2:34" s="8" customFormat="1" x14ac:dyDescent="0.35">
      <c r="B52" s="8" t="s">
        <v>68</v>
      </c>
      <c r="G52" s="37">
        <v>-1026</v>
      </c>
      <c r="H52" s="8">
        <v>-1362</v>
      </c>
      <c r="I52" s="8">
        <v>-5582</v>
      </c>
      <c r="J52" s="8">
        <f>AF52-I52-H52-G52</f>
        <v>-3299</v>
      </c>
      <c r="K52" s="37">
        <v>-2889</v>
      </c>
      <c r="L52" s="8">
        <v>-1925</v>
      </c>
      <c r="M52" s="8">
        <v>-2135</v>
      </c>
      <c r="N52" s="8">
        <f>AG52-M52-L52-K52</f>
        <v>-1023</v>
      </c>
      <c r="O52" s="37">
        <v>-31</v>
      </c>
      <c r="P52" s="8">
        <v>-85</v>
      </c>
      <c r="Q52" s="8">
        <v>-253</v>
      </c>
      <c r="R52" s="8">
        <f>AH52-Q52-P52-O52</f>
        <v>-117</v>
      </c>
      <c r="S52" s="8">
        <v>109</v>
      </c>
      <c r="T52" s="8">
        <v>15</v>
      </c>
      <c r="AE52" s="8">
        <v>-3659</v>
      </c>
      <c r="AF52" s="8">
        <v>-11269</v>
      </c>
      <c r="AG52" s="8">
        <v>-7972</v>
      </c>
      <c r="AH52" s="8">
        <v>-486</v>
      </c>
    </row>
    <row r="53" spans="2:34" s="7" customFormat="1" x14ac:dyDescent="0.35">
      <c r="B53" s="7" t="s">
        <v>69</v>
      </c>
      <c r="F53" s="7">
        <f>F51-F52</f>
        <v>0</v>
      </c>
      <c r="G53" s="37">
        <f t="shared" ref="G53:V53" si="38">G51-G52</f>
        <v>-7674</v>
      </c>
      <c r="H53" s="7">
        <f t="shared" si="38"/>
        <v>-15901</v>
      </c>
      <c r="I53" s="7">
        <f t="shared" si="38"/>
        <v>-24252</v>
      </c>
      <c r="J53" s="7">
        <f t="shared" si="38"/>
        <v>-13710</v>
      </c>
      <c r="K53" s="37">
        <f t="shared" si="38"/>
        <v>-17293</v>
      </c>
      <c r="L53" s="7">
        <f t="shared" si="38"/>
        <v>-77028</v>
      </c>
      <c r="M53" s="7">
        <f t="shared" si="38"/>
        <v>-10423</v>
      </c>
      <c r="N53" s="7">
        <f t="shared" si="38"/>
        <v>-25876</v>
      </c>
      <c r="O53" s="37">
        <f t="shared" si="38"/>
        <v>-7258</v>
      </c>
      <c r="P53" s="7">
        <f t="shared" si="38"/>
        <v>-5465</v>
      </c>
      <c r="Q53" s="7">
        <f t="shared" si="38"/>
        <v>-6325</v>
      </c>
      <c r="R53" s="7">
        <f t="shared" si="38"/>
        <v>-8216</v>
      </c>
      <c r="S53" s="7">
        <f t="shared" si="38"/>
        <v>-8096</v>
      </c>
      <c r="T53" s="7">
        <f t="shared" si="38"/>
        <v>-18087</v>
      </c>
      <c r="U53" s="7">
        <f t="shared" si="38"/>
        <v>0</v>
      </c>
      <c r="V53" s="7">
        <f t="shared" si="38"/>
        <v>0</v>
      </c>
      <c r="AB53" s="7">
        <f>AB51-AB52</f>
        <v>0</v>
      </c>
      <c r="AC53" s="7">
        <f t="shared" ref="AC53:AE53" si="39">AC51-AC52</f>
        <v>0</v>
      </c>
      <c r="AD53" s="7">
        <f t="shared" si="39"/>
        <v>0</v>
      </c>
      <c r="AE53" s="7">
        <f t="shared" si="39"/>
        <v>-14374</v>
      </c>
      <c r="AF53" s="7">
        <f t="shared" ref="AF53" si="40">AF51-AF52</f>
        <v>-61537</v>
      </c>
      <c r="AG53" s="7">
        <f>AG51-AG52</f>
        <v>-130620</v>
      </c>
      <c r="AH53" s="7">
        <f>AH51-AH52</f>
        <v>-27264</v>
      </c>
    </row>
    <row r="54" spans="2:34" s="7" customFormat="1" x14ac:dyDescent="0.35">
      <c r="B54" s="7" t="s">
        <v>219</v>
      </c>
      <c r="G54" s="37"/>
      <c r="K54" s="37"/>
      <c r="O54" s="37"/>
      <c r="Q54" s="7">
        <v>-72</v>
      </c>
      <c r="R54" s="7">
        <f>AH54-Q54-P54-O54</f>
        <v>72</v>
      </c>
      <c r="S54" s="7">
        <v>-1</v>
      </c>
      <c r="T54" s="7">
        <v>9699</v>
      </c>
    </row>
    <row r="55" spans="2:34" s="8" customFormat="1" x14ac:dyDescent="0.35">
      <c r="B55" s="8" t="s">
        <v>70</v>
      </c>
      <c r="G55" s="37">
        <v>0</v>
      </c>
      <c r="H55" s="8">
        <v>0</v>
      </c>
      <c r="I55" s="8">
        <v>0</v>
      </c>
      <c r="J55" s="8">
        <f>AF55-I55-H55-G55</f>
        <v>0</v>
      </c>
      <c r="K55" s="37">
        <v>0</v>
      </c>
      <c r="L55" s="8">
        <v>0</v>
      </c>
      <c r="M55" s="8">
        <v>0</v>
      </c>
      <c r="N55" s="8">
        <f>AG55-M55-L55-K55</f>
        <v>1757</v>
      </c>
      <c r="O55" s="37">
        <v>0</v>
      </c>
      <c r="P55" s="8">
        <v>-1</v>
      </c>
      <c r="Q55" s="8">
        <v>2874</v>
      </c>
      <c r="R55" s="8">
        <f>AH55-Q55-P55-O55</f>
        <v>17147</v>
      </c>
      <c r="S55" s="8">
        <v>3043</v>
      </c>
      <c r="T55" s="8">
        <v>5</v>
      </c>
      <c r="AE55" s="8">
        <v>0</v>
      </c>
      <c r="AF55" s="8">
        <v>0</v>
      </c>
      <c r="AG55" s="8">
        <f>1760-3</f>
        <v>1757</v>
      </c>
      <c r="AH55" s="8">
        <f>20021-1</f>
        <v>20020</v>
      </c>
    </row>
    <row r="56" spans="2:34" s="9" customFormat="1" x14ac:dyDescent="0.35">
      <c r="B56" s="9" t="s">
        <v>71</v>
      </c>
      <c r="F56" s="9">
        <f>F53-SUM(F54:F55)</f>
        <v>0</v>
      </c>
      <c r="G56" s="43">
        <f t="shared" ref="G56:V56" si="41">G53-SUM(G54:G55)</f>
        <v>-7674</v>
      </c>
      <c r="H56" s="9">
        <f t="shared" si="41"/>
        <v>-15901</v>
      </c>
      <c r="I56" s="9">
        <f t="shared" si="41"/>
        <v>-24252</v>
      </c>
      <c r="J56" s="9">
        <f t="shared" si="41"/>
        <v>-13710</v>
      </c>
      <c r="K56" s="43">
        <f t="shared" si="41"/>
        <v>-17293</v>
      </c>
      <c r="L56" s="9">
        <f t="shared" si="41"/>
        <v>-77028</v>
      </c>
      <c r="M56" s="9">
        <f t="shared" si="41"/>
        <v>-10423</v>
      </c>
      <c r="N56" s="9">
        <f t="shared" si="41"/>
        <v>-27633</v>
      </c>
      <c r="O56" s="43">
        <f t="shared" si="41"/>
        <v>-7258</v>
      </c>
      <c r="P56" s="9">
        <f t="shared" si="41"/>
        <v>-5464</v>
      </c>
      <c r="Q56" s="9">
        <f t="shared" si="41"/>
        <v>-9127</v>
      </c>
      <c r="R56" s="9">
        <f t="shared" si="41"/>
        <v>-25435</v>
      </c>
      <c r="S56" s="9">
        <f t="shared" si="41"/>
        <v>-11138</v>
      </c>
      <c r="T56" s="9">
        <f t="shared" si="41"/>
        <v>-27791</v>
      </c>
      <c r="U56" s="9">
        <f t="shared" si="41"/>
        <v>0</v>
      </c>
      <c r="V56" s="9">
        <f t="shared" si="41"/>
        <v>0</v>
      </c>
      <c r="AB56" s="9">
        <f>AB53-AB55</f>
        <v>0</v>
      </c>
      <c r="AC56" s="9">
        <f t="shared" ref="AC56:AE56" si="42">AC53-AC55</f>
        <v>0</v>
      </c>
      <c r="AD56" s="9">
        <f t="shared" si="42"/>
        <v>0</v>
      </c>
      <c r="AE56" s="9">
        <f t="shared" si="42"/>
        <v>-14374</v>
      </c>
      <c r="AF56" s="9">
        <f t="shared" ref="AF56" si="43">AF53-AF55</f>
        <v>-61537</v>
      </c>
      <c r="AG56" s="9">
        <f>AG53-AG55</f>
        <v>-132377</v>
      </c>
      <c r="AH56" s="9">
        <f>AH53-AH55</f>
        <v>-47284</v>
      </c>
    </row>
    <row r="57" spans="2:34" s="7" customFormat="1" x14ac:dyDescent="0.35">
      <c r="G57" s="37"/>
      <c r="K57" s="37"/>
      <c r="O57" s="37"/>
    </row>
    <row r="58" spans="2:34" s="16" customFormat="1" x14ac:dyDescent="0.35">
      <c r="B58" s="16" t="s">
        <v>73</v>
      </c>
      <c r="F58" s="16" t="e">
        <f>F56/F59</f>
        <v>#DIV/0!</v>
      </c>
      <c r="G58" s="45">
        <f t="shared" ref="G58:J58" si="44">G56/G59</f>
        <v>-0.20629032258064517</v>
      </c>
      <c r="H58" s="16">
        <f t="shared" si="44"/>
        <v>-0.42744623655913977</v>
      </c>
      <c r="I58" s="16">
        <f t="shared" si="44"/>
        <v>-0.55072546703345371</v>
      </c>
      <c r="J58" s="16">
        <f t="shared" si="44"/>
        <v>-0.21869167823132507</v>
      </c>
      <c r="K58" s="45">
        <f>K56/K59</f>
        <v>-0.27584559403698805</v>
      </c>
      <c r="L58" s="16">
        <f>L56/L59</f>
        <v>-1.2228131325063158</v>
      </c>
      <c r="M58" s="16">
        <f>M56/M59</f>
        <v>-0.16424382986923508</v>
      </c>
      <c r="N58" s="16">
        <f>N56/N59</f>
        <v>-0.42987819106734493</v>
      </c>
      <c r="O58" s="45">
        <v>-0.18</v>
      </c>
      <c r="P58" s="16">
        <f>P56/P59</f>
        <v>-8.4365866910467144E-2</v>
      </c>
      <c r="Q58" s="16">
        <f t="shared" ref="Q58:T58" si="45">Q56/Q59</f>
        <v>-0.14085749294497182</v>
      </c>
      <c r="R58" s="16" t="e">
        <f t="shared" si="45"/>
        <v>#DIV/0!</v>
      </c>
      <c r="S58" s="16">
        <f t="shared" si="45"/>
        <v>-0.16985834533815095</v>
      </c>
      <c r="T58" s="16">
        <f t="shared" si="45"/>
        <v>-0.42298750729509238</v>
      </c>
      <c r="AB58" s="16" t="e">
        <f>AB56/AB59</f>
        <v>#DIV/0!</v>
      </c>
      <c r="AC58" s="16" t="e">
        <f t="shared" ref="AC58:AF58" si="46">AC56/AC59</f>
        <v>#DIV/0!</v>
      </c>
      <c r="AD58" s="16" t="e">
        <f t="shared" si="46"/>
        <v>#DIV/0!</v>
      </c>
      <c r="AE58" s="16">
        <f t="shared" si="46"/>
        <v>-0.38639784946236561</v>
      </c>
      <c r="AF58" s="16">
        <f t="shared" si="46"/>
        <v>-0.98159430522489644</v>
      </c>
      <c r="AG58" s="16">
        <f>AG56/AG59</f>
        <v>-2.059360618286401</v>
      </c>
      <c r="AH58" s="16">
        <f>AH56/AH59</f>
        <v>-0.7313373976146591</v>
      </c>
    </row>
    <row r="59" spans="2:34" s="7" customFormat="1" x14ac:dyDescent="0.35">
      <c r="B59" s="7" t="s">
        <v>83</v>
      </c>
      <c r="G59" s="37">
        <v>37200</v>
      </c>
      <c r="H59" s="7">
        <v>37200</v>
      </c>
      <c r="I59" s="7">
        <v>44036.46</v>
      </c>
      <c r="J59" s="7">
        <v>62691</v>
      </c>
      <c r="K59" s="37">
        <v>62690.868999999999</v>
      </c>
      <c r="L59" s="7">
        <v>62992.453999999998</v>
      </c>
      <c r="M59" s="7">
        <v>63460.527000000002</v>
      </c>
      <c r="N59" s="7">
        <v>64281</v>
      </c>
      <c r="O59" s="37">
        <v>64280.631000000001</v>
      </c>
      <c r="P59" s="7">
        <v>64765.529000000002</v>
      </c>
      <c r="Q59" s="7">
        <v>64795.985000000001</v>
      </c>
      <c r="S59" s="7">
        <v>65572.285999999993</v>
      </c>
      <c r="T59" s="7">
        <v>65701.703999999998</v>
      </c>
      <c r="AE59" s="7">
        <v>37200</v>
      </c>
      <c r="AF59" s="7">
        <v>62690.868999999999</v>
      </c>
      <c r="AG59" s="7">
        <v>64280.631000000001</v>
      </c>
      <c r="AH59" s="7">
        <v>64654.152999999998</v>
      </c>
    </row>
    <row r="60" spans="2:34" s="7" customFormat="1" x14ac:dyDescent="0.35">
      <c r="G60" s="37"/>
      <c r="K60" s="37"/>
      <c r="O60" s="37">
        <f>O56/O59</f>
        <v>-0.11291115048326143</v>
      </c>
    </row>
    <row r="61" spans="2:34" s="7" customFormat="1" x14ac:dyDescent="0.35">
      <c r="G61" s="37"/>
      <c r="K61" s="37"/>
      <c r="O61" s="37"/>
    </row>
    <row r="62" spans="2:34" s="13" customFormat="1" x14ac:dyDescent="0.35">
      <c r="B62" s="13" t="s">
        <v>5</v>
      </c>
      <c r="G62" s="51"/>
      <c r="K62" s="51"/>
      <c r="O62" s="51"/>
    </row>
    <row r="63" spans="2:34" s="10" customFormat="1" x14ac:dyDescent="0.35">
      <c r="B63" s="10" t="s">
        <v>6</v>
      </c>
      <c r="G63" s="49"/>
      <c r="K63" s="49"/>
      <c r="O63" s="49"/>
    </row>
    <row r="64" spans="2:34" s="7" customFormat="1" x14ac:dyDescent="0.35">
      <c r="B64" s="7" t="s">
        <v>7</v>
      </c>
      <c r="G64" s="37"/>
      <c r="I64" s="7">
        <v>27258</v>
      </c>
      <c r="J64" s="7">
        <v>20523</v>
      </c>
      <c r="K64" s="37">
        <v>5938</v>
      </c>
      <c r="L64" s="7">
        <v>10879</v>
      </c>
      <c r="M64" s="7">
        <v>7031</v>
      </c>
      <c r="N64" s="7">
        <v>28316</v>
      </c>
      <c r="O64" s="37">
        <v>11273</v>
      </c>
      <c r="P64" s="7">
        <v>11231</v>
      </c>
      <c r="Q64" s="7">
        <v>10859</v>
      </c>
      <c r="R64" s="7">
        <f>AH64</f>
        <v>30278</v>
      </c>
      <c r="S64" s="7">
        <v>32569</v>
      </c>
      <c r="T64" s="7">
        <v>30832</v>
      </c>
      <c r="AE64" s="7">
        <v>22076</v>
      </c>
      <c r="AF64" s="7">
        <v>20523</v>
      </c>
      <c r="AG64" s="7">
        <v>28316</v>
      </c>
      <c r="AH64" s="7">
        <v>30278</v>
      </c>
    </row>
    <row r="65" spans="2:34" s="7" customFormat="1" x14ac:dyDescent="0.35">
      <c r="B65" s="7" t="s">
        <v>8</v>
      </c>
      <c r="G65" s="37"/>
      <c r="I65" s="7">
        <v>10396</v>
      </c>
      <c r="J65" s="7">
        <v>16262</v>
      </c>
      <c r="K65" s="37">
        <v>11984</v>
      </c>
      <c r="L65" s="7">
        <v>12702</v>
      </c>
      <c r="M65" s="7">
        <v>16521</v>
      </c>
      <c r="N65" s="7">
        <v>26726</v>
      </c>
      <c r="O65" s="37">
        <v>23481</v>
      </c>
      <c r="P65" s="7">
        <v>25492</v>
      </c>
      <c r="Q65" s="7">
        <v>24641</v>
      </c>
      <c r="R65" s="7">
        <f>AH65</f>
        <v>32411</v>
      </c>
      <c r="S65" s="7">
        <v>18988</v>
      </c>
      <c r="T65" s="7">
        <v>22083</v>
      </c>
      <c r="AE65" s="7">
        <f>6057+4874</f>
        <v>10931</v>
      </c>
      <c r="AF65" s="7">
        <v>16262</v>
      </c>
      <c r="AG65" s="7">
        <v>26726</v>
      </c>
      <c r="AH65" s="7">
        <v>32411</v>
      </c>
    </row>
    <row r="66" spans="2:34" s="7" customFormat="1" x14ac:dyDescent="0.35">
      <c r="B66" s="7" t="s">
        <v>9</v>
      </c>
      <c r="G66" s="37"/>
      <c r="I66" s="7">
        <v>9364</v>
      </c>
      <c r="J66" s="7">
        <v>11748</v>
      </c>
      <c r="K66" s="37">
        <v>17492</v>
      </c>
      <c r="L66" s="7">
        <v>14747</v>
      </c>
      <c r="M66" s="7">
        <v>16319</v>
      </c>
      <c r="N66" s="7">
        <v>31041</v>
      </c>
      <c r="O66" s="37">
        <v>40741</v>
      </c>
      <c r="P66" s="7">
        <v>43290</v>
      </c>
      <c r="Q66" s="7">
        <v>39779</v>
      </c>
      <c r="R66" s="7">
        <f>AH66</f>
        <v>36961</v>
      </c>
      <c r="S66" s="7">
        <v>39554</v>
      </c>
      <c r="T66" s="7">
        <v>42909</v>
      </c>
      <c r="AE66" s="7">
        <v>4172</v>
      </c>
      <c r="AF66" s="7">
        <v>11748</v>
      </c>
      <c r="AG66" s="7">
        <v>31041</v>
      </c>
      <c r="AH66" s="7">
        <v>36961</v>
      </c>
    </row>
    <row r="67" spans="2:34" s="7" customFormat="1" x14ac:dyDescent="0.35">
      <c r="B67" s="7" t="s">
        <v>10</v>
      </c>
      <c r="G67" s="37"/>
      <c r="I67" s="7">
        <v>607</v>
      </c>
      <c r="J67" s="7">
        <v>688</v>
      </c>
      <c r="K67" s="37">
        <v>1022</v>
      </c>
      <c r="L67" s="7">
        <v>1681</v>
      </c>
      <c r="M67" s="7">
        <v>2029</v>
      </c>
      <c r="N67" s="7">
        <v>1469</v>
      </c>
      <c r="O67" s="37">
        <v>1452</v>
      </c>
      <c r="P67" s="7">
        <v>1281</v>
      </c>
      <c r="Q67" s="7">
        <v>1687</v>
      </c>
      <c r="R67" s="7">
        <f>AH67</f>
        <v>1516</v>
      </c>
      <c r="S67" s="7">
        <v>1612</v>
      </c>
      <c r="T67" s="7">
        <v>1825</v>
      </c>
      <c r="AE67" s="7">
        <v>330</v>
      </c>
      <c r="AF67" s="7">
        <v>688</v>
      </c>
      <c r="AG67" s="7">
        <v>1469</v>
      </c>
      <c r="AH67" s="7">
        <v>1516</v>
      </c>
    </row>
    <row r="68" spans="2:34" s="7" customFormat="1" x14ac:dyDescent="0.35">
      <c r="B68" s="7" t="s">
        <v>11</v>
      </c>
      <c r="G68" s="37"/>
      <c r="I68" s="7">
        <v>688</v>
      </c>
      <c r="J68" s="7">
        <v>688</v>
      </c>
      <c r="K68" s="37">
        <v>688</v>
      </c>
      <c r="L68" s="7">
        <v>688</v>
      </c>
      <c r="M68" s="7">
        <v>688</v>
      </c>
      <c r="N68" s="7">
        <v>688</v>
      </c>
      <c r="O68" s="37">
        <v>688</v>
      </c>
      <c r="P68" s="7">
        <v>688</v>
      </c>
      <c r="Q68" s="7">
        <v>688</v>
      </c>
      <c r="R68" s="7">
        <f>AH68</f>
        <v>636</v>
      </c>
      <c r="S68" s="7">
        <v>636</v>
      </c>
      <c r="T68" s="7">
        <v>636</v>
      </c>
      <c r="AE68" s="7">
        <v>688</v>
      </c>
      <c r="AF68" s="7">
        <v>688</v>
      </c>
      <c r="AG68" s="7">
        <v>688</v>
      </c>
      <c r="AH68" s="7">
        <v>636</v>
      </c>
    </row>
    <row r="69" spans="2:34" s="7" customFormat="1" x14ac:dyDescent="0.35">
      <c r="B69" s="7" t="s">
        <v>12</v>
      </c>
      <c r="G69" s="37"/>
      <c r="I69" s="7">
        <v>3806</v>
      </c>
      <c r="J69" s="7">
        <v>2819</v>
      </c>
      <c r="K69" s="37">
        <v>1752</v>
      </c>
      <c r="L69" s="7">
        <v>692</v>
      </c>
      <c r="M69" s="7">
        <v>3046</v>
      </c>
      <c r="N69" s="7">
        <v>2240</v>
      </c>
      <c r="O69" s="37">
        <v>1413</v>
      </c>
      <c r="P69" s="7">
        <v>636</v>
      </c>
      <c r="Q69" s="7">
        <v>1304</v>
      </c>
      <c r="R69" s="7">
        <f>AH69</f>
        <v>1083</v>
      </c>
      <c r="S69" s="7">
        <v>687</v>
      </c>
      <c r="T69" s="37">
        <v>577</v>
      </c>
      <c r="AE69" s="7">
        <v>0</v>
      </c>
      <c r="AF69" s="7">
        <v>2819</v>
      </c>
      <c r="AG69" s="7">
        <v>2240</v>
      </c>
      <c r="AH69" s="7">
        <v>1083</v>
      </c>
    </row>
    <row r="70" spans="2:34" s="8" customFormat="1" x14ac:dyDescent="0.35">
      <c r="B70" s="8" t="s">
        <v>13</v>
      </c>
      <c r="G70" s="37"/>
      <c r="I70" s="8">
        <v>1855</v>
      </c>
      <c r="J70" s="8">
        <v>2488</v>
      </c>
      <c r="K70" s="37">
        <v>4593</v>
      </c>
      <c r="L70" s="8">
        <v>4073</v>
      </c>
      <c r="M70" s="8">
        <v>3725</v>
      </c>
      <c r="N70" s="8">
        <v>5687</v>
      </c>
      <c r="O70" s="37">
        <v>5704</v>
      </c>
      <c r="P70" s="8">
        <v>6545</v>
      </c>
      <c r="Q70" s="8">
        <v>5464</v>
      </c>
      <c r="R70" s="8">
        <f>AH70</f>
        <v>6428</v>
      </c>
      <c r="S70" s="8">
        <v>5869</v>
      </c>
      <c r="T70" s="8">
        <v>6451</v>
      </c>
      <c r="AE70" s="8">
        <v>1109</v>
      </c>
      <c r="AF70" s="8">
        <v>2488</v>
      </c>
      <c r="AG70" s="8">
        <v>5687</v>
      </c>
      <c r="AH70" s="8">
        <v>6428</v>
      </c>
    </row>
    <row r="71" spans="2:34" s="9" customFormat="1" x14ac:dyDescent="0.35">
      <c r="B71" s="9" t="s">
        <v>14</v>
      </c>
      <c r="F71" s="9">
        <f>SUM(F64:F70)</f>
        <v>0</v>
      </c>
      <c r="G71" s="43">
        <f t="shared" ref="G71:O71" si="47">SUM(G64:G70)</f>
        <v>0</v>
      </c>
      <c r="H71" s="9">
        <f t="shared" si="47"/>
        <v>0</v>
      </c>
      <c r="I71" s="9">
        <f t="shared" si="47"/>
        <v>53974</v>
      </c>
      <c r="J71" s="9">
        <f t="shared" si="47"/>
        <v>55216</v>
      </c>
      <c r="K71" s="43">
        <f t="shared" si="47"/>
        <v>43469</v>
      </c>
      <c r="L71" s="9">
        <f t="shared" si="47"/>
        <v>45462</v>
      </c>
      <c r="M71" s="9">
        <f t="shared" si="47"/>
        <v>49359</v>
      </c>
      <c r="N71" s="9">
        <f t="shared" si="47"/>
        <v>96167</v>
      </c>
      <c r="O71" s="43">
        <f t="shared" si="47"/>
        <v>84752</v>
      </c>
      <c r="P71" s="9">
        <f>SUM(P64:P70)</f>
        <v>89163</v>
      </c>
      <c r="Q71" s="9">
        <f t="shared" ref="Q71:V71" si="48">SUM(Q64:Q70)</f>
        <v>84422</v>
      </c>
      <c r="R71" s="9">
        <f t="shared" si="48"/>
        <v>109313</v>
      </c>
      <c r="S71" s="9">
        <f t="shared" si="48"/>
        <v>99915</v>
      </c>
      <c r="T71" s="9">
        <f t="shared" si="48"/>
        <v>105313</v>
      </c>
      <c r="U71" s="9">
        <f t="shared" si="48"/>
        <v>0</v>
      </c>
      <c r="V71" s="9">
        <f t="shared" si="48"/>
        <v>0</v>
      </c>
      <c r="AB71" s="9">
        <f>SUM(AB64:AB70)</f>
        <v>0</v>
      </c>
      <c r="AC71" s="9">
        <f t="shared" ref="AC71:AE71" si="49">SUM(AC64:AC70)</f>
        <v>0</v>
      </c>
      <c r="AD71" s="9">
        <f t="shared" si="49"/>
        <v>0</v>
      </c>
      <c r="AE71" s="9">
        <f t="shared" si="49"/>
        <v>39306</v>
      </c>
      <c r="AF71" s="9">
        <f t="shared" ref="AF71" si="50">SUM(AF64:AF70)</f>
        <v>55216</v>
      </c>
      <c r="AG71" s="9">
        <f>SUM(AG64:AG70)</f>
        <v>96167</v>
      </c>
      <c r="AH71" s="9">
        <f>SUM(AH64:AH70)</f>
        <v>109313</v>
      </c>
    </row>
    <row r="72" spans="2:34" s="10" customFormat="1" x14ac:dyDescent="0.35">
      <c r="B72" s="10" t="s">
        <v>15</v>
      </c>
      <c r="G72" s="49"/>
      <c r="K72" s="49"/>
      <c r="O72" s="49"/>
    </row>
    <row r="73" spans="2:34" s="7" customFormat="1" x14ac:dyDescent="0.35">
      <c r="B73" s="14" t="s">
        <v>82</v>
      </c>
      <c r="G73" s="37"/>
      <c r="I73" s="7">
        <v>4830</v>
      </c>
      <c r="J73" s="7">
        <v>19384</v>
      </c>
      <c r="K73" s="37">
        <v>18786</v>
      </c>
      <c r="L73" s="7">
        <v>5824</v>
      </c>
      <c r="M73" s="7">
        <v>6697</v>
      </c>
      <c r="N73" s="7">
        <v>12761</v>
      </c>
      <c r="O73" s="37">
        <v>12915</v>
      </c>
      <c r="P73" s="7">
        <v>13874</v>
      </c>
      <c r="Q73" s="7">
        <v>14631</v>
      </c>
      <c r="R73" s="7">
        <f>AH73</f>
        <v>15909</v>
      </c>
      <c r="S73" s="7">
        <v>15899</v>
      </c>
      <c r="T73" s="7">
        <v>15889</v>
      </c>
      <c r="AE73" s="7">
        <v>3262</v>
      </c>
      <c r="AF73" s="7">
        <v>19384</v>
      </c>
      <c r="AG73" s="7">
        <v>12761</v>
      </c>
      <c r="AH73" s="7">
        <v>15909</v>
      </c>
    </row>
    <row r="74" spans="2:34" s="7" customFormat="1" x14ac:dyDescent="0.35">
      <c r="B74" s="7" t="s">
        <v>16</v>
      </c>
      <c r="G74" s="37"/>
      <c r="I74" s="7">
        <v>0</v>
      </c>
      <c r="J74" s="7">
        <v>0</v>
      </c>
      <c r="K74" s="37">
        <v>12985</v>
      </c>
      <c r="L74" s="7">
        <v>12080</v>
      </c>
      <c r="M74" s="7">
        <v>14783</v>
      </c>
      <c r="N74" s="7">
        <v>13103</v>
      </c>
      <c r="O74" s="37">
        <v>12956</v>
      </c>
      <c r="P74" s="7">
        <v>14892</v>
      </c>
      <c r="Q74" s="7">
        <v>14041</v>
      </c>
      <c r="R74" s="7">
        <f>AH74</f>
        <v>13181</v>
      </c>
      <c r="S74" s="7">
        <v>12350</v>
      </c>
      <c r="T74" s="7">
        <v>11495</v>
      </c>
      <c r="AE74" s="7">
        <v>0</v>
      </c>
      <c r="AF74" s="7">
        <v>0</v>
      </c>
      <c r="AG74" s="7">
        <v>13103</v>
      </c>
      <c r="AH74" s="7">
        <v>13181</v>
      </c>
    </row>
    <row r="75" spans="2:34" s="7" customFormat="1" x14ac:dyDescent="0.35">
      <c r="B75" s="7" t="s">
        <v>17</v>
      </c>
      <c r="G75" s="37"/>
      <c r="I75" s="7">
        <v>87453</v>
      </c>
      <c r="J75" s="7">
        <v>90842</v>
      </c>
      <c r="K75" s="37">
        <v>88352</v>
      </c>
      <c r="L75" s="7">
        <v>57724</v>
      </c>
      <c r="M75" s="7">
        <v>56207</v>
      </c>
      <c r="N75" s="7">
        <v>66871</v>
      </c>
      <c r="O75" s="37">
        <v>65333</v>
      </c>
      <c r="P75" s="7">
        <v>64409</v>
      </c>
      <c r="Q75" s="7">
        <v>62969</v>
      </c>
      <c r="R75" s="7">
        <f>AH75</f>
        <v>62985</v>
      </c>
      <c r="S75" s="7">
        <v>62004</v>
      </c>
      <c r="T75" s="7">
        <v>61755</v>
      </c>
      <c r="AE75" s="7">
        <v>60961</v>
      </c>
      <c r="AF75" s="7">
        <v>90842</v>
      </c>
      <c r="AG75" s="7">
        <v>66871</v>
      </c>
      <c r="AH75" s="7">
        <v>62985</v>
      </c>
    </row>
    <row r="76" spans="2:34" s="7" customFormat="1" x14ac:dyDescent="0.35">
      <c r="B76" s="7" t="s">
        <v>18</v>
      </c>
      <c r="G76" s="37"/>
      <c r="I76" s="7">
        <v>69625</v>
      </c>
      <c r="J76" s="7">
        <v>96314</v>
      </c>
      <c r="K76" s="37">
        <v>96230</v>
      </c>
      <c r="L76" s="7">
        <v>56752</v>
      </c>
      <c r="M76" s="7">
        <v>56710</v>
      </c>
      <c r="N76" s="7">
        <v>64618</v>
      </c>
      <c r="O76" s="37">
        <v>64910</v>
      </c>
      <c r="P76" s="7">
        <v>64994</v>
      </c>
      <c r="Q76" s="7">
        <v>64413</v>
      </c>
      <c r="R76" s="7">
        <f>AH76</f>
        <v>65757</v>
      </c>
      <c r="S76" s="7">
        <v>65310</v>
      </c>
      <c r="T76" s="7">
        <v>65218</v>
      </c>
      <c r="AE76" s="7">
        <v>52711</v>
      </c>
      <c r="AF76" s="7">
        <v>96314</v>
      </c>
      <c r="AG76" s="7">
        <v>64618</v>
      </c>
      <c r="AH76" s="7">
        <v>65757</v>
      </c>
    </row>
    <row r="77" spans="2:34" s="7" customFormat="1" x14ac:dyDescent="0.35">
      <c r="B77" s="7" t="s">
        <v>19</v>
      </c>
      <c r="G77" s="37"/>
      <c r="I77" s="7">
        <v>0</v>
      </c>
      <c r="J77" s="7">
        <v>0</v>
      </c>
      <c r="K77" s="37">
        <v>0</v>
      </c>
      <c r="L77" s="7">
        <v>0</v>
      </c>
      <c r="M77" s="7">
        <v>0</v>
      </c>
      <c r="N77" s="7">
        <v>3269</v>
      </c>
      <c r="O77" s="37">
        <v>3259</v>
      </c>
      <c r="P77" s="7">
        <v>3495</v>
      </c>
      <c r="Q77" s="7">
        <v>3241</v>
      </c>
      <c r="R77" s="7">
        <f>AH77</f>
        <v>3613</v>
      </c>
      <c r="S77" s="7">
        <v>3589</v>
      </c>
      <c r="T77" s="7">
        <v>0</v>
      </c>
      <c r="AE77" s="7">
        <v>0</v>
      </c>
      <c r="AF77" s="7">
        <v>0</v>
      </c>
      <c r="AG77" s="7">
        <v>3269</v>
      </c>
      <c r="AH77" s="7">
        <v>3613</v>
      </c>
    </row>
    <row r="78" spans="2:34" s="8" customFormat="1" x14ac:dyDescent="0.35">
      <c r="B78" s="8" t="s">
        <v>20</v>
      </c>
      <c r="G78" s="37"/>
      <c r="I78" s="8">
        <v>125</v>
      </c>
      <c r="J78" s="8">
        <v>0</v>
      </c>
      <c r="K78" s="37">
        <v>0</v>
      </c>
      <c r="L78" s="8">
        <v>756</v>
      </c>
      <c r="M78" s="8">
        <v>616</v>
      </c>
      <c r="N78" s="8">
        <v>909</v>
      </c>
      <c r="O78" s="37">
        <v>953</v>
      </c>
      <c r="P78" s="8">
        <v>570</v>
      </c>
      <c r="Q78" s="8">
        <v>509</v>
      </c>
      <c r="R78" s="7">
        <f>AH78</f>
        <v>511</v>
      </c>
      <c r="S78" s="8">
        <v>475</v>
      </c>
      <c r="T78" s="8">
        <v>604</v>
      </c>
      <c r="AE78" s="8">
        <v>534</v>
      </c>
      <c r="AF78" s="8">
        <v>0</v>
      </c>
      <c r="AG78" s="8">
        <v>909</v>
      </c>
      <c r="AH78" s="8">
        <v>511</v>
      </c>
    </row>
    <row r="79" spans="2:34" s="11" customFormat="1" x14ac:dyDescent="0.35">
      <c r="B79" s="11" t="s">
        <v>21</v>
      </c>
      <c r="F79" s="11">
        <f>SUM(F73:F78)</f>
        <v>0</v>
      </c>
      <c r="G79" s="37">
        <f t="shared" ref="G79:P79" si="51">SUM(G73:G78)</f>
        <v>0</v>
      </c>
      <c r="H79" s="11">
        <f t="shared" si="51"/>
        <v>0</v>
      </c>
      <c r="I79" s="11">
        <f t="shared" si="51"/>
        <v>162033</v>
      </c>
      <c r="J79" s="11">
        <f t="shared" si="51"/>
        <v>206540</v>
      </c>
      <c r="K79" s="37">
        <f t="shared" si="51"/>
        <v>216353</v>
      </c>
      <c r="L79" s="11">
        <f t="shared" si="51"/>
        <v>133136</v>
      </c>
      <c r="M79" s="11">
        <f t="shared" si="51"/>
        <v>135013</v>
      </c>
      <c r="N79" s="11">
        <f t="shared" si="51"/>
        <v>161531</v>
      </c>
      <c r="O79" s="37">
        <f t="shared" si="51"/>
        <v>160326</v>
      </c>
      <c r="P79" s="11">
        <f t="shared" si="51"/>
        <v>162234</v>
      </c>
      <c r="Q79" s="11">
        <f t="shared" ref="Q79:V79" si="52">SUM(Q73:Q78)</f>
        <v>159804</v>
      </c>
      <c r="R79" s="11">
        <f t="shared" si="52"/>
        <v>161956</v>
      </c>
      <c r="S79" s="11">
        <f t="shared" si="52"/>
        <v>159627</v>
      </c>
      <c r="T79" s="11">
        <f t="shared" si="52"/>
        <v>154961</v>
      </c>
      <c r="U79" s="11">
        <f t="shared" si="52"/>
        <v>0</v>
      </c>
      <c r="V79" s="11">
        <f t="shared" si="52"/>
        <v>0</v>
      </c>
      <c r="AB79" s="11">
        <f>SUM(AB73:AB78)</f>
        <v>0</v>
      </c>
      <c r="AC79" s="11">
        <f t="shared" ref="AC79:AE79" si="53">SUM(AC73:AC78)</f>
        <v>0</v>
      </c>
      <c r="AD79" s="11">
        <f t="shared" si="53"/>
        <v>0</v>
      </c>
      <c r="AE79" s="11">
        <f t="shared" si="53"/>
        <v>117468</v>
      </c>
      <c r="AF79" s="11">
        <f t="shared" ref="AF79" si="54">SUM(AF73:AF78)</f>
        <v>206540</v>
      </c>
      <c r="AG79" s="11">
        <f>SUM(AG73:AG78)</f>
        <v>161531</v>
      </c>
      <c r="AH79" s="11">
        <f>SUM(AH73:AH78)</f>
        <v>161956</v>
      </c>
    </row>
    <row r="80" spans="2:34" s="9" customFormat="1" x14ac:dyDescent="0.35">
      <c r="B80" s="9" t="s">
        <v>22</v>
      </c>
      <c r="F80" s="9">
        <f>F79+F71</f>
        <v>0</v>
      </c>
      <c r="G80" s="43">
        <f t="shared" ref="G80:P80" si="55">G79+G71</f>
        <v>0</v>
      </c>
      <c r="H80" s="9">
        <f t="shared" si="55"/>
        <v>0</v>
      </c>
      <c r="I80" s="9">
        <f t="shared" si="55"/>
        <v>216007</v>
      </c>
      <c r="J80" s="9">
        <f t="shared" si="55"/>
        <v>261756</v>
      </c>
      <c r="K80" s="43">
        <f t="shared" si="55"/>
        <v>259822</v>
      </c>
      <c r="L80" s="9">
        <f t="shared" si="55"/>
        <v>178598</v>
      </c>
      <c r="M80" s="9">
        <f t="shared" si="55"/>
        <v>184372</v>
      </c>
      <c r="N80" s="9">
        <f t="shared" si="55"/>
        <v>257698</v>
      </c>
      <c r="O80" s="43">
        <f t="shared" si="55"/>
        <v>245078</v>
      </c>
      <c r="P80" s="9">
        <f t="shared" si="55"/>
        <v>251397</v>
      </c>
      <c r="Q80" s="9">
        <f t="shared" ref="Q80:V80" si="56">Q79+Q71</f>
        <v>244226</v>
      </c>
      <c r="R80" s="9">
        <f t="shared" si="56"/>
        <v>271269</v>
      </c>
      <c r="S80" s="9">
        <f t="shared" si="56"/>
        <v>259542</v>
      </c>
      <c r="T80" s="9">
        <f t="shared" si="56"/>
        <v>260274</v>
      </c>
      <c r="U80" s="9">
        <f t="shared" si="56"/>
        <v>0</v>
      </c>
      <c r="V80" s="9">
        <f t="shared" si="56"/>
        <v>0</v>
      </c>
      <c r="AB80" s="9">
        <f>AB79+AB71</f>
        <v>0</v>
      </c>
      <c r="AC80" s="9">
        <f t="shared" ref="AC80:AE80" si="57">AC79+AC71</f>
        <v>0</v>
      </c>
      <c r="AD80" s="9">
        <f t="shared" si="57"/>
        <v>0</v>
      </c>
      <c r="AE80" s="9">
        <f t="shared" si="57"/>
        <v>156774</v>
      </c>
      <c r="AF80" s="9">
        <f t="shared" ref="AF80" si="58">AF79+AF71</f>
        <v>261756</v>
      </c>
      <c r="AG80" s="9">
        <f>AG79+AG71</f>
        <v>257698</v>
      </c>
      <c r="AH80" s="9">
        <f>AH79+AH71</f>
        <v>271269</v>
      </c>
    </row>
    <row r="81" spans="2:34" s="10" customFormat="1" x14ac:dyDescent="0.35">
      <c r="B81" s="10" t="s">
        <v>23</v>
      </c>
      <c r="G81" s="49"/>
      <c r="K81" s="49"/>
      <c r="O81" s="49"/>
    </row>
    <row r="82" spans="2:34" s="7" customFormat="1" x14ac:dyDescent="0.35">
      <c r="B82" s="7" t="s">
        <v>24</v>
      </c>
      <c r="G82" s="37"/>
      <c r="I82" s="7">
        <v>7390</v>
      </c>
      <c r="J82" s="7">
        <v>13131</v>
      </c>
      <c r="K82" s="37">
        <v>13905</v>
      </c>
      <c r="L82" s="7">
        <v>18408</v>
      </c>
      <c r="M82" s="7">
        <v>17595</v>
      </c>
      <c r="N82" s="7">
        <v>17584</v>
      </c>
      <c r="O82" s="37">
        <v>14063</v>
      </c>
      <c r="P82" s="7">
        <v>16890</v>
      </c>
      <c r="Q82" s="7">
        <v>14185</v>
      </c>
      <c r="R82" s="7">
        <f>AH82</f>
        <v>18573</v>
      </c>
      <c r="S82" s="7">
        <v>28059</v>
      </c>
      <c r="T82" s="7">
        <v>27796</v>
      </c>
      <c r="AE82" s="7">
        <v>7158</v>
      </c>
      <c r="AF82" s="7">
        <v>13131</v>
      </c>
      <c r="AG82" s="7">
        <v>17584</v>
      </c>
      <c r="AH82" s="7">
        <v>18573</v>
      </c>
    </row>
    <row r="83" spans="2:34" s="7" customFormat="1" x14ac:dyDescent="0.35">
      <c r="B83" s="7" t="s">
        <v>25</v>
      </c>
      <c r="G83" s="37"/>
      <c r="I83" s="7">
        <v>888</v>
      </c>
      <c r="J83" s="7">
        <v>1000</v>
      </c>
      <c r="K83" s="37">
        <v>1000</v>
      </c>
      <c r="L83" s="7">
        <v>1000</v>
      </c>
      <c r="M83" s="7">
        <v>1000</v>
      </c>
      <c r="N83" s="7">
        <v>1000</v>
      </c>
      <c r="O83" s="37">
        <v>0</v>
      </c>
      <c r="P83" s="7">
        <v>0</v>
      </c>
      <c r="Q83" s="7">
        <v>0</v>
      </c>
      <c r="R83" s="7">
        <f>AH83</f>
        <v>0</v>
      </c>
      <c r="S83" s="7">
        <v>0</v>
      </c>
      <c r="T83" s="7">
        <v>0</v>
      </c>
      <c r="AE83" s="7">
        <v>1827</v>
      </c>
      <c r="AF83" s="7">
        <v>1000</v>
      </c>
      <c r="AG83" s="7">
        <v>1000</v>
      </c>
      <c r="AH83" s="7">
        <v>0</v>
      </c>
    </row>
    <row r="84" spans="2:34" s="7" customFormat="1" x14ac:dyDescent="0.35">
      <c r="B84" s="7" t="s">
        <v>26</v>
      </c>
      <c r="G84" s="37"/>
      <c r="I84" s="7">
        <v>3827</v>
      </c>
      <c r="J84" s="7">
        <v>2684</v>
      </c>
      <c r="K84" s="37">
        <v>1542</v>
      </c>
      <c r="L84" s="7">
        <v>780</v>
      </c>
      <c r="M84" s="7">
        <v>3476</v>
      </c>
      <c r="N84" s="7">
        <v>2578</v>
      </c>
      <c r="O84" s="37">
        <v>1679</v>
      </c>
      <c r="P84" s="7">
        <v>780</v>
      </c>
      <c r="Q84" s="7">
        <v>1976</v>
      </c>
      <c r="R84" s="7">
        <f>AH84</f>
        <v>1378</v>
      </c>
      <c r="S84" s="7">
        <v>780</v>
      </c>
      <c r="T84" s="7">
        <v>780</v>
      </c>
      <c r="AE84" s="7">
        <v>1074</v>
      </c>
      <c r="AF84" s="7">
        <v>2684</v>
      </c>
      <c r="AG84" s="7">
        <v>2578</v>
      </c>
      <c r="AH84" s="7">
        <v>1378</v>
      </c>
    </row>
    <row r="85" spans="2:34" s="7" customFormat="1" x14ac:dyDescent="0.35">
      <c r="B85" s="7" t="s">
        <v>27</v>
      </c>
      <c r="G85" s="37"/>
      <c r="I85" s="7">
        <v>0</v>
      </c>
      <c r="J85" s="7">
        <v>0</v>
      </c>
      <c r="K85" s="37">
        <v>2871</v>
      </c>
      <c r="L85" s="7">
        <v>2904</v>
      </c>
      <c r="M85" s="7">
        <v>3484</v>
      </c>
      <c r="N85" s="7">
        <v>3214</v>
      </c>
      <c r="O85" s="37">
        <v>3345</v>
      </c>
      <c r="P85" s="7">
        <v>3614</v>
      </c>
      <c r="Q85" s="7">
        <v>3677</v>
      </c>
      <c r="R85" s="7">
        <f>AH85</f>
        <v>3737</v>
      </c>
      <c r="S85" s="7">
        <v>3624</v>
      </c>
      <c r="T85" s="7">
        <v>3502</v>
      </c>
      <c r="AE85" s="7">
        <v>0</v>
      </c>
      <c r="AF85" s="7">
        <v>0</v>
      </c>
      <c r="AG85" s="7">
        <v>3214</v>
      </c>
      <c r="AH85" s="7">
        <v>3737</v>
      </c>
    </row>
    <row r="86" spans="2:34" s="7" customFormat="1" x14ac:dyDescent="0.35">
      <c r="B86" s="7" t="s">
        <v>28</v>
      </c>
      <c r="G86" s="37"/>
      <c r="I86" s="7">
        <v>0</v>
      </c>
      <c r="J86" s="7">
        <v>0</v>
      </c>
      <c r="K86" s="37">
        <v>0</v>
      </c>
      <c r="L86" s="7">
        <v>0</v>
      </c>
      <c r="M86" s="7">
        <v>0</v>
      </c>
      <c r="N86" s="7">
        <v>299</v>
      </c>
      <c r="O86" s="37">
        <v>356</v>
      </c>
      <c r="P86" s="7">
        <v>382</v>
      </c>
      <c r="Q86" s="7">
        <v>364</v>
      </c>
      <c r="R86" s="7">
        <f>AH86</f>
        <v>439</v>
      </c>
      <c r="S86" s="7">
        <v>451</v>
      </c>
      <c r="T86" s="7">
        <v>461</v>
      </c>
      <c r="AE86" s="7">
        <v>0</v>
      </c>
      <c r="AF86" s="7">
        <v>0</v>
      </c>
      <c r="AG86" s="7">
        <v>299</v>
      </c>
      <c r="AH86" s="7">
        <v>439</v>
      </c>
    </row>
    <row r="87" spans="2:34" s="7" customFormat="1" x14ac:dyDescent="0.35">
      <c r="B87" s="7" t="s">
        <v>29</v>
      </c>
      <c r="G87" s="37"/>
      <c r="I87" s="7">
        <v>12841</v>
      </c>
      <c r="J87" s="7">
        <v>17118</v>
      </c>
      <c r="K87" s="37">
        <v>19323</v>
      </c>
      <c r="L87" s="7">
        <v>14588</v>
      </c>
      <c r="M87" s="7">
        <v>18909</v>
      </c>
      <c r="N87" s="7">
        <v>36581</v>
      </c>
      <c r="O87" s="37">
        <v>36275</v>
      </c>
      <c r="P87" s="7">
        <v>34307</v>
      </c>
      <c r="Q87" s="7">
        <v>37678</v>
      </c>
      <c r="R87" s="7">
        <f>AH87</f>
        <v>32902</v>
      </c>
      <c r="S87" s="7">
        <v>30734</v>
      </c>
      <c r="T87" s="7">
        <v>28624</v>
      </c>
      <c r="AE87" s="7">
        <v>7462</v>
      </c>
      <c r="AF87" s="7">
        <v>17118</v>
      </c>
      <c r="AG87" s="7">
        <v>36581</v>
      </c>
      <c r="AH87" s="7">
        <v>32902</v>
      </c>
    </row>
    <row r="88" spans="2:34" s="7" customFormat="1" x14ac:dyDescent="0.35">
      <c r="B88" s="7" t="s">
        <v>30</v>
      </c>
      <c r="G88" s="37"/>
      <c r="I88" s="7">
        <v>11737</v>
      </c>
      <c r="J88" s="7">
        <v>15734</v>
      </c>
      <c r="K88" s="37">
        <v>13929</v>
      </c>
      <c r="L88" s="7">
        <v>15823</v>
      </c>
      <c r="M88" s="7">
        <v>17373</v>
      </c>
      <c r="N88" s="7">
        <v>29817</v>
      </c>
      <c r="O88" s="37">
        <v>24999</v>
      </c>
      <c r="P88" s="7">
        <v>33905</v>
      </c>
      <c r="Q88" s="7">
        <v>27059</v>
      </c>
      <c r="R88" s="7">
        <f>AH88</f>
        <v>52645</v>
      </c>
      <c r="S88" s="7">
        <v>37172</v>
      </c>
      <c r="T88" s="7">
        <v>44076</v>
      </c>
      <c r="AE88" s="7">
        <v>15665</v>
      </c>
      <c r="AF88" s="7">
        <v>15734</v>
      </c>
      <c r="AG88" s="7">
        <v>29817</v>
      </c>
      <c r="AH88" s="7">
        <v>52645</v>
      </c>
    </row>
    <row r="89" spans="2:34" s="8" customFormat="1" x14ac:dyDescent="0.35">
      <c r="B89" s="8" t="s">
        <v>31</v>
      </c>
      <c r="G89" s="37"/>
      <c r="I89" s="8">
        <v>823</v>
      </c>
      <c r="J89" s="8">
        <v>1571</v>
      </c>
      <c r="K89" s="37">
        <v>1309</v>
      </c>
      <c r="L89" s="8">
        <v>1829</v>
      </c>
      <c r="M89" s="8">
        <v>1786</v>
      </c>
      <c r="N89" s="8">
        <v>3666</v>
      </c>
      <c r="O89" s="37">
        <v>3506</v>
      </c>
      <c r="P89" s="8">
        <v>3344</v>
      </c>
      <c r="Q89" s="8">
        <v>2310</v>
      </c>
      <c r="R89" s="8">
        <f>AH89</f>
        <v>2362</v>
      </c>
      <c r="S89" s="8">
        <v>2593</v>
      </c>
      <c r="T89" s="8">
        <v>2064</v>
      </c>
      <c r="AE89" s="8">
        <v>378</v>
      </c>
      <c r="AF89" s="8">
        <v>1571</v>
      </c>
      <c r="AG89" s="8">
        <v>3666</v>
      </c>
      <c r="AH89" s="8">
        <v>2362</v>
      </c>
    </row>
    <row r="90" spans="2:34" s="9" customFormat="1" x14ac:dyDescent="0.35">
      <c r="B90" s="9" t="s">
        <v>32</v>
      </c>
      <c r="F90" s="9">
        <f>SUM(F82:F89)</f>
        <v>0</v>
      </c>
      <c r="G90" s="43">
        <f t="shared" ref="G90:V90" si="59">SUM(G82:G89)</f>
        <v>0</v>
      </c>
      <c r="H90" s="9">
        <f t="shared" si="59"/>
        <v>0</v>
      </c>
      <c r="I90" s="9">
        <f t="shared" si="59"/>
        <v>37506</v>
      </c>
      <c r="J90" s="9">
        <f t="shared" si="59"/>
        <v>51238</v>
      </c>
      <c r="K90" s="43">
        <f t="shared" si="59"/>
        <v>53879</v>
      </c>
      <c r="L90" s="9">
        <f t="shared" si="59"/>
        <v>55332</v>
      </c>
      <c r="M90" s="9">
        <f t="shared" si="59"/>
        <v>63623</v>
      </c>
      <c r="N90" s="9">
        <f t="shared" si="59"/>
        <v>94739</v>
      </c>
      <c r="O90" s="43">
        <f t="shared" si="59"/>
        <v>84223</v>
      </c>
      <c r="P90" s="9">
        <f t="shared" si="59"/>
        <v>93222</v>
      </c>
      <c r="Q90" s="9">
        <f t="shared" si="59"/>
        <v>87249</v>
      </c>
      <c r="R90" s="9">
        <f t="shared" si="59"/>
        <v>112036</v>
      </c>
      <c r="S90" s="9">
        <f t="shared" si="59"/>
        <v>103413</v>
      </c>
      <c r="T90" s="9">
        <f t="shared" si="59"/>
        <v>107303</v>
      </c>
      <c r="U90" s="9">
        <f t="shared" si="59"/>
        <v>0</v>
      </c>
      <c r="V90" s="9">
        <f t="shared" si="59"/>
        <v>0</v>
      </c>
      <c r="AB90" s="9">
        <f>SUM(AB82:AB89)</f>
        <v>0</v>
      </c>
      <c r="AC90" s="9">
        <f t="shared" ref="AC90:AE90" si="60">SUM(AC82:AC89)</f>
        <v>0</v>
      </c>
      <c r="AD90" s="9">
        <f t="shared" si="60"/>
        <v>0</v>
      </c>
      <c r="AE90" s="9">
        <f t="shared" si="60"/>
        <v>33564</v>
      </c>
      <c r="AF90" s="9">
        <f t="shared" ref="AF90" si="61">SUM(AF82:AF89)</f>
        <v>51238</v>
      </c>
      <c r="AG90" s="9">
        <f>SUM(AG82:AG89)</f>
        <v>94739</v>
      </c>
      <c r="AH90" s="9">
        <f>SUM(AH82:AH89)</f>
        <v>112036</v>
      </c>
    </row>
    <row r="91" spans="2:34" s="10" customFormat="1" x14ac:dyDescent="0.35">
      <c r="B91" s="10" t="s">
        <v>33</v>
      </c>
      <c r="G91" s="49"/>
      <c r="K91" s="49"/>
      <c r="O91" s="49"/>
    </row>
    <row r="92" spans="2:34" s="7" customFormat="1" x14ac:dyDescent="0.35">
      <c r="B92" s="7" t="s">
        <v>34</v>
      </c>
      <c r="G92" s="37"/>
      <c r="I92" s="7">
        <v>74989</v>
      </c>
      <c r="J92" s="7">
        <v>74867</v>
      </c>
      <c r="K92" s="37">
        <v>74745</v>
      </c>
      <c r="L92" s="7">
        <v>84625</v>
      </c>
      <c r="M92" s="7">
        <v>89512</v>
      </c>
      <c r="N92" s="7">
        <v>74745</v>
      </c>
      <c r="O92" s="37">
        <v>75019</v>
      </c>
      <c r="P92" s="7">
        <v>75046</v>
      </c>
      <c r="Q92" s="7">
        <v>79943</v>
      </c>
      <c r="R92" s="7">
        <f>AH92</f>
        <v>86842</v>
      </c>
      <c r="S92" s="7">
        <v>89742</v>
      </c>
      <c r="T92" s="7">
        <v>94646</v>
      </c>
      <c r="AE92" s="7">
        <v>76642</v>
      </c>
      <c r="AF92" s="7">
        <v>74867</v>
      </c>
      <c r="AG92" s="7">
        <v>74745</v>
      </c>
      <c r="AH92" s="7">
        <v>86842</v>
      </c>
    </row>
    <row r="93" spans="2:34" s="7" customFormat="1" x14ac:dyDescent="0.35">
      <c r="B93" s="7" t="s">
        <v>35</v>
      </c>
      <c r="G93" s="37"/>
      <c r="I93" s="7">
        <v>0</v>
      </c>
      <c r="J93" s="7">
        <v>0</v>
      </c>
      <c r="K93" s="37">
        <v>10373</v>
      </c>
      <c r="L93" s="7">
        <v>9503</v>
      </c>
      <c r="M93" s="7">
        <v>11379</v>
      </c>
      <c r="N93" s="7">
        <v>12670</v>
      </c>
      <c r="O93" s="37">
        <v>12415</v>
      </c>
      <c r="P93" s="7">
        <v>14049</v>
      </c>
      <c r="Q93" s="7">
        <v>13118</v>
      </c>
      <c r="R93" s="7">
        <f>AH93</f>
        <v>12302</v>
      </c>
      <c r="S93" s="7">
        <v>11455</v>
      </c>
      <c r="T93" s="7">
        <v>10634</v>
      </c>
      <c r="AE93" s="7">
        <v>0</v>
      </c>
      <c r="AF93" s="7">
        <v>0</v>
      </c>
      <c r="AG93" s="7">
        <v>12670</v>
      </c>
      <c r="AH93" s="7">
        <v>12302</v>
      </c>
    </row>
    <row r="94" spans="2:34" s="7" customFormat="1" x14ac:dyDescent="0.35">
      <c r="B94" s="7" t="s">
        <v>84</v>
      </c>
      <c r="G94" s="37"/>
      <c r="I94" s="7">
        <v>0</v>
      </c>
      <c r="J94" s="7">
        <v>0</v>
      </c>
      <c r="K94" s="37">
        <v>0</v>
      </c>
      <c r="L94" s="7">
        <v>0</v>
      </c>
      <c r="M94" s="7">
        <v>0</v>
      </c>
      <c r="N94" s="7">
        <v>579</v>
      </c>
      <c r="O94" s="37">
        <v>759</v>
      </c>
      <c r="P94" s="7">
        <v>806</v>
      </c>
      <c r="Q94" s="7">
        <v>883</v>
      </c>
      <c r="R94" s="7">
        <f>AH94</f>
        <v>1137</v>
      </c>
      <c r="S94" s="7">
        <v>1140</v>
      </c>
      <c r="T94" s="7">
        <v>1064</v>
      </c>
      <c r="AE94" s="7">
        <v>0</v>
      </c>
      <c r="AF94" s="7">
        <v>0</v>
      </c>
      <c r="AG94" s="7">
        <v>579</v>
      </c>
      <c r="AH94" s="7">
        <v>1137</v>
      </c>
    </row>
    <row r="95" spans="2:34" s="7" customFormat="1" x14ac:dyDescent="0.35">
      <c r="B95" s="7" t="s">
        <v>36</v>
      </c>
      <c r="G95" s="37"/>
      <c r="I95" s="7">
        <v>18789</v>
      </c>
      <c r="J95" s="7">
        <v>19098</v>
      </c>
      <c r="K95" s="37">
        <v>20336</v>
      </c>
      <c r="L95" s="7">
        <v>3943</v>
      </c>
      <c r="M95" s="7">
        <v>3093</v>
      </c>
      <c r="N95" s="7">
        <v>1314</v>
      </c>
      <c r="O95" s="37">
        <v>4098</v>
      </c>
      <c r="P95" s="7">
        <v>3325</v>
      </c>
      <c r="Q95" s="7">
        <v>3789</v>
      </c>
      <c r="R95" s="7">
        <f>AH95</f>
        <v>3325</v>
      </c>
      <c r="S95" s="7">
        <v>4400</v>
      </c>
      <c r="T95" s="7">
        <v>13377</v>
      </c>
      <c r="AE95" s="7">
        <v>0</v>
      </c>
      <c r="AF95" s="7">
        <v>19098</v>
      </c>
      <c r="AG95" s="7">
        <v>1314</v>
      </c>
      <c r="AH95" s="7">
        <v>3325</v>
      </c>
    </row>
    <row r="96" spans="2:34" s="7" customFormat="1" x14ac:dyDescent="0.35">
      <c r="B96" s="7" t="s">
        <v>37</v>
      </c>
      <c r="G96" s="37"/>
      <c r="I96" s="7">
        <v>6415</v>
      </c>
      <c r="J96" s="7">
        <v>8601</v>
      </c>
      <c r="K96" s="37">
        <v>5668</v>
      </c>
      <c r="L96" s="7">
        <v>3772</v>
      </c>
      <c r="M96" s="7">
        <v>1637</v>
      </c>
      <c r="N96" s="7">
        <v>3255</v>
      </c>
      <c r="O96" s="37">
        <v>3172</v>
      </c>
      <c r="P96" s="7">
        <v>2985</v>
      </c>
      <c r="Q96" s="7">
        <v>2195</v>
      </c>
      <c r="R96" s="7">
        <f>AH96</f>
        <v>2402</v>
      </c>
      <c r="S96" s="7">
        <v>2440</v>
      </c>
      <c r="T96" s="7">
        <v>2442</v>
      </c>
      <c r="AE96" s="7">
        <v>7367</v>
      </c>
      <c r="AF96" s="7">
        <v>8601</v>
      </c>
      <c r="AG96" s="7">
        <v>3255</v>
      </c>
      <c r="AH96" s="7">
        <v>2402</v>
      </c>
    </row>
    <row r="97" spans="2:34" s="8" customFormat="1" x14ac:dyDescent="0.35">
      <c r="B97" s="8" t="s">
        <v>38</v>
      </c>
      <c r="G97" s="37"/>
      <c r="I97" s="8">
        <v>0</v>
      </c>
      <c r="J97" s="8">
        <v>730</v>
      </c>
      <c r="K97" s="37">
        <v>609</v>
      </c>
      <c r="L97" s="8">
        <v>325</v>
      </c>
      <c r="M97" s="8">
        <v>325</v>
      </c>
      <c r="N97" s="8">
        <v>506</v>
      </c>
      <c r="O97" s="37">
        <v>384</v>
      </c>
      <c r="P97" s="8">
        <v>375</v>
      </c>
      <c r="Q97" s="8">
        <v>355</v>
      </c>
      <c r="R97" s="7">
        <f>AH97</f>
        <v>400</v>
      </c>
      <c r="S97" s="8">
        <v>416</v>
      </c>
      <c r="T97" s="8">
        <v>378</v>
      </c>
      <c r="AE97" s="8">
        <v>6</v>
      </c>
      <c r="AF97" s="8">
        <v>730</v>
      </c>
      <c r="AG97" s="8">
        <v>506</v>
      </c>
      <c r="AH97" s="8">
        <v>400</v>
      </c>
    </row>
    <row r="98" spans="2:34" s="11" customFormat="1" x14ac:dyDescent="0.35">
      <c r="B98" s="11" t="s">
        <v>39</v>
      </c>
      <c r="F98" s="11">
        <f>SUM(F92:F97)</f>
        <v>0</v>
      </c>
      <c r="G98" s="37">
        <f t="shared" ref="G98:P98" si="62">SUM(G92:G97)</f>
        <v>0</v>
      </c>
      <c r="H98" s="11">
        <f t="shared" si="62"/>
        <v>0</v>
      </c>
      <c r="I98" s="11">
        <f t="shared" si="62"/>
        <v>100193</v>
      </c>
      <c r="J98" s="11">
        <f t="shared" si="62"/>
        <v>103296</v>
      </c>
      <c r="K98" s="37">
        <f t="shared" si="62"/>
        <v>111731</v>
      </c>
      <c r="L98" s="11">
        <f t="shared" si="62"/>
        <v>102168</v>
      </c>
      <c r="M98" s="11">
        <f t="shared" si="62"/>
        <v>105946</v>
      </c>
      <c r="N98" s="11">
        <f t="shared" si="62"/>
        <v>93069</v>
      </c>
      <c r="O98" s="37">
        <f t="shared" si="62"/>
        <v>95847</v>
      </c>
      <c r="P98" s="11">
        <f t="shared" si="62"/>
        <v>96586</v>
      </c>
      <c r="Q98" s="11">
        <f t="shared" ref="Q98:V98" si="63">SUM(Q92:Q97)</f>
        <v>100283</v>
      </c>
      <c r="R98" s="11">
        <f t="shared" si="63"/>
        <v>106408</v>
      </c>
      <c r="S98" s="11">
        <f t="shared" si="63"/>
        <v>109593</v>
      </c>
      <c r="T98" s="11">
        <f t="shared" si="63"/>
        <v>122541</v>
      </c>
      <c r="U98" s="11">
        <f t="shared" si="63"/>
        <v>0</v>
      </c>
      <c r="V98" s="11">
        <f t="shared" si="63"/>
        <v>0</v>
      </c>
      <c r="AB98" s="11">
        <f>SUM(AB92:AB97)</f>
        <v>0</v>
      </c>
      <c r="AC98" s="11">
        <f t="shared" ref="AC98:AE98" si="64">SUM(AC92:AC97)</f>
        <v>0</v>
      </c>
      <c r="AD98" s="11">
        <f t="shared" si="64"/>
        <v>0</v>
      </c>
      <c r="AE98" s="11">
        <f t="shared" si="64"/>
        <v>84015</v>
      </c>
      <c r="AF98" s="11">
        <f t="shared" ref="AF98" si="65">SUM(AF92:AF97)</f>
        <v>103296</v>
      </c>
      <c r="AG98" s="11">
        <f>SUM(AG92:AG97)</f>
        <v>93069</v>
      </c>
      <c r="AH98" s="11">
        <f>SUM(AH92:AH97)</f>
        <v>106408</v>
      </c>
    </row>
    <row r="99" spans="2:34" s="9" customFormat="1" x14ac:dyDescent="0.35">
      <c r="B99" s="9" t="s">
        <v>40</v>
      </c>
      <c r="F99" s="9">
        <f>F98+F90</f>
        <v>0</v>
      </c>
      <c r="G99" s="43">
        <f t="shared" ref="G99:P99" si="66">G98+G90</f>
        <v>0</v>
      </c>
      <c r="H99" s="9">
        <f t="shared" si="66"/>
        <v>0</v>
      </c>
      <c r="I99" s="9">
        <f t="shared" si="66"/>
        <v>137699</v>
      </c>
      <c r="J99" s="9">
        <f t="shared" si="66"/>
        <v>154534</v>
      </c>
      <c r="K99" s="43">
        <f t="shared" si="66"/>
        <v>165610</v>
      </c>
      <c r="L99" s="9">
        <f t="shared" si="66"/>
        <v>157500</v>
      </c>
      <c r="M99" s="9">
        <f t="shared" si="66"/>
        <v>169569</v>
      </c>
      <c r="N99" s="9">
        <f t="shared" si="66"/>
        <v>187808</v>
      </c>
      <c r="O99" s="43">
        <f t="shared" si="66"/>
        <v>180070</v>
      </c>
      <c r="P99" s="9">
        <f t="shared" si="66"/>
        <v>189808</v>
      </c>
      <c r="Q99" s="9">
        <f t="shared" ref="Q99:V99" si="67">Q98+Q90</f>
        <v>187532</v>
      </c>
      <c r="R99" s="9">
        <f t="shared" si="67"/>
        <v>218444</v>
      </c>
      <c r="S99" s="9">
        <f t="shared" si="67"/>
        <v>213006</v>
      </c>
      <c r="T99" s="9">
        <f t="shared" si="67"/>
        <v>229844</v>
      </c>
      <c r="U99" s="9">
        <f t="shared" si="67"/>
        <v>0</v>
      </c>
      <c r="V99" s="9">
        <f t="shared" si="67"/>
        <v>0</v>
      </c>
      <c r="AB99" s="9">
        <f>AB98+AB90</f>
        <v>0</v>
      </c>
      <c r="AC99" s="9">
        <f t="shared" ref="AC99:AE99" si="68">AC98+AC90</f>
        <v>0</v>
      </c>
      <c r="AD99" s="9">
        <f t="shared" si="68"/>
        <v>0</v>
      </c>
      <c r="AE99" s="9">
        <f t="shared" si="68"/>
        <v>117579</v>
      </c>
      <c r="AF99" s="9">
        <f t="shared" ref="AF99" si="69">AF98+AF90</f>
        <v>154534</v>
      </c>
      <c r="AG99" s="9">
        <f>AG98+AG90</f>
        <v>187808</v>
      </c>
      <c r="AH99" s="9">
        <f>AH98+AH90</f>
        <v>218444</v>
      </c>
    </row>
    <row r="100" spans="2:34" s="10" customFormat="1" x14ac:dyDescent="0.35">
      <c r="B100" s="10" t="s">
        <v>41</v>
      </c>
      <c r="G100" s="49"/>
      <c r="K100" s="49"/>
      <c r="O100" s="49"/>
    </row>
    <row r="101" spans="2:34" s="7" customFormat="1" x14ac:dyDescent="0.35">
      <c r="B101" s="7" t="s">
        <v>42</v>
      </c>
      <c r="G101" s="37"/>
      <c r="I101" s="7">
        <v>0</v>
      </c>
      <c r="J101" s="7">
        <v>0</v>
      </c>
      <c r="K101" s="37">
        <v>0</v>
      </c>
      <c r="L101" s="7">
        <v>0</v>
      </c>
      <c r="M101" s="7">
        <v>0</v>
      </c>
      <c r="N101" s="7">
        <v>76365</v>
      </c>
      <c r="O101" s="37">
        <v>76365</v>
      </c>
      <c r="P101" s="7">
        <v>85395</v>
      </c>
      <c r="Q101" s="7">
        <v>85396</v>
      </c>
      <c r="R101" s="7">
        <f>AH101</f>
        <v>96106</v>
      </c>
      <c r="S101" s="7">
        <v>96106</v>
      </c>
      <c r="T101" s="7">
        <v>108696</v>
      </c>
      <c r="AE101" s="7">
        <v>0</v>
      </c>
      <c r="AF101" s="7">
        <v>0</v>
      </c>
      <c r="AG101" s="7">
        <v>76365</v>
      </c>
      <c r="AH101" s="7">
        <v>96106</v>
      </c>
    </row>
    <row r="102" spans="2:34" s="7" customFormat="1" x14ac:dyDescent="0.35">
      <c r="B102" s="7" t="s">
        <v>43</v>
      </c>
      <c r="G102" s="37"/>
      <c r="I102" s="7">
        <v>0</v>
      </c>
      <c r="J102" s="7">
        <v>0</v>
      </c>
      <c r="K102" s="37">
        <v>0</v>
      </c>
      <c r="L102" s="7">
        <v>0</v>
      </c>
      <c r="M102" s="7">
        <v>0</v>
      </c>
      <c r="N102" s="7">
        <v>0</v>
      </c>
      <c r="O102" s="37">
        <v>0</v>
      </c>
      <c r="P102" s="7">
        <v>0</v>
      </c>
      <c r="Q102" s="7">
        <v>0</v>
      </c>
      <c r="R102" s="7">
        <f>AH102</f>
        <v>0</v>
      </c>
      <c r="S102" s="7">
        <v>0</v>
      </c>
      <c r="T102" s="7">
        <v>0</v>
      </c>
      <c r="AE102" s="7">
        <v>0</v>
      </c>
      <c r="AF102" s="7">
        <v>0</v>
      </c>
      <c r="AG102" s="7">
        <v>0</v>
      </c>
      <c r="AH102" s="7">
        <v>0</v>
      </c>
    </row>
    <row r="103" spans="2:34" s="7" customFormat="1" x14ac:dyDescent="0.35">
      <c r="B103" s="7" t="s">
        <v>44</v>
      </c>
      <c r="G103" s="37"/>
      <c r="I103" s="7">
        <v>6</v>
      </c>
      <c r="J103" s="7">
        <v>6</v>
      </c>
      <c r="K103" s="37">
        <v>6</v>
      </c>
      <c r="L103" s="7">
        <v>6</v>
      </c>
      <c r="M103" s="7">
        <v>6</v>
      </c>
      <c r="N103" s="7">
        <v>6</v>
      </c>
      <c r="O103" s="37">
        <v>6</v>
      </c>
      <c r="P103" s="7">
        <v>6</v>
      </c>
      <c r="Q103" s="7">
        <v>6</v>
      </c>
      <c r="R103" s="7">
        <f>AH103</f>
        <v>7</v>
      </c>
      <c r="S103" s="7">
        <v>7</v>
      </c>
      <c r="T103" s="7">
        <v>7</v>
      </c>
      <c r="AE103" s="7">
        <v>4</v>
      </c>
      <c r="AF103" s="7">
        <v>6</v>
      </c>
      <c r="AG103" s="7">
        <v>6</v>
      </c>
      <c r="AH103" s="7">
        <v>7</v>
      </c>
    </row>
    <row r="104" spans="2:34" s="7" customFormat="1" x14ac:dyDescent="0.35">
      <c r="B104" s="7" t="s">
        <v>45</v>
      </c>
      <c r="G104" s="37"/>
      <c r="I104" s="7">
        <v>0</v>
      </c>
      <c r="J104" s="7">
        <v>0</v>
      </c>
      <c r="K104" s="37">
        <v>0</v>
      </c>
      <c r="L104" s="7">
        <v>0</v>
      </c>
      <c r="M104" s="7">
        <v>0</v>
      </c>
      <c r="N104" s="7">
        <v>-381</v>
      </c>
      <c r="O104" s="37">
        <v>-381</v>
      </c>
      <c r="P104" s="7">
        <v>-381</v>
      </c>
      <c r="Q104" s="7">
        <v>-629</v>
      </c>
      <c r="R104" s="7">
        <f>AH104</f>
        <v>-951</v>
      </c>
      <c r="S104" s="7">
        <v>-1007</v>
      </c>
      <c r="T104" s="7">
        <v>-1007</v>
      </c>
      <c r="AE104" s="7">
        <v>0</v>
      </c>
      <c r="AF104" s="7">
        <v>0</v>
      </c>
      <c r="AG104" s="7">
        <v>-381</v>
      </c>
      <c r="AH104" s="7">
        <v>-951</v>
      </c>
    </row>
    <row r="105" spans="2:34" s="7" customFormat="1" x14ac:dyDescent="0.35">
      <c r="B105" s="7" t="s">
        <v>46</v>
      </c>
      <c r="G105" s="37"/>
      <c r="I105" s="7">
        <v>140295</v>
      </c>
      <c r="J105" s="7">
        <v>183024</v>
      </c>
      <c r="K105" s="37">
        <v>187435</v>
      </c>
      <c r="L105" s="7">
        <v>191707</v>
      </c>
      <c r="M105" s="7">
        <v>196012</v>
      </c>
      <c r="N105" s="7">
        <v>198126</v>
      </c>
      <c r="O105" s="37">
        <v>200084</v>
      </c>
      <c r="P105" s="7">
        <v>192962</v>
      </c>
      <c r="Q105" s="7">
        <v>195500</v>
      </c>
      <c r="R105" s="7">
        <f>AH105</f>
        <v>188323</v>
      </c>
      <c r="S105" s="7">
        <v>190858</v>
      </c>
      <c r="T105" s="7">
        <v>180716</v>
      </c>
      <c r="AE105" s="7">
        <v>53059</v>
      </c>
      <c r="AF105" s="7">
        <v>183024</v>
      </c>
      <c r="AG105" s="7">
        <v>198126</v>
      </c>
      <c r="AH105" s="7">
        <v>188323</v>
      </c>
    </row>
    <row r="106" spans="2:34" s="7" customFormat="1" x14ac:dyDescent="0.35">
      <c r="B106" s="7" t="s">
        <v>47</v>
      </c>
      <c r="G106" s="37"/>
      <c r="I106" s="7">
        <v>-62201</v>
      </c>
      <c r="J106" s="7">
        <v>-75911</v>
      </c>
      <c r="K106" s="37">
        <v>-93204</v>
      </c>
      <c r="L106" s="7">
        <v>-170232</v>
      </c>
      <c r="M106" s="7">
        <v>-180655</v>
      </c>
      <c r="N106" s="7">
        <v>-206528</v>
      </c>
      <c r="O106" s="37">
        <v>-213786</v>
      </c>
      <c r="P106" s="7">
        <v>-219250</v>
      </c>
      <c r="Q106" s="7">
        <v>-225503</v>
      </c>
      <c r="R106" s="7">
        <f>AH106</f>
        <v>-233791</v>
      </c>
      <c r="S106" s="7">
        <v>-241886</v>
      </c>
      <c r="T106" s="7">
        <v>-259978</v>
      </c>
      <c r="AE106" s="7">
        <v>-14374</v>
      </c>
      <c r="AF106" s="7">
        <v>-75911</v>
      </c>
      <c r="AG106" s="7">
        <v>-206528</v>
      </c>
      <c r="AH106" s="7">
        <v>-233791</v>
      </c>
    </row>
    <row r="107" spans="2:34" s="8" customFormat="1" x14ac:dyDescent="0.35">
      <c r="B107" s="8" t="s">
        <v>48</v>
      </c>
      <c r="G107" s="37"/>
      <c r="I107" s="8">
        <v>208</v>
      </c>
      <c r="J107" s="8">
        <v>103</v>
      </c>
      <c r="K107" s="37">
        <v>-25</v>
      </c>
      <c r="L107" s="8">
        <v>-383</v>
      </c>
      <c r="M107" s="8">
        <v>-560</v>
      </c>
      <c r="N107" s="8">
        <v>2076</v>
      </c>
      <c r="O107" s="37">
        <v>2492</v>
      </c>
      <c r="P107" s="8">
        <v>2629</v>
      </c>
      <c r="Q107" s="8">
        <v>1775</v>
      </c>
      <c r="R107" s="8">
        <f>AH107</f>
        <v>2903</v>
      </c>
      <c r="S107" s="8">
        <v>2236</v>
      </c>
      <c r="T107" s="8">
        <v>1996</v>
      </c>
      <c r="AE107" s="8">
        <v>506</v>
      </c>
      <c r="AF107" s="8">
        <v>103</v>
      </c>
      <c r="AG107" s="8">
        <v>2076</v>
      </c>
      <c r="AH107" s="8">
        <v>2903</v>
      </c>
    </row>
    <row r="108" spans="2:34" s="7" customFormat="1" x14ac:dyDescent="0.35">
      <c r="B108" s="7" t="s">
        <v>49</v>
      </c>
      <c r="F108" s="7">
        <f>SUM(F102:F107)</f>
        <v>0</v>
      </c>
      <c r="G108" s="37">
        <f t="shared" ref="G108:V108" si="70">SUM(G102:G107)</f>
        <v>0</v>
      </c>
      <c r="H108" s="7">
        <f t="shared" si="70"/>
        <v>0</v>
      </c>
      <c r="I108" s="7">
        <f t="shared" si="70"/>
        <v>78308</v>
      </c>
      <c r="J108" s="7">
        <f t="shared" si="70"/>
        <v>107222</v>
      </c>
      <c r="K108" s="37">
        <f t="shared" si="70"/>
        <v>94212</v>
      </c>
      <c r="L108" s="7">
        <f t="shared" si="70"/>
        <v>21098</v>
      </c>
      <c r="M108" s="7">
        <f t="shared" si="70"/>
        <v>14803</v>
      </c>
      <c r="N108" s="7">
        <f t="shared" si="70"/>
        <v>-6701</v>
      </c>
      <c r="O108" s="37">
        <f t="shared" si="70"/>
        <v>-11585</v>
      </c>
      <c r="P108" s="7">
        <f t="shared" si="70"/>
        <v>-24034</v>
      </c>
      <c r="Q108" s="7">
        <f t="shared" si="70"/>
        <v>-28851</v>
      </c>
      <c r="R108" s="7">
        <f t="shared" si="70"/>
        <v>-43509</v>
      </c>
      <c r="S108" s="7">
        <f t="shared" si="70"/>
        <v>-49792</v>
      </c>
      <c r="T108" s="7">
        <f t="shared" si="70"/>
        <v>-78266</v>
      </c>
      <c r="U108" s="7">
        <f t="shared" si="70"/>
        <v>0</v>
      </c>
      <c r="V108" s="7">
        <f t="shared" si="70"/>
        <v>0</v>
      </c>
      <c r="AB108" s="7">
        <f>SUM(AB102:AB107)</f>
        <v>0</v>
      </c>
      <c r="AC108" s="7">
        <f t="shared" ref="AC108:AE108" si="71">SUM(AC102:AC107)</f>
        <v>0</v>
      </c>
      <c r="AD108" s="7">
        <f t="shared" si="71"/>
        <v>0</v>
      </c>
      <c r="AE108" s="7">
        <f t="shared" si="71"/>
        <v>39195</v>
      </c>
      <c r="AF108" s="7">
        <f t="shared" ref="AF108" si="72">SUM(AF102:AF107)</f>
        <v>107222</v>
      </c>
      <c r="AG108" s="7">
        <f>SUM(AG102:AG107)</f>
        <v>-6701</v>
      </c>
      <c r="AH108" s="7">
        <f>SUM(AH102:AH107)</f>
        <v>-43509</v>
      </c>
    </row>
    <row r="109" spans="2:34" s="8" customFormat="1" x14ac:dyDescent="0.35">
      <c r="B109" s="8" t="s">
        <v>50</v>
      </c>
      <c r="G109" s="37"/>
      <c r="I109" s="8">
        <v>0</v>
      </c>
      <c r="J109" s="8">
        <v>0</v>
      </c>
      <c r="K109" s="37"/>
      <c r="L109" s="8">
        <v>0</v>
      </c>
      <c r="M109" s="8">
        <v>0</v>
      </c>
      <c r="N109" s="8">
        <v>226</v>
      </c>
      <c r="O109" s="37">
        <v>228</v>
      </c>
      <c r="P109" s="8">
        <v>228</v>
      </c>
      <c r="Q109" s="8">
        <v>150</v>
      </c>
      <c r="R109" s="8">
        <f>AH109</f>
        <v>228</v>
      </c>
      <c r="S109" s="8">
        <v>222</v>
      </c>
      <c r="T109" s="8">
        <v>0</v>
      </c>
      <c r="AE109" s="8">
        <v>0</v>
      </c>
      <c r="AF109" s="8">
        <v>0</v>
      </c>
      <c r="AG109" s="8">
        <v>226</v>
      </c>
      <c r="AH109" s="8">
        <v>228</v>
      </c>
    </row>
    <row r="110" spans="2:34" s="15" customFormat="1" x14ac:dyDescent="0.35">
      <c r="B110" s="15" t="s">
        <v>51</v>
      </c>
      <c r="F110" s="15">
        <f>SUM(F108:F109)</f>
        <v>0</v>
      </c>
      <c r="G110" s="43">
        <f t="shared" ref="G110:P110" si="73">SUM(G108:G109)</f>
        <v>0</v>
      </c>
      <c r="H110" s="15">
        <f t="shared" si="73"/>
        <v>0</v>
      </c>
      <c r="I110" s="15">
        <f t="shared" si="73"/>
        <v>78308</v>
      </c>
      <c r="J110" s="15">
        <f t="shared" si="73"/>
        <v>107222</v>
      </c>
      <c r="K110" s="43">
        <f t="shared" si="73"/>
        <v>94212</v>
      </c>
      <c r="L110" s="15">
        <f t="shared" si="73"/>
        <v>21098</v>
      </c>
      <c r="M110" s="15">
        <f t="shared" si="73"/>
        <v>14803</v>
      </c>
      <c r="N110" s="15">
        <f t="shared" si="73"/>
        <v>-6475</v>
      </c>
      <c r="O110" s="43">
        <f t="shared" si="73"/>
        <v>-11357</v>
      </c>
      <c r="P110" s="15">
        <f t="shared" si="73"/>
        <v>-23806</v>
      </c>
      <c r="Q110" s="15">
        <f t="shared" ref="Q110:V110" si="74">SUM(Q108:Q109)</f>
        <v>-28701</v>
      </c>
      <c r="R110" s="15">
        <f t="shared" si="74"/>
        <v>-43281</v>
      </c>
      <c r="S110" s="15">
        <f t="shared" si="74"/>
        <v>-49570</v>
      </c>
      <c r="T110" s="15">
        <f t="shared" si="74"/>
        <v>-78266</v>
      </c>
      <c r="U110" s="15">
        <f t="shared" si="74"/>
        <v>0</v>
      </c>
      <c r="V110" s="15">
        <f t="shared" si="74"/>
        <v>0</v>
      </c>
      <c r="AB110" s="15">
        <f>SUM(AB108:AB109)</f>
        <v>0</v>
      </c>
      <c r="AC110" s="15">
        <f t="shared" ref="AC110:AE110" si="75">SUM(AC108:AC109)</f>
        <v>0</v>
      </c>
      <c r="AD110" s="15">
        <f t="shared" si="75"/>
        <v>0</v>
      </c>
      <c r="AE110" s="15">
        <f t="shared" si="75"/>
        <v>39195</v>
      </c>
      <c r="AF110" s="15">
        <f t="shared" ref="AF110" si="76">SUM(AF108:AF109)</f>
        <v>107222</v>
      </c>
      <c r="AG110" s="15">
        <f>SUM(AG108:AG109)</f>
        <v>-6475</v>
      </c>
      <c r="AH110" s="15">
        <f>SUM(AH108:AH109)</f>
        <v>-43281</v>
      </c>
    </row>
    <row r="111" spans="2:34" s="9" customFormat="1" x14ac:dyDescent="0.35">
      <c r="B111" s="9" t="s">
        <v>52</v>
      </c>
      <c r="F111" s="9">
        <f>F110+F99+F101</f>
        <v>0</v>
      </c>
      <c r="G111" s="43">
        <f t="shared" ref="G111:P111" si="77">G110+G99+G101</f>
        <v>0</v>
      </c>
      <c r="H111" s="9">
        <f t="shared" si="77"/>
        <v>0</v>
      </c>
      <c r="I111" s="9">
        <f t="shared" si="77"/>
        <v>216007</v>
      </c>
      <c r="J111" s="9">
        <f t="shared" si="77"/>
        <v>261756</v>
      </c>
      <c r="K111" s="43">
        <f t="shared" si="77"/>
        <v>259822</v>
      </c>
      <c r="L111" s="9">
        <f t="shared" si="77"/>
        <v>178598</v>
      </c>
      <c r="M111" s="9">
        <f t="shared" si="77"/>
        <v>184372</v>
      </c>
      <c r="N111" s="9">
        <f t="shared" si="77"/>
        <v>257698</v>
      </c>
      <c r="O111" s="43">
        <f t="shared" si="77"/>
        <v>245078</v>
      </c>
      <c r="P111" s="9">
        <f t="shared" si="77"/>
        <v>251397</v>
      </c>
      <c r="Q111" s="9">
        <f t="shared" ref="Q111:V111" si="78">Q110+Q99+Q101</f>
        <v>244227</v>
      </c>
      <c r="R111" s="9">
        <f t="shared" si="78"/>
        <v>271269</v>
      </c>
      <c r="S111" s="9">
        <f t="shared" si="78"/>
        <v>259542</v>
      </c>
      <c r="T111" s="9">
        <f t="shared" si="78"/>
        <v>260274</v>
      </c>
      <c r="U111" s="9">
        <f t="shared" si="78"/>
        <v>0</v>
      </c>
      <c r="V111" s="9">
        <f t="shared" si="78"/>
        <v>0</v>
      </c>
      <c r="AB111" s="9">
        <f>AB110+AB99+AB101</f>
        <v>0</v>
      </c>
      <c r="AC111" s="9">
        <f t="shared" ref="AC111:AE111" si="79">AC110+AC99+AC101</f>
        <v>0</v>
      </c>
      <c r="AD111" s="9">
        <f t="shared" si="79"/>
        <v>0</v>
      </c>
      <c r="AE111" s="9">
        <f t="shared" si="79"/>
        <v>156774</v>
      </c>
      <c r="AF111" s="9">
        <f t="shared" ref="AF111" si="80">AF110+AF99+AF101</f>
        <v>261756</v>
      </c>
      <c r="AG111" s="9">
        <f>AG110+AG99+AG101</f>
        <v>257698</v>
      </c>
      <c r="AH111" s="9">
        <f>AH110+AH99+AH101</f>
        <v>271269</v>
      </c>
    </row>
    <row r="112" spans="2:34" s="7" customFormat="1" x14ac:dyDescent="0.35">
      <c r="G112" s="37"/>
      <c r="K112" s="37"/>
      <c r="O112" s="37"/>
    </row>
    <row r="113" spans="2:33" s="7" customFormat="1" x14ac:dyDescent="0.35">
      <c r="B113" s="7" t="s">
        <v>149</v>
      </c>
      <c r="G113" s="37">
        <f t="shared" ref="G113:O113" si="81">G64</f>
        <v>0</v>
      </c>
      <c r="H113" s="7">
        <f t="shared" si="81"/>
        <v>0</v>
      </c>
      <c r="I113" s="7">
        <f t="shared" si="81"/>
        <v>27258</v>
      </c>
      <c r="J113" s="7">
        <f t="shared" si="81"/>
        <v>20523</v>
      </c>
      <c r="K113" s="37">
        <f t="shared" si="81"/>
        <v>5938</v>
      </c>
      <c r="L113" s="7">
        <f t="shared" si="81"/>
        <v>10879</v>
      </c>
      <c r="M113" s="7">
        <f t="shared" si="81"/>
        <v>7031</v>
      </c>
      <c r="N113" s="7">
        <f t="shared" si="81"/>
        <v>28316</v>
      </c>
      <c r="O113" s="37">
        <f t="shared" si="81"/>
        <v>11273</v>
      </c>
      <c r="P113" s="7">
        <f>P64</f>
        <v>11231</v>
      </c>
      <c r="Q113" s="7">
        <f t="shared" ref="Q113:V113" si="82">Q64</f>
        <v>10859</v>
      </c>
      <c r="R113" s="7">
        <f t="shared" si="82"/>
        <v>30278</v>
      </c>
      <c r="S113" s="7">
        <f t="shared" si="82"/>
        <v>32569</v>
      </c>
      <c r="T113" s="7">
        <f t="shared" si="82"/>
        <v>30832</v>
      </c>
      <c r="U113" s="7">
        <f t="shared" si="82"/>
        <v>0</v>
      </c>
      <c r="V113" s="7">
        <f t="shared" si="82"/>
        <v>0</v>
      </c>
    </row>
    <row r="114" spans="2:33" s="7" customFormat="1" x14ac:dyDescent="0.35">
      <c r="B114" s="7" t="s">
        <v>150</v>
      </c>
      <c r="G114" s="37">
        <f t="shared" ref="G114:O114" si="83">G84+G85+G92+G93</f>
        <v>0</v>
      </c>
      <c r="H114" s="7">
        <f t="shared" si="83"/>
        <v>0</v>
      </c>
      <c r="I114" s="7">
        <f t="shared" si="83"/>
        <v>78816</v>
      </c>
      <c r="J114" s="7">
        <f t="shared" si="83"/>
        <v>77551</v>
      </c>
      <c r="K114" s="37">
        <f t="shared" si="83"/>
        <v>89531</v>
      </c>
      <c r="L114" s="7">
        <f t="shared" si="83"/>
        <v>97812</v>
      </c>
      <c r="M114" s="7">
        <f t="shared" si="83"/>
        <v>107851</v>
      </c>
      <c r="N114" s="7">
        <f t="shared" si="83"/>
        <v>93207</v>
      </c>
      <c r="O114" s="37">
        <f t="shared" si="83"/>
        <v>92458</v>
      </c>
      <c r="P114" s="7">
        <f>P84+P85+P92+P93</f>
        <v>93489</v>
      </c>
      <c r="Q114" s="7">
        <f t="shared" ref="Q114:V114" si="84">Q84+Q85+Q92+Q93</f>
        <v>98714</v>
      </c>
      <c r="R114" s="7">
        <f t="shared" si="84"/>
        <v>104259</v>
      </c>
      <c r="S114" s="7">
        <f t="shared" si="84"/>
        <v>105601</v>
      </c>
      <c r="T114" s="7">
        <f t="shared" si="84"/>
        <v>109562</v>
      </c>
      <c r="U114" s="7">
        <f t="shared" si="84"/>
        <v>0</v>
      </c>
      <c r="V114" s="7">
        <f t="shared" si="84"/>
        <v>0</v>
      </c>
    </row>
    <row r="115" spans="2:33" s="7" customFormat="1" x14ac:dyDescent="0.35">
      <c r="B115" s="7" t="s">
        <v>151</v>
      </c>
      <c r="G115" s="37">
        <f t="shared" ref="G115:P115" si="85">G113-G114</f>
        <v>0</v>
      </c>
      <c r="H115" s="7">
        <f t="shared" si="85"/>
        <v>0</v>
      </c>
      <c r="I115" s="7">
        <f t="shared" si="85"/>
        <v>-51558</v>
      </c>
      <c r="J115" s="7">
        <f t="shared" si="85"/>
        <v>-57028</v>
      </c>
      <c r="K115" s="37">
        <f t="shared" si="85"/>
        <v>-83593</v>
      </c>
      <c r="L115" s="7">
        <f t="shared" si="85"/>
        <v>-86933</v>
      </c>
      <c r="M115" s="7">
        <f t="shared" si="85"/>
        <v>-100820</v>
      </c>
      <c r="N115" s="7">
        <f t="shared" si="85"/>
        <v>-64891</v>
      </c>
      <c r="O115" s="37">
        <f t="shared" si="85"/>
        <v>-81185</v>
      </c>
      <c r="P115" s="7">
        <f t="shared" si="85"/>
        <v>-82258</v>
      </c>
      <c r="Q115" s="7">
        <f t="shared" ref="Q115:V115" si="86">Q113-Q114</f>
        <v>-87855</v>
      </c>
      <c r="R115" s="7">
        <f t="shared" si="86"/>
        <v>-73981</v>
      </c>
      <c r="S115" s="7">
        <f t="shared" si="86"/>
        <v>-73032</v>
      </c>
      <c r="T115" s="7">
        <f t="shared" si="86"/>
        <v>-78730</v>
      </c>
      <c r="U115" s="7">
        <f t="shared" si="86"/>
        <v>0</v>
      </c>
      <c r="V115" s="7">
        <f t="shared" si="86"/>
        <v>0</v>
      </c>
    </row>
    <row r="116" spans="2:33" s="13" customFormat="1" x14ac:dyDescent="0.35">
      <c r="B116" s="13" t="s">
        <v>74</v>
      </c>
      <c r="G116" s="51"/>
      <c r="K116" s="51"/>
      <c r="O116" s="51"/>
    </row>
    <row r="117" spans="2:33" s="7" customFormat="1" x14ac:dyDescent="0.35">
      <c r="B117" s="7" t="s">
        <v>75</v>
      </c>
      <c r="G117" s="37"/>
      <c r="I117" s="7">
        <v>-34325</v>
      </c>
      <c r="J117" s="7">
        <f>AF117-I117-H117-G117</f>
        <v>-3033</v>
      </c>
      <c r="K117" s="37">
        <v>-11446</v>
      </c>
      <c r="L117" s="7">
        <f>-15584</f>
        <v>-15584</v>
      </c>
      <c r="M117" s="7">
        <f>-26829</f>
        <v>-26829</v>
      </c>
      <c r="N117" s="7">
        <f>AG117</f>
        <v>-31657</v>
      </c>
      <c r="O117" s="37">
        <v>-14048</v>
      </c>
      <c r="P117" s="7">
        <f>-11204</f>
        <v>-11204</v>
      </c>
      <c r="S117" s="7">
        <v>2764</v>
      </c>
      <c r="T117" s="7">
        <v>-6742</v>
      </c>
      <c r="AE117" s="7">
        <v>-15650</v>
      </c>
      <c r="AF117" s="7">
        <v>-37358</v>
      </c>
      <c r="AG117" s="7">
        <v>-31657</v>
      </c>
    </row>
    <row r="118" spans="2:33" s="8" customFormat="1" x14ac:dyDescent="0.35">
      <c r="B118" s="8" t="s">
        <v>76</v>
      </c>
      <c r="G118" s="37"/>
      <c r="I118" s="8">
        <f>-1840-389</f>
        <v>-2229</v>
      </c>
      <c r="J118" s="8">
        <f>AF118-I118-H118-G118</f>
        <v>135</v>
      </c>
      <c r="K118" s="37">
        <f>-892-122</f>
        <v>-1014</v>
      </c>
      <c r="L118" s="8">
        <f>-1898-175</f>
        <v>-2073</v>
      </c>
      <c r="M118" s="8">
        <f>-2793-639</f>
        <v>-3432</v>
      </c>
      <c r="N118" s="8">
        <f>AG118</f>
        <v>-3626</v>
      </c>
      <c r="O118" s="37">
        <f>-787-12</f>
        <v>-799</v>
      </c>
      <c r="P118" s="8">
        <f>-2223-325</f>
        <v>-2548</v>
      </c>
      <c r="S118" s="8">
        <f>-1561-806</f>
        <v>-2367</v>
      </c>
      <c r="T118" s="8">
        <f>-2475-1579</f>
        <v>-4054</v>
      </c>
      <c r="AE118" s="8">
        <v>-917</v>
      </c>
      <c r="AF118" s="8">
        <v>-2094</v>
      </c>
      <c r="AG118" s="8">
        <v>-3626</v>
      </c>
    </row>
    <row r="119" spans="2:33" s="7" customFormat="1" x14ac:dyDescent="0.35">
      <c r="B119" s="7" t="s">
        <v>77</v>
      </c>
      <c r="F119" s="7">
        <f t="shared" ref="F119" si="87">SUM(F117:F118)</f>
        <v>0</v>
      </c>
      <c r="G119" s="37">
        <f t="shared" ref="G119" si="88">SUM(G117:G118)</f>
        <v>0</v>
      </c>
      <c r="H119" s="7">
        <f t="shared" ref="H119" si="89">SUM(H117:H118)</f>
        <v>0</v>
      </c>
      <c r="I119" s="7">
        <f t="shared" ref="I119" si="90">SUM(I117:I118)</f>
        <v>-36554</v>
      </c>
      <c r="J119" s="7">
        <f t="shared" ref="J119" si="91">SUM(J117:J118)</f>
        <v>-2898</v>
      </c>
      <c r="K119" s="37">
        <f t="shared" ref="K119" si="92">SUM(K117:K118)</f>
        <v>-12460</v>
      </c>
      <c r="L119" s="7">
        <f t="shared" ref="L119" si="93">SUM(L117:L118)</f>
        <v>-17657</v>
      </c>
      <c r="M119" s="7">
        <f t="shared" ref="M119" si="94">SUM(M117:M118)</f>
        <v>-30261</v>
      </c>
      <c r="N119" s="7">
        <f t="shared" ref="N119" si="95">SUM(N117:N118)</f>
        <v>-35283</v>
      </c>
      <c r="O119" s="37">
        <f t="shared" ref="O119:V119" si="96">SUM(O117:O118)</f>
        <v>-14847</v>
      </c>
      <c r="P119" s="7">
        <f t="shared" si="96"/>
        <v>-13752</v>
      </c>
      <c r="Q119" s="7">
        <f t="shared" si="96"/>
        <v>0</v>
      </c>
      <c r="R119" s="7">
        <f t="shared" si="96"/>
        <v>0</v>
      </c>
      <c r="S119" s="7">
        <f t="shared" si="96"/>
        <v>397</v>
      </c>
      <c r="T119" s="7">
        <f t="shared" si="96"/>
        <v>-10796</v>
      </c>
      <c r="U119" s="7">
        <f t="shared" si="96"/>
        <v>0</v>
      </c>
      <c r="V119" s="7">
        <f t="shared" si="96"/>
        <v>0</v>
      </c>
      <c r="X119" s="7">
        <f>SUM(X117:X118)</f>
        <v>0</v>
      </c>
      <c r="Y119" s="7">
        <f t="shared" ref="Y119:AF119" si="97">SUM(Y117:Y118)</f>
        <v>0</v>
      </c>
      <c r="Z119" s="7">
        <f t="shared" si="97"/>
        <v>0</v>
      </c>
      <c r="AA119" s="7">
        <f t="shared" si="97"/>
        <v>0</v>
      </c>
      <c r="AB119" s="7">
        <f t="shared" si="97"/>
        <v>0</v>
      </c>
      <c r="AC119" s="7">
        <f t="shared" si="97"/>
        <v>0</v>
      </c>
      <c r="AD119" s="7">
        <f t="shared" si="97"/>
        <v>0</v>
      </c>
      <c r="AE119" s="7">
        <f t="shared" si="97"/>
        <v>-16567</v>
      </c>
      <c r="AF119" s="7">
        <f t="shared" si="97"/>
        <v>-39452</v>
      </c>
      <c r="AG119" s="7">
        <f>SUM(AG117:AG118)</f>
        <v>-35283</v>
      </c>
    </row>
    <row r="120" spans="2:33" s="7" customFormat="1" x14ac:dyDescent="0.35">
      <c r="G120" s="37"/>
      <c r="K120" s="37"/>
      <c r="O120" s="37"/>
    </row>
    <row r="121" spans="2:33" s="7" customFormat="1" x14ac:dyDescent="0.35">
      <c r="B121" s="7" t="s">
        <v>78</v>
      </c>
      <c r="F121" s="7">
        <v>0</v>
      </c>
      <c r="G121" s="37">
        <v>0</v>
      </c>
      <c r="H121" s="7">
        <v>0</v>
      </c>
      <c r="I121" s="7">
        <v>0</v>
      </c>
      <c r="J121" s="7">
        <v>0</v>
      </c>
      <c r="K121" s="37">
        <v>0</v>
      </c>
      <c r="L121" s="7">
        <v>1222</v>
      </c>
      <c r="M121" s="7">
        <v>0</v>
      </c>
      <c r="N121" s="7">
        <f>2956</f>
        <v>2956</v>
      </c>
      <c r="O121" s="37">
        <v>0</v>
      </c>
      <c r="P121" s="7">
        <v>0</v>
      </c>
      <c r="S121" s="7">
        <v>0</v>
      </c>
      <c r="T121" s="7">
        <v>530</v>
      </c>
      <c r="AA121" s="7">
        <v>0</v>
      </c>
      <c r="AB121" s="7">
        <v>0</v>
      </c>
      <c r="AC121" s="7">
        <v>0</v>
      </c>
      <c r="AD121" s="7">
        <v>0</v>
      </c>
      <c r="AE121" s="7">
        <v>0</v>
      </c>
      <c r="AF121" s="7">
        <v>0</v>
      </c>
      <c r="AG121" s="7">
        <v>2956</v>
      </c>
    </row>
    <row r="122" spans="2:33" s="7" customFormat="1" x14ac:dyDescent="0.35">
      <c r="B122" s="7" t="s">
        <v>79</v>
      </c>
      <c r="F122" s="7">
        <v>0</v>
      </c>
      <c r="G122" s="37">
        <v>0</v>
      </c>
      <c r="H122" s="7">
        <v>0</v>
      </c>
      <c r="I122" s="7">
        <v>0</v>
      </c>
      <c r="J122" s="7">
        <v>0</v>
      </c>
      <c r="K122" s="37">
        <v>0</v>
      </c>
      <c r="L122" s="7">
        <v>6154</v>
      </c>
      <c r="M122" s="7">
        <v>0</v>
      </c>
      <c r="N122" s="7">
        <v>0</v>
      </c>
      <c r="O122" s="37">
        <v>1958</v>
      </c>
      <c r="P122" s="7">
        <v>3866</v>
      </c>
      <c r="S122" s="7">
        <v>2535</v>
      </c>
      <c r="T122" s="7">
        <v>4453</v>
      </c>
      <c r="AA122" s="7">
        <v>0</v>
      </c>
      <c r="AB122" s="7">
        <v>0</v>
      </c>
      <c r="AC122" s="7">
        <v>0</v>
      </c>
      <c r="AD122" s="7">
        <v>0</v>
      </c>
      <c r="AE122" s="7">
        <v>0</v>
      </c>
      <c r="AF122" s="7">
        <v>0</v>
      </c>
      <c r="AG122" s="7">
        <v>0</v>
      </c>
    </row>
    <row r="123" spans="2:33" s="7" customFormat="1" x14ac:dyDescent="0.35">
      <c r="B123" s="7" t="s">
        <v>80</v>
      </c>
      <c r="F123" s="7">
        <v>0</v>
      </c>
      <c r="G123" s="37">
        <v>0</v>
      </c>
      <c r="H123" s="7">
        <v>0</v>
      </c>
      <c r="I123" s="7">
        <v>0</v>
      </c>
      <c r="J123" s="7">
        <v>0</v>
      </c>
      <c r="K123" s="37">
        <v>0</v>
      </c>
      <c r="L123" s="7">
        <v>0</v>
      </c>
      <c r="M123" s="7">
        <v>0</v>
      </c>
      <c r="N123" s="7">
        <v>-381</v>
      </c>
      <c r="O123" s="37">
        <v>0</v>
      </c>
      <c r="P123" s="7">
        <v>0</v>
      </c>
      <c r="S123" s="7">
        <v>-56</v>
      </c>
      <c r="T123" s="7">
        <v>0</v>
      </c>
      <c r="AA123" s="7">
        <v>0</v>
      </c>
      <c r="AB123" s="7">
        <v>0</v>
      </c>
      <c r="AC123" s="7">
        <v>0</v>
      </c>
      <c r="AD123" s="7">
        <v>0</v>
      </c>
      <c r="AE123" s="7">
        <v>0</v>
      </c>
      <c r="AF123" s="7">
        <v>0</v>
      </c>
      <c r="AG123" s="7">
        <v>-381</v>
      </c>
    </row>
    <row r="124" spans="2:33" s="7" customFormat="1" x14ac:dyDescent="0.35">
      <c r="B124" s="7" t="s">
        <v>81</v>
      </c>
      <c r="G124" s="37"/>
      <c r="K124" s="37">
        <v>0</v>
      </c>
      <c r="L124" s="7">
        <v>0</v>
      </c>
      <c r="M124" s="7">
        <v>0</v>
      </c>
      <c r="N124" s="7">
        <v>0</v>
      </c>
      <c r="O124" s="37">
        <v>0</v>
      </c>
      <c r="P124" s="7">
        <v>4800</v>
      </c>
      <c r="S124" s="7">
        <v>0</v>
      </c>
      <c r="T124" s="7">
        <v>0</v>
      </c>
    </row>
    <row r="125" spans="2:33" s="7" customFormat="1" x14ac:dyDescent="0.35">
      <c r="B125" s="7" t="s">
        <v>221</v>
      </c>
      <c r="G125" s="37"/>
      <c r="K125" s="37"/>
      <c r="O125" s="37"/>
      <c r="S125" s="7">
        <v>0</v>
      </c>
      <c r="T125" s="7">
        <v>0</v>
      </c>
    </row>
    <row r="126" spans="2:33" s="10" customFormat="1" x14ac:dyDescent="0.35">
      <c r="B126" s="10" t="s">
        <v>220</v>
      </c>
      <c r="G126" s="49"/>
      <c r="K126" s="49"/>
      <c r="O126" s="49"/>
    </row>
    <row r="127" spans="2:33" s="7" customFormat="1" x14ac:dyDescent="0.35">
      <c r="B127" s="7" t="s">
        <v>75</v>
      </c>
      <c r="G127" s="37"/>
      <c r="K127" s="37"/>
      <c r="O127" s="37"/>
    </row>
    <row r="128" spans="2:33" s="8" customFormat="1" x14ac:dyDescent="0.35">
      <c r="B128" s="8" t="s">
        <v>76</v>
      </c>
      <c r="G128" s="37"/>
      <c r="K128" s="37"/>
      <c r="O128" s="37"/>
    </row>
    <row r="129" spans="2:33" s="7" customFormat="1" x14ac:dyDescent="0.35">
      <c r="B129" s="7" t="s">
        <v>77</v>
      </c>
      <c r="G129" s="37"/>
      <c r="K129" s="37"/>
      <c r="O129" s="37"/>
    </row>
    <row r="130" spans="2:33" s="7" customFormat="1" x14ac:dyDescent="0.35">
      <c r="G130" s="37"/>
      <c r="K130" s="37"/>
      <c r="O130" s="37"/>
    </row>
    <row r="131" spans="2:33" s="7" customFormat="1" x14ac:dyDescent="0.35">
      <c r="B131" s="7" t="s">
        <v>78</v>
      </c>
      <c r="G131" s="37"/>
      <c r="K131" s="37"/>
      <c r="O131" s="37"/>
    </row>
    <row r="132" spans="2:33" s="7" customFormat="1" x14ac:dyDescent="0.35">
      <c r="B132" s="7" t="s">
        <v>79</v>
      </c>
      <c r="G132" s="37"/>
      <c r="K132" s="37"/>
      <c r="O132" s="37"/>
    </row>
    <row r="133" spans="2:33" s="7" customFormat="1" x14ac:dyDescent="0.35">
      <c r="B133" s="7" t="s">
        <v>80</v>
      </c>
      <c r="G133" s="37"/>
      <c r="K133" s="37"/>
      <c r="O133" s="37"/>
    </row>
    <row r="134" spans="2:33" s="7" customFormat="1" x14ac:dyDescent="0.35">
      <c r="B134" s="7" t="s">
        <v>81</v>
      </c>
      <c r="G134" s="37"/>
      <c r="K134" s="37"/>
      <c r="O134" s="37"/>
    </row>
    <row r="135" spans="2:33" s="7" customFormat="1" x14ac:dyDescent="0.35">
      <c r="B135" s="7" t="s">
        <v>221</v>
      </c>
      <c r="G135" s="37"/>
      <c r="K135" s="37"/>
      <c r="O135" s="37"/>
    </row>
    <row r="136" spans="2:33" s="7" customFormat="1" x14ac:dyDescent="0.35">
      <c r="G136" s="37"/>
      <c r="K136" s="37"/>
      <c r="O136" s="37"/>
    </row>
    <row r="137" spans="2:33" s="13" customFormat="1" x14ac:dyDescent="0.35">
      <c r="B137" s="13" t="s">
        <v>100</v>
      </c>
      <c r="G137" s="51"/>
      <c r="K137" s="51"/>
      <c r="O137" s="51"/>
    </row>
    <row r="138" spans="2:33" s="25" customFormat="1" x14ac:dyDescent="0.35">
      <c r="B138" s="25" t="s">
        <v>104</v>
      </c>
      <c r="F138" s="25">
        <f t="shared" ref="F138" si="98">F7*F139</f>
        <v>0</v>
      </c>
      <c r="G138" s="52">
        <f t="shared" ref="G138" si="99">G7*G139</f>
        <v>386880</v>
      </c>
      <c r="H138" s="25">
        <f t="shared" ref="H138" si="100">H7*H139</f>
        <v>377208</v>
      </c>
      <c r="I138" s="25">
        <f t="shared" ref="I138" si="101">I7*I139</f>
        <v>459300.27779999998</v>
      </c>
      <c r="J138" s="25">
        <f t="shared" ref="J138" si="102">J7*J139</f>
        <v>606848.88</v>
      </c>
      <c r="K138" s="52">
        <f t="shared" ref="K138" si="103">K7*K139</f>
        <v>379906.66613999999</v>
      </c>
      <c r="L138" s="25">
        <f t="shared" ref="L138" si="104">L7*L139</f>
        <v>304883.47735999996</v>
      </c>
      <c r="M138" s="25">
        <f t="shared" ref="M138" si="105">M7*M139</f>
        <v>196727.63370000001</v>
      </c>
      <c r="N138" s="25">
        <f t="shared" ref="N138" si="106">N7*N139</f>
        <v>147846.29999999999</v>
      </c>
      <c r="O138" s="52">
        <f t="shared" ref="O138" si="107">O7*O139</f>
        <v>189627.86145000003</v>
      </c>
      <c r="P138" s="25">
        <f t="shared" ref="P138" si="108">P7*P139</f>
        <v>176809.89417000001</v>
      </c>
      <c r="AA138" s="25">
        <f>AA7*AA139</f>
        <v>0</v>
      </c>
      <c r="AB138" s="25">
        <f t="shared" ref="AB138:AF138" si="109">AB7*AB139</f>
        <v>0</v>
      </c>
      <c r="AC138" s="25">
        <f t="shared" si="109"/>
        <v>0</v>
      </c>
      <c r="AD138" s="25">
        <f t="shared" si="109"/>
        <v>0</v>
      </c>
      <c r="AE138" s="25">
        <f t="shared" si="109"/>
        <v>377580</v>
      </c>
      <c r="AF138" s="25">
        <f t="shared" si="109"/>
        <v>254524.92813999997</v>
      </c>
      <c r="AG138" s="25">
        <f>AG7*AG139</f>
        <v>190270.66776000001</v>
      </c>
    </row>
    <row r="139" spans="2:33" x14ac:dyDescent="0.35">
      <c r="B139" s="7" t="s">
        <v>83</v>
      </c>
      <c r="F139" s="7">
        <f>F59</f>
        <v>0</v>
      </c>
      <c r="G139" s="37">
        <f t="shared" ref="G139:P139" si="110">G59</f>
        <v>37200</v>
      </c>
      <c r="H139" s="7">
        <f t="shared" si="110"/>
        <v>37200</v>
      </c>
      <c r="I139" s="7">
        <f t="shared" si="110"/>
        <v>44036.46</v>
      </c>
      <c r="J139" s="7">
        <f t="shared" si="110"/>
        <v>62691</v>
      </c>
      <c r="K139" s="37">
        <f t="shared" si="110"/>
        <v>62690.868999999999</v>
      </c>
      <c r="L139" s="7">
        <f t="shared" si="110"/>
        <v>62992.453999999998</v>
      </c>
      <c r="M139" s="7">
        <f t="shared" si="110"/>
        <v>63460.527000000002</v>
      </c>
      <c r="N139" s="7">
        <f t="shared" si="110"/>
        <v>64281</v>
      </c>
      <c r="O139" s="37">
        <f t="shared" si="110"/>
        <v>64280.631000000001</v>
      </c>
      <c r="P139" s="7">
        <f t="shared" si="110"/>
        <v>64765.529000000002</v>
      </c>
      <c r="AA139" s="7">
        <f>AA59</f>
        <v>0</v>
      </c>
      <c r="AB139" s="7">
        <f t="shared" ref="AB139:AF139" si="111">AB59</f>
        <v>0</v>
      </c>
      <c r="AC139" s="7">
        <f t="shared" si="111"/>
        <v>0</v>
      </c>
      <c r="AD139" s="7">
        <f t="shared" si="111"/>
        <v>0</v>
      </c>
      <c r="AE139" s="7">
        <f t="shared" si="111"/>
        <v>37200</v>
      </c>
      <c r="AF139" s="7">
        <f t="shared" si="111"/>
        <v>62690.868999999999</v>
      </c>
      <c r="AG139" s="7">
        <f>AG59</f>
        <v>64280.631000000001</v>
      </c>
    </row>
    <row r="140" spans="2:33" s="20" customFormat="1" x14ac:dyDescent="0.35">
      <c r="B140" s="20" t="s">
        <v>105</v>
      </c>
      <c r="F140" s="20" t="e">
        <f>F138/SUM(C37:F37)</f>
        <v>#DIV/0!</v>
      </c>
      <c r="G140" s="53">
        <f>G138/SUM(F37:G37)</f>
        <v>12.205186447094453</v>
      </c>
      <c r="H140" s="20">
        <f>H138/SUM(G37:H37)</f>
        <v>5.9080913447984216</v>
      </c>
      <c r="I140" s="20">
        <f>I138/SUM(G37:I37)</f>
        <v>4.7583063402606554</v>
      </c>
      <c r="J140" s="20">
        <f t="shared" ref="J140:O140" si="112">J138/SUM(G37:J37)</f>
        <v>4.4102069025661148</v>
      </c>
      <c r="K140" s="53">
        <f t="shared" si="112"/>
        <v>2.7376714429631765</v>
      </c>
      <c r="L140" s="20">
        <f t="shared" si="112"/>
        <v>2.1268467203348447</v>
      </c>
      <c r="M140" s="20">
        <f t="shared" si="112"/>
        <v>1.3299686564944329</v>
      </c>
      <c r="N140" s="20">
        <f t="shared" si="112"/>
        <v>0.92087960684899928</v>
      </c>
      <c r="O140" s="53">
        <f t="shared" si="112"/>
        <v>1.0234277712413717</v>
      </c>
      <c r="P140" s="20">
        <f>P138/SUM(M37:P37)</f>
        <v>0.84737101640491341</v>
      </c>
      <c r="AA140" s="20" t="e">
        <f>AA138/AA37</f>
        <v>#DIV/0!</v>
      </c>
      <c r="AB140" s="20" t="e">
        <f t="shared" ref="AB140:AF140" si="113">AB138/AB37</f>
        <v>#DIV/0!</v>
      </c>
      <c r="AC140" s="20" t="e">
        <f t="shared" si="113"/>
        <v>#DIV/0!</v>
      </c>
      <c r="AD140" s="20" t="e">
        <f t="shared" si="113"/>
        <v>#DIV/0!</v>
      </c>
      <c r="AE140" s="20">
        <f t="shared" si="113"/>
        <v>9.2578153732990067</v>
      </c>
      <c r="AF140" s="20">
        <f t="shared" si="113"/>
        <v>1.8497316744791097</v>
      </c>
      <c r="AG140" s="20">
        <f>AG138/AG37</f>
        <v>1.1851252126142175</v>
      </c>
    </row>
    <row r="141" spans="2:33" s="20" customFormat="1" x14ac:dyDescent="0.35">
      <c r="B141" s="20" t="s">
        <v>106</v>
      </c>
      <c r="F141" s="20" t="e">
        <f>F138/SUM(C56:F56)</f>
        <v>#DIV/0!</v>
      </c>
      <c r="G141" s="53">
        <f>G138/SUM(F56:G56)</f>
        <v>-50.414386239249417</v>
      </c>
      <c r="H141" s="20">
        <f>H138/SUM(G56:H56)</f>
        <v>-16.000339342523858</v>
      </c>
      <c r="I141" s="20">
        <f>I138/SUM(G56:I56)</f>
        <v>-9.6033679260668663</v>
      </c>
      <c r="J141" s="20">
        <f t="shared" ref="J141:O141" si="114">J138/SUM(G56:J56)</f>
        <v>-9.8615285113021436</v>
      </c>
      <c r="K141" s="53">
        <f t="shared" si="114"/>
        <v>-5.3390672064196973</v>
      </c>
      <c r="L141" s="20">
        <f t="shared" si="114"/>
        <v>-2.3047820004082156</v>
      </c>
      <c r="M141" s="20">
        <f t="shared" si="114"/>
        <v>-1.6607935038073851</v>
      </c>
      <c r="N141" s="20">
        <f t="shared" si="114"/>
        <v>-1.1168579133837448</v>
      </c>
      <c r="O141" s="53">
        <f t="shared" si="114"/>
        <v>-1.5499817025224374</v>
      </c>
      <c r="P141" s="20">
        <f>P138/SUM(M56:P56)</f>
        <v>-3.4820176881720433</v>
      </c>
      <c r="AA141" s="20" t="e">
        <f>AA138/AA56</f>
        <v>#DIV/0!</v>
      </c>
      <c r="AB141" s="20" t="e">
        <f t="shared" ref="AB141:AF141" si="115">AB138/AB56</f>
        <v>#DIV/0!</v>
      </c>
      <c r="AC141" s="20" t="e">
        <f t="shared" si="115"/>
        <v>#DIV/0!</v>
      </c>
      <c r="AD141" s="20" t="e">
        <f t="shared" si="115"/>
        <v>#DIV/0!</v>
      </c>
      <c r="AE141" s="20">
        <f t="shared" si="115"/>
        <v>-26.268262139974954</v>
      </c>
      <c r="AF141" s="20">
        <f t="shared" si="115"/>
        <v>-4.1361283153224884</v>
      </c>
      <c r="AG141" s="20">
        <f>AG138/AG56</f>
        <v>-1.4373393245050123</v>
      </c>
    </row>
    <row r="142" spans="2:33" s="20" customFormat="1" x14ac:dyDescent="0.35">
      <c r="B142" s="20" t="s">
        <v>107</v>
      </c>
      <c r="F142" s="20" t="e">
        <f>F138/F110</f>
        <v>#DIV/0!</v>
      </c>
      <c r="G142" s="53" t="e">
        <f t="shared" ref="G142:O142" si="116">G138/G110</f>
        <v>#DIV/0!</v>
      </c>
      <c r="H142" s="20" t="e">
        <f t="shared" si="116"/>
        <v>#DIV/0!</v>
      </c>
      <c r="I142" s="20">
        <f t="shared" si="116"/>
        <v>5.8653046661899166</v>
      </c>
      <c r="J142" s="20">
        <f t="shared" si="116"/>
        <v>5.6597422170823153</v>
      </c>
      <c r="K142" s="53">
        <f t="shared" si="116"/>
        <v>4.0324657807922559</v>
      </c>
      <c r="L142" s="20">
        <f t="shared" si="116"/>
        <v>14.450823649635035</v>
      </c>
      <c r="M142" s="20">
        <f t="shared" si="116"/>
        <v>13.289713821522664</v>
      </c>
      <c r="N142" s="20">
        <f t="shared" si="116"/>
        <v>-22.833405405405404</v>
      </c>
      <c r="O142" s="53">
        <f t="shared" si="116"/>
        <v>-16.697002857268647</v>
      </c>
      <c r="P142" s="20">
        <f>P138/P110</f>
        <v>-7.4271147681256835</v>
      </c>
      <c r="AA142" s="20" t="e">
        <f>AA138/AA110</f>
        <v>#DIV/0!</v>
      </c>
      <c r="AB142" s="20" t="e">
        <f t="shared" ref="AB142:AF142" si="117">AB138/AB110</f>
        <v>#DIV/0!</v>
      </c>
      <c r="AC142" s="20" t="e">
        <f t="shared" si="117"/>
        <v>#DIV/0!</v>
      </c>
      <c r="AD142" s="20" t="e">
        <f t="shared" si="117"/>
        <v>#DIV/0!</v>
      </c>
      <c r="AE142" s="20">
        <f t="shared" si="117"/>
        <v>9.6333716035208568</v>
      </c>
      <c r="AF142" s="20">
        <f t="shared" si="117"/>
        <v>2.3738125397772842</v>
      </c>
      <c r="AG142" s="20">
        <f>AG138/AG110</f>
        <v>-29.385431314285714</v>
      </c>
    </row>
    <row r="143" spans="2:33" s="20" customFormat="1" x14ac:dyDescent="0.35">
      <c r="B143" s="20" t="s">
        <v>108</v>
      </c>
      <c r="F143" s="20" t="e">
        <f>F138/SUM(C119:F119)</f>
        <v>#DIV/0!</v>
      </c>
      <c r="G143" s="53" t="e">
        <f>G138/SUM(F119:G119)</f>
        <v>#DIV/0!</v>
      </c>
      <c r="H143" s="20" t="e">
        <f>H138/SUM(G119:H119)</f>
        <v>#DIV/0!</v>
      </c>
      <c r="I143" s="20">
        <f>I138/SUM(G119:I119)</f>
        <v>-12.564979969360397</v>
      </c>
      <c r="J143" s="20">
        <f t="shared" ref="J143:O143" si="118">J138/SUM(G119:J119)</f>
        <v>-15.381954780492752</v>
      </c>
      <c r="K143" s="53">
        <f t="shared" si="118"/>
        <v>-7.3182822110494676</v>
      </c>
      <c r="L143" s="20">
        <f t="shared" si="118"/>
        <v>-4.3824616906955676</v>
      </c>
      <c r="M143" s="20">
        <f t="shared" si="118"/>
        <v>-3.1090402948985396</v>
      </c>
      <c r="N143" s="20">
        <f t="shared" si="118"/>
        <v>-1.5455232539906543</v>
      </c>
      <c r="O143" s="53">
        <f t="shared" si="118"/>
        <v>-1.9340308976215734</v>
      </c>
      <c r="P143" s="20">
        <f>P138/SUM(M119:P119)</f>
        <v>-1.8780992125808611</v>
      </c>
      <c r="AA143" s="20" t="e">
        <f>AA138/AA119</f>
        <v>#DIV/0!</v>
      </c>
      <c r="AB143" s="20" t="e">
        <f t="shared" ref="AB143:AF143" si="119">AB138/AB119</f>
        <v>#DIV/0!</v>
      </c>
      <c r="AC143" s="20" t="e">
        <f t="shared" si="119"/>
        <v>#DIV/0!</v>
      </c>
      <c r="AD143" s="20" t="e">
        <f t="shared" si="119"/>
        <v>#DIV/0!</v>
      </c>
      <c r="AE143" s="20">
        <f t="shared" si="119"/>
        <v>-22.791090722520675</v>
      </c>
      <c r="AF143" s="20">
        <f t="shared" si="119"/>
        <v>-6.4515088750887148</v>
      </c>
      <c r="AG143" s="20">
        <f>AG138/AG119</f>
        <v>-5.3927009540005102</v>
      </c>
    </row>
    <row r="144" spans="2:33" s="20" customFormat="1" x14ac:dyDescent="0.35">
      <c r="B144" s="20" t="s">
        <v>72</v>
      </c>
      <c r="F144" s="20" t="e">
        <f>F56/F59</f>
        <v>#DIV/0!</v>
      </c>
      <c r="G144" s="53">
        <f t="shared" ref="G144:O144" si="120">G56/G59</f>
        <v>-0.20629032258064517</v>
      </c>
      <c r="H144" s="20">
        <f t="shared" si="120"/>
        <v>-0.42744623655913977</v>
      </c>
      <c r="I144" s="20">
        <f t="shared" si="120"/>
        <v>-0.55072546703345371</v>
      </c>
      <c r="J144" s="20">
        <f t="shared" si="120"/>
        <v>-0.21869167823132507</v>
      </c>
      <c r="K144" s="53">
        <f t="shared" si="120"/>
        <v>-0.27584559403698805</v>
      </c>
      <c r="L144" s="20">
        <f t="shared" si="120"/>
        <v>-1.2228131325063158</v>
      </c>
      <c r="M144" s="20">
        <f t="shared" si="120"/>
        <v>-0.16424382986923508</v>
      </c>
      <c r="N144" s="20">
        <f t="shared" si="120"/>
        <v>-0.42987819106734493</v>
      </c>
      <c r="O144" s="53">
        <f t="shared" si="120"/>
        <v>-0.11291115048326143</v>
      </c>
      <c r="P144" s="20">
        <f>P56/P59</f>
        <v>-8.4365866910467144E-2</v>
      </c>
    </row>
    <row r="145" spans="2:33" s="20" customFormat="1" x14ac:dyDescent="0.35">
      <c r="G145" s="53"/>
      <c r="K145" s="53"/>
      <c r="O145" s="53"/>
    </row>
    <row r="146" spans="2:33" s="23" customFormat="1" x14ac:dyDescent="0.35">
      <c r="B146" s="23" t="s">
        <v>119</v>
      </c>
      <c r="G146" s="54"/>
      <c r="K146" s="54"/>
      <c r="O146" s="54"/>
    </row>
    <row r="147" spans="2:33" s="24" customFormat="1" x14ac:dyDescent="0.35">
      <c r="B147" s="24" t="s">
        <v>120</v>
      </c>
      <c r="F147" s="24" t="e">
        <f>(F37-B37)/ABS(B37)</f>
        <v>#VALUE!</v>
      </c>
      <c r="G147" s="55" t="e">
        <f>(G37-E37)/ABS(E37)</f>
        <v>#DIV/0!</v>
      </c>
      <c r="H147" s="24" t="e">
        <f>(H37-F37)/ABS(F37)</f>
        <v>#DIV/0!</v>
      </c>
      <c r="I147" s="24" t="e">
        <f>(I37-#REF!)/ABS(#REF!)</f>
        <v>#REF!</v>
      </c>
      <c r="J147" s="24" t="e">
        <f>(J37-#REF!)/ABS(#REF!)</f>
        <v>#REF!</v>
      </c>
      <c r="K147" s="55">
        <f t="shared" ref="K147:O147" si="121">(K37-G37)/ABS(G37)</f>
        <v>3.6879298378446591E-2</v>
      </c>
      <c r="L147" s="24">
        <f t="shared" si="121"/>
        <v>0.14246609431379867</v>
      </c>
      <c r="M147" s="24">
        <f t="shared" si="121"/>
        <v>0.13981028151774785</v>
      </c>
      <c r="N147" s="24">
        <f t="shared" si="121"/>
        <v>0.30748630553864881</v>
      </c>
      <c r="O147" s="55">
        <f t="shared" si="121"/>
        <v>0.75266985121854746</v>
      </c>
      <c r="P147" s="24">
        <f>(P37-L37)/ABS(L37)</f>
        <v>0.63629928120235246</v>
      </c>
      <c r="AA147" s="24" t="e">
        <f>(AA37-Z37)/ABS(Z37)</f>
        <v>#DIV/0!</v>
      </c>
      <c r="AB147" s="24" t="e">
        <f t="shared" ref="AB147:AF147" si="122">(AB37-AA37)/ABS(AA37)</f>
        <v>#DIV/0!</v>
      </c>
      <c r="AC147" s="24" t="e">
        <f t="shared" si="122"/>
        <v>#DIV/0!</v>
      </c>
      <c r="AD147" s="24" t="e">
        <f t="shared" si="122"/>
        <v>#DIV/0!</v>
      </c>
      <c r="AE147" s="24" t="e">
        <f t="shared" si="122"/>
        <v>#DIV/0!</v>
      </c>
      <c r="AF147" s="24">
        <f t="shared" si="122"/>
        <v>2.3738139021699154</v>
      </c>
      <c r="AG147" s="24">
        <f>(AG37-AF37)/ABS(AF37)</f>
        <v>0.16677204380782115</v>
      </c>
    </row>
    <row r="148" spans="2:33" s="24" customFormat="1" x14ac:dyDescent="0.35">
      <c r="B148" s="24" t="s">
        <v>121</v>
      </c>
      <c r="F148" s="24" t="e">
        <f>(F56-B56)/ABS(B56)</f>
        <v>#VALUE!</v>
      </c>
      <c r="G148" s="55" t="e">
        <f>(G56-E56)/ABS(E56)</f>
        <v>#DIV/0!</v>
      </c>
      <c r="H148" s="24" t="e">
        <f>(H56-F56)/ABS(F56)</f>
        <v>#DIV/0!</v>
      </c>
      <c r="I148" s="24" t="e">
        <f>(I56-#REF!)/ABS(#REF!)</f>
        <v>#REF!</v>
      </c>
      <c r="J148" s="24" t="e">
        <f>(J56-#REF!)/ABS(#REF!)</f>
        <v>#REF!</v>
      </c>
      <c r="K148" s="55">
        <f t="shared" ref="K148:O148" si="123">(K56-G56)/ABS(G56)</f>
        <v>-1.2534532186604117</v>
      </c>
      <c r="L148" s="24">
        <f t="shared" si="123"/>
        <v>-3.8442236337337272</v>
      </c>
      <c r="M148" s="24">
        <f t="shared" si="123"/>
        <v>0.57022101269998349</v>
      </c>
      <c r="N148" s="24">
        <f t="shared" si="123"/>
        <v>-1.0155361050328227</v>
      </c>
      <c r="O148" s="55">
        <f t="shared" si="123"/>
        <v>0.58029260394379234</v>
      </c>
      <c r="P148" s="24">
        <f>(P56-L56)/ABS(L56)</f>
        <v>0.92906475567326163</v>
      </c>
      <c r="AA148" s="24" t="e">
        <f>(AA56-Z56)/ABS(Z56)</f>
        <v>#DIV/0!</v>
      </c>
      <c r="AB148" s="24" t="e">
        <f t="shared" ref="AB148:AF148" si="124">(AB56-AA56)/ABS(AA56)</f>
        <v>#DIV/0!</v>
      </c>
      <c r="AC148" s="24" t="e">
        <f t="shared" si="124"/>
        <v>#DIV/0!</v>
      </c>
      <c r="AD148" s="24" t="e">
        <f t="shared" si="124"/>
        <v>#DIV/0!</v>
      </c>
      <c r="AE148" s="24" t="e">
        <f t="shared" si="124"/>
        <v>#DIV/0!</v>
      </c>
      <c r="AF148" s="24">
        <f t="shared" si="124"/>
        <v>-3.2811326005287325</v>
      </c>
      <c r="AG148" s="24">
        <f>(AG56-AF56)/ABS(AF56)</f>
        <v>-1.151177340461836</v>
      </c>
    </row>
    <row r="149" spans="2:33" s="24" customFormat="1" x14ac:dyDescent="0.35">
      <c r="B149" s="24" t="s">
        <v>77</v>
      </c>
      <c r="F149" s="24" t="e">
        <f>(F119-B119)/ABS(B119)</f>
        <v>#VALUE!</v>
      </c>
      <c r="G149" s="55" t="e">
        <f>(G119-E119)/ABS(E119)</f>
        <v>#DIV/0!</v>
      </c>
      <c r="H149" s="24" t="e">
        <f>(H119-F119)/ABS(F119)</f>
        <v>#DIV/0!</v>
      </c>
      <c r="I149" s="24" t="e">
        <f>(I119-#REF!)/ABS(#REF!)</f>
        <v>#REF!</v>
      </c>
      <c r="J149" s="24" t="e">
        <f>(J119-#REF!)/ABS(#REF!)</f>
        <v>#REF!</v>
      </c>
      <c r="K149" s="55" t="e">
        <f t="shared" ref="K149:O149" si="125">(K119-G119)/ABS(G119)</f>
        <v>#DIV/0!</v>
      </c>
      <c r="L149" s="24" t="e">
        <f t="shared" si="125"/>
        <v>#DIV/0!</v>
      </c>
      <c r="M149" s="24">
        <f t="shared" si="125"/>
        <v>0.1721562619685944</v>
      </c>
      <c r="N149" s="24">
        <f t="shared" si="125"/>
        <v>-11.174948240165632</v>
      </c>
      <c r="O149" s="55">
        <f t="shared" si="125"/>
        <v>-0.19157303370786516</v>
      </c>
      <c r="P149" s="24">
        <f>(P119-L119)/ABS(L119)</f>
        <v>0.22115874723905532</v>
      </c>
      <c r="AA149" s="24" t="e">
        <f>(AA119-Z119)/ABS(Z119)</f>
        <v>#DIV/0!</v>
      </c>
      <c r="AB149" s="24" t="e">
        <f t="shared" ref="AB149:AF149" si="126">(AB119-AA119)/ABS(AA119)</f>
        <v>#DIV/0!</v>
      </c>
      <c r="AC149" s="24" t="e">
        <f t="shared" si="126"/>
        <v>#DIV/0!</v>
      </c>
      <c r="AD149" s="24" t="e">
        <f t="shared" si="126"/>
        <v>#DIV/0!</v>
      </c>
      <c r="AE149" s="24" t="e">
        <f t="shared" si="126"/>
        <v>#DIV/0!</v>
      </c>
      <c r="AF149" s="24">
        <f t="shared" si="126"/>
        <v>-1.3813605360053118</v>
      </c>
      <c r="AG149" s="24">
        <f>(AG119-AF119)/ABS(AF119)</f>
        <v>0.10567271621210585</v>
      </c>
    </row>
    <row r="150" spans="2:33" s="24" customFormat="1" x14ac:dyDescent="0.35">
      <c r="G150" s="55"/>
      <c r="K150" s="55"/>
      <c r="O150" s="55"/>
    </row>
    <row r="151" spans="2:33" s="24" customFormat="1" x14ac:dyDescent="0.35">
      <c r="G151" s="55"/>
      <c r="K151" s="55"/>
      <c r="O151" s="55"/>
    </row>
    <row r="152" spans="2:33" s="24" customFormat="1" x14ac:dyDescent="0.35">
      <c r="G152" s="55"/>
      <c r="K152" s="55"/>
      <c r="O152" s="55"/>
    </row>
    <row r="153" spans="2:33" s="29" customFormat="1" x14ac:dyDescent="0.35">
      <c r="B153" s="29" t="s">
        <v>193</v>
      </c>
      <c r="G153" s="56"/>
      <c r="K153" s="56"/>
      <c r="O153" s="56"/>
    </row>
    <row r="154" spans="2:33" x14ac:dyDescent="0.35">
      <c r="B154" t="s">
        <v>194</v>
      </c>
      <c r="M154">
        <v>-0.12</v>
      </c>
      <c r="N154">
        <v>-0.13</v>
      </c>
      <c r="O154" s="46">
        <v>-0.18</v>
      </c>
      <c r="P154">
        <v>-0.16</v>
      </c>
    </row>
    <row r="155" spans="2:33" x14ac:dyDescent="0.35">
      <c r="B155" t="s">
        <v>195</v>
      </c>
      <c r="M155">
        <v>-0.16</v>
      </c>
      <c r="N155">
        <v>-0.43</v>
      </c>
      <c r="O155" s="46">
        <v>-0.18</v>
      </c>
      <c r="P155">
        <v>-0.16</v>
      </c>
    </row>
    <row r="156" spans="2:33" s="24" customFormat="1" x14ac:dyDescent="0.35">
      <c r="B156" s="24" t="s">
        <v>196</v>
      </c>
      <c r="G156" s="55"/>
      <c r="K156" s="55"/>
      <c r="M156" s="24">
        <f>(M155-M154)/ABS(M154)</f>
        <v>-0.33333333333333343</v>
      </c>
      <c r="N156" s="24">
        <f>(N155-N154)/ABS(N154)</f>
        <v>-2.3076923076923075</v>
      </c>
      <c r="O156" s="55">
        <f>(O155-O154)/ABS(O154)</f>
        <v>0</v>
      </c>
      <c r="P156" s="24">
        <f>(P155-P154)/ABS(P154)</f>
        <v>0</v>
      </c>
    </row>
  </sheetData>
  <pageMargins left="0.7" right="0.7" top="0.75" bottom="0.75" header="0.3" footer="0.3"/>
  <ignoredErrors>
    <ignoredError sqref="AF108:AG108 P108 P110:P111 J108:O108 G140:I140" formulaRange="1"/>
    <ignoredError sqref="J55:N55 J51:N51 J53:N53" formula="1"/>
  </ignoredErrors>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Info</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2023-09-17T18:28:44Z</dcterms:created>
  <dcterms:modified xsi:type="dcterms:W3CDTF">2024-09-04T06:36:22Z</dcterms:modified>
</cp:coreProperties>
</file>