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Laptop User\Downloads\"/>
    </mc:Choice>
  </mc:AlternateContent>
  <bookViews>
    <workbookView xWindow="0" yWindow="0" windowWidth="20220" windowHeight="7680" tabRatio="640"/>
  </bookViews>
  <sheets>
    <sheet name="NGN" sheetId="3" r:id="rId1"/>
    <sheet name="USD" sheetId="1" r:id="rId2"/>
  </sheets>
  <calcPr calcId="152511"/>
</workbook>
</file>

<file path=xl/calcChain.xml><?xml version="1.0" encoding="utf-8"?>
<calcChain xmlns="http://schemas.openxmlformats.org/spreadsheetml/2006/main">
  <c r="V1345" i="1" l="1"/>
  <c r="T1345" i="1"/>
  <c r="O1345" i="1"/>
  <c r="Y749" i="3"/>
  <c r="S748" i="3"/>
  <c r="AA748" i="3" s="1"/>
  <c r="Y748" i="3"/>
  <c r="P748" i="3"/>
  <c r="S747" i="3" l="1"/>
  <c r="P747" i="3" l="1"/>
  <c r="AA747" i="3" l="1"/>
  <c r="Y747" i="3"/>
  <c r="V1344" i="1"/>
  <c r="T1344" i="1"/>
  <c r="O1344" i="1"/>
  <c r="V1343" i="1" l="1"/>
  <c r="T1341" i="1"/>
  <c r="T1342" i="1"/>
  <c r="T1343" i="1"/>
  <c r="T1340" i="1"/>
  <c r="O1334" i="1"/>
  <c r="O1341" i="1"/>
  <c r="O1342" i="1"/>
  <c r="O1343" i="1"/>
  <c r="S746" i="3" l="1"/>
  <c r="AA746" i="3"/>
  <c r="Y744" i="3"/>
  <c r="Y745" i="3"/>
  <c r="Y746" i="3"/>
  <c r="P746" i="3"/>
  <c r="O1340" i="1" l="1"/>
  <c r="V1340" i="1"/>
  <c r="S743" i="3" l="1"/>
  <c r="AA743" i="3"/>
  <c r="Y743" i="3"/>
  <c r="P744" i="3"/>
  <c r="P745" i="3"/>
  <c r="P743" i="3"/>
  <c r="V1339" i="1" l="1"/>
  <c r="T1339" i="1"/>
  <c r="O1339" i="1"/>
  <c r="S742" i="3"/>
  <c r="AA742" i="3" s="1"/>
  <c r="P742" i="3"/>
  <c r="S741" i="3"/>
  <c r="O1338" i="1" l="1"/>
  <c r="AA741" i="3" l="1"/>
  <c r="Y742" i="3"/>
  <c r="P741" i="3"/>
  <c r="V1338" i="1"/>
  <c r="T1338" i="1"/>
  <c r="O1337" i="1" l="1"/>
  <c r="V1337" i="1"/>
  <c r="T1337" i="1"/>
  <c r="O1336" i="1"/>
  <c r="Y741" i="3" l="1"/>
  <c r="T1330" i="1" l="1"/>
  <c r="T1331" i="1"/>
  <c r="T1332" i="1"/>
  <c r="T1333" i="1"/>
  <c r="T1334" i="1"/>
  <c r="T1335" i="1"/>
  <c r="T1336" i="1"/>
  <c r="V1336" i="1"/>
  <c r="O1335" i="1" l="1"/>
  <c r="V1333" i="1" l="1"/>
  <c r="O1333" i="1"/>
  <c r="V1332" i="1" l="1"/>
  <c r="O1332" i="1"/>
  <c r="V1331" i="1" l="1"/>
  <c r="O1331" i="1"/>
  <c r="V1330" i="1" l="1"/>
  <c r="O1330" i="1"/>
  <c r="V1329" i="1" l="1"/>
  <c r="T1327" i="1"/>
  <c r="T1328" i="1"/>
  <c r="T1329" i="1"/>
  <c r="O1327" i="1"/>
  <c r="O1328" i="1"/>
  <c r="O1329" i="1"/>
  <c r="V1326" i="1" l="1"/>
  <c r="T1326" i="1"/>
  <c r="O1326" i="1"/>
  <c r="T1325" i="1" l="1"/>
  <c r="V1325" i="1"/>
  <c r="O1325" i="1"/>
  <c r="O1324" i="1" l="1"/>
  <c r="T1324" i="1"/>
  <c r="V1324" i="1"/>
  <c r="V1323" i="1" l="1"/>
  <c r="T1323" i="1" l="1"/>
  <c r="T1318" i="1"/>
  <c r="T1319" i="1"/>
  <c r="T1320" i="1"/>
  <c r="T1321" i="1"/>
  <c r="T1322" i="1"/>
  <c r="O1323" i="1"/>
  <c r="O1320" i="1" l="1"/>
  <c r="O1321" i="1"/>
  <c r="O1322" i="1"/>
  <c r="V1322" i="1" l="1"/>
  <c r="V1319" i="1" l="1"/>
  <c r="O1319" i="1"/>
  <c r="O1318" i="1" l="1"/>
  <c r="V1318" i="1"/>
  <c r="V1317" i="1" l="1"/>
  <c r="V1316" i="1"/>
  <c r="T1317" i="1"/>
  <c r="O1317" i="1"/>
  <c r="T1316" i="1" l="1"/>
  <c r="O1316" i="1"/>
  <c r="O1314" i="1" l="1"/>
  <c r="O1313" i="1"/>
  <c r="O1315" i="1"/>
  <c r="T1313" i="1" l="1"/>
  <c r="T1314" i="1"/>
  <c r="T1315" i="1"/>
  <c r="V1315" i="1"/>
  <c r="V1312" i="1"/>
  <c r="O1312" i="1"/>
  <c r="T1312" i="1" l="1"/>
  <c r="O1311" i="1"/>
  <c r="V1311" i="1" l="1"/>
  <c r="T1311" i="1"/>
  <c r="T1310" i="1" l="1"/>
  <c r="V1310" i="1" l="1"/>
  <c r="O1310" i="1"/>
  <c r="O1309" i="1" l="1"/>
  <c r="V1309" i="1" l="1"/>
  <c r="T1309" i="1"/>
  <c r="T1306" i="1" l="1"/>
  <c r="T1307" i="1"/>
  <c r="T1308" i="1"/>
  <c r="V1308" i="1"/>
  <c r="O1306" i="1"/>
  <c r="O1307" i="1"/>
  <c r="O1308" i="1"/>
  <c r="V1305" i="1" l="1"/>
  <c r="T1305" i="1"/>
  <c r="O1305" i="1"/>
  <c r="T1304" i="1" l="1"/>
  <c r="O1304" i="1"/>
  <c r="V1304" i="1"/>
  <c r="V1303" i="1" l="1"/>
  <c r="T1303" i="1"/>
  <c r="O1303" i="1"/>
  <c r="O1299" i="1" l="1"/>
  <c r="O1300" i="1"/>
  <c r="O1301" i="1"/>
  <c r="O1302" i="1"/>
  <c r="T1299" i="1"/>
  <c r="T1300" i="1"/>
  <c r="T1301" i="1"/>
  <c r="T1302" i="1"/>
  <c r="V1302" i="1"/>
  <c r="T1297" i="1" l="1"/>
  <c r="T1298" i="1"/>
  <c r="V1298" i="1"/>
  <c r="O1297" i="1"/>
  <c r="O1298" i="1"/>
  <c r="V1297" i="1" l="1"/>
  <c r="V1296" i="1" l="1"/>
  <c r="T1296" i="1"/>
  <c r="O1296" i="1"/>
  <c r="T1295" i="1" l="1"/>
  <c r="O1295" i="1"/>
  <c r="V1295" i="1"/>
  <c r="T1291" i="1" l="1"/>
  <c r="T1292" i="1"/>
  <c r="T1293" i="1"/>
  <c r="T1294" i="1"/>
  <c r="O1292" i="1" l="1"/>
  <c r="O1293" i="1"/>
  <c r="O1294" i="1"/>
  <c r="V1294" i="1" l="1"/>
  <c r="O1291" i="1" l="1"/>
  <c r="V1291" i="1"/>
  <c r="V1290" i="1" l="1"/>
  <c r="T1290" i="1"/>
  <c r="O1290" i="1"/>
  <c r="V1289" i="1" l="1"/>
  <c r="T1289" i="1"/>
  <c r="O1288" i="1"/>
  <c r="O1289" i="1"/>
  <c r="T1288" i="1"/>
  <c r="V1288" i="1"/>
  <c r="V1287" i="1" l="1"/>
  <c r="T1285" i="1" l="1"/>
  <c r="T1286" i="1"/>
  <c r="T1287" i="1"/>
  <c r="O1285" i="1"/>
  <c r="O1286" i="1"/>
  <c r="O1287" i="1"/>
  <c r="V1284" i="1" l="1"/>
  <c r="T1284" i="1"/>
  <c r="O1284" i="1"/>
  <c r="O1282" i="1" l="1"/>
  <c r="O1283" i="1"/>
  <c r="T1282" i="1"/>
  <c r="T1283" i="1"/>
  <c r="V1282" i="1"/>
  <c r="V1283" i="1"/>
  <c r="O1281" i="1" l="1"/>
  <c r="T1281" i="1"/>
  <c r="V1281" i="1"/>
  <c r="O1278" i="1" l="1"/>
  <c r="O1279" i="1"/>
  <c r="O1280" i="1"/>
  <c r="T1278" i="1"/>
  <c r="T1279" i="1"/>
  <c r="T1280" i="1"/>
  <c r="V1280" i="1"/>
  <c r="O1277" i="1" l="1"/>
  <c r="T1277" i="1"/>
  <c r="V1277" i="1"/>
  <c r="V1276" i="1" l="1"/>
  <c r="T1276" i="1"/>
  <c r="O1276" i="1"/>
  <c r="T1275" i="1" l="1"/>
  <c r="O1275" i="1"/>
  <c r="V1275" i="1"/>
  <c r="V1274" i="1" l="1"/>
  <c r="T1274" i="1"/>
  <c r="O1274" i="1"/>
  <c r="V1273" i="1" l="1"/>
  <c r="T1271" i="1"/>
  <c r="T1272" i="1"/>
  <c r="T1273" i="1"/>
  <c r="O1271" i="1"/>
  <c r="O1272" i="1"/>
  <c r="O1273" i="1"/>
  <c r="O1270" i="1" l="1"/>
  <c r="T1270" i="1"/>
  <c r="V1270" i="1"/>
  <c r="O1269" i="1" l="1"/>
  <c r="T1269" i="1"/>
  <c r="V1269" i="1"/>
  <c r="T1268" i="1" l="1"/>
  <c r="V1268" i="1"/>
  <c r="O1268" i="1"/>
  <c r="V1267" i="1" l="1"/>
  <c r="O1267" i="1"/>
  <c r="T1267" i="1"/>
  <c r="O1264" i="1" l="1"/>
  <c r="O1265" i="1"/>
  <c r="O1266" i="1"/>
  <c r="T1264" i="1"/>
  <c r="T1265" i="1"/>
  <c r="T1266" i="1"/>
  <c r="O1263" i="1" l="1"/>
  <c r="T1263" i="1"/>
  <c r="T1262" i="1"/>
  <c r="V1263" i="1"/>
  <c r="O1262" i="1" l="1"/>
  <c r="V1262" i="1"/>
  <c r="V1261" i="1" l="1"/>
  <c r="T1261" i="1"/>
  <c r="O1261" i="1"/>
  <c r="V1260" i="1" l="1"/>
  <c r="T1260" i="1"/>
  <c r="O1260" i="1"/>
  <c r="T1257" i="1" l="1"/>
  <c r="T1258" i="1"/>
  <c r="T1259" i="1"/>
  <c r="V1259" i="1"/>
  <c r="O1257" i="1"/>
  <c r="O1258" i="1"/>
  <c r="O1259" i="1"/>
  <c r="V1256" i="1" l="1"/>
  <c r="T1256" i="1"/>
  <c r="O1256" i="1"/>
  <c r="V1255" i="1" l="1"/>
  <c r="T1255" i="1"/>
  <c r="O1255" i="1"/>
  <c r="V1254" i="1" l="1"/>
  <c r="O1254" i="1"/>
  <c r="T1254" i="1"/>
  <c r="O1250" i="1" l="1"/>
  <c r="O1251" i="1"/>
  <c r="O1252" i="1"/>
  <c r="O1253" i="1"/>
  <c r="T1250" i="1"/>
  <c r="T1251" i="1"/>
  <c r="T1252" i="1"/>
  <c r="T1253" i="1"/>
  <c r="V1253" i="1"/>
  <c r="T1249" i="1" l="1"/>
  <c r="O1249" i="1"/>
  <c r="V1249" i="1"/>
  <c r="V1246" i="1" l="1"/>
  <c r="T1248" i="1" l="1"/>
  <c r="O1248" i="1"/>
  <c r="V1248" i="1"/>
  <c r="V1247" i="1" l="1"/>
  <c r="O1247" i="1"/>
  <c r="T1247" i="1"/>
  <c r="T1242" i="1" l="1"/>
  <c r="T1243" i="1"/>
  <c r="T1244" i="1"/>
  <c r="T1245" i="1"/>
  <c r="T1246" i="1"/>
  <c r="O1242" i="1"/>
  <c r="O1243" i="1"/>
  <c r="O1244" i="1"/>
  <c r="O1245" i="1"/>
  <c r="O1246" i="1"/>
  <c r="V1241" i="1" l="1"/>
  <c r="T1241" i="1"/>
  <c r="O1241" i="1"/>
  <c r="T1240" i="1" l="1"/>
  <c r="V1240" i="1"/>
  <c r="O1240" i="1"/>
  <c r="V1239" i="1" l="1"/>
  <c r="T1239" i="1"/>
  <c r="O1239" i="1"/>
  <c r="V1238" i="1" l="1"/>
  <c r="T1236" i="1"/>
  <c r="T1237" i="1"/>
  <c r="T1238" i="1"/>
  <c r="O1236" i="1"/>
  <c r="O1237" i="1"/>
  <c r="O1238" i="1"/>
  <c r="V1235" i="1" l="1"/>
  <c r="O1234" i="1" l="1"/>
  <c r="O1235" i="1"/>
  <c r="T1235" i="1"/>
  <c r="T1234" i="1"/>
  <c r="V1234" i="1"/>
  <c r="V1233" i="1" l="1"/>
  <c r="T1233" i="1"/>
  <c r="O1233" i="1"/>
  <c r="O1232" i="1" l="1"/>
  <c r="T1232" i="1"/>
  <c r="V1232" i="1"/>
  <c r="V1231" i="1" l="1"/>
  <c r="T1229" i="1"/>
  <c r="T1230" i="1"/>
  <c r="T1231" i="1"/>
  <c r="O1229" i="1"/>
  <c r="O1230" i="1"/>
  <c r="O1231" i="1"/>
  <c r="O1228" i="1" l="1"/>
  <c r="T1228" i="1"/>
  <c r="V1228" i="1"/>
  <c r="O1227" i="1" l="1"/>
  <c r="T1227" i="1"/>
  <c r="V1227" i="1"/>
  <c r="V1226" i="1" l="1"/>
  <c r="T1226" i="1"/>
  <c r="O1226" i="1"/>
  <c r="V1225" i="1" l="1"/>
  <c r="T1225" i="1"/>
  <c r="O1225" i="1"/>
  <c r="O1222" i="1" l="1"/>
  <c r="O1223" i="1"/>
  <c r="O1224" i="1"/>
  <c r="T1222" i="1"/>
  <c r="T1223" i="1"/>
  <c r="T1224" i="1"/>
  <c r="V1224" i="1"/>
  <c r="V1221" i="1" l="1"/>
  <c r="T1221" i="1"/>
  <c r="O1221" i="1"/>
  <c r="O1220" i="1" l="1"/>
  <c r="T1220" i="1"/>
  <c r="V1220" i="1"/>
  <c r="T1219" i="1" l="1"/>
  <c r="V1219" i="1"/>
  <c r="O1219" i="1"/>
  <c r="T1218" i="1" l="1"/>
  <c r="O1218" i="1" l="1"/>
  <c r="V1218" i="1"/>
  <c r="V1217" i="1" l="1"/>
  <c r="T1216" i="1"/>
  <c r="T1217" i="1"/>
  <c r="O1216" i="1"/>
  <c r="O1217" i="1"/>
  <c r="O1215" i="1"/>
  <c r="T1215" i="1"/>
  <c r="O1214" i="1" l="1"/>
  <c r="T1212" i="1"/>
  <c r="T1213" i="1"/>
  <c r="T1214" i="1"/>
  <c r="O1213" i="1"/>
  <c r="V1212" i="1" l="1"/>
  <c r="O1212" i="1"/>
  <c r="V1211" i="1" l="1"/>
  <c r="T1211" i="1"/>
  <c r="O1211" i="1"/>
  <c r="V1210" i="1" l="1"/>
  <c r="T1208" i="1" l="1"/>
  <c r="T1209" i="1"/>
  <c r="T1210" i="1"/>
  <c r="O1208" i="1"/>
  <c r="O1209" i="1"/>
  <c r="O1210" i="1"/>
  <c r="O1207" i="1" l="1"/>
  <c r="T1207" i="1"/>
  <c r="V1207" i="1"/>
  <c r="O1206" i="1" l="1"/>
  <c r="T1206" i="1"/>
  <c r="V1206" i="1"/>
  <c r="V1205" i="1" l="1"/>
  <c r="T1205" i="1"/>
  <c r="O1205" i="1"/>
  <c r="O1204" i="1" l="1"/>
  <c r="T1204" i="1"/>
  <c r="V1204" i="1"/>
  <c r="O1200" i="1" l="1"/>
  <c r="O1201" i="1"/>
  <c r="O1202" i="1"/>
  <c r="O1203" i="1"/>
  <c r="T1201" i="1"/>
  <c r="T1202" i="1"/>
  <c r="T1203" i="1"/>
  <c r="T1200" i="1" l="1"/>
  <c r="V1199" i="1" l="1"/>
  <c r="T1199" i="1"/>
  <c r="O1199" i="1"/>
  <c r="O1198" i="1" l="1"/>
  <c r="T1198" i="1"/>
  <c r="V1198" i="1"/>
  <c r="V1197" i="1" l="1"/>
  <c r="O1197" i="1"/>
  <c r="T1197" i="1"/>
  <c r="V1196" i="1" l="1"/>
  <c r="O1194" i="1" l="1"/>
  <c r="O1195" i="1"/>
  <c r="O1196" i="1"/>
  <c r="T1194" i="1"/>
  <c r="T1195" i="1"/>
  <c r="T1196" i="1"/>
  <c r="V1193" i="1" l="1"/>
  <c r="T1193" i="1"/>
  <c r="O1193" i="1"/>
  <c r="V1192" i="1" l="1"/>
  <c r="T1192" i="1"/>
  <c r="O1192" i="1"/>
  <c r="O1191" i="1" l="1"/>
  <c r="T1191" i="1"/>
  <c r="V1191" i="1"/>
  <c r="T1190" i="1" l="1"/>
  <c r="V1190" i="1"/>
  <c r="O1190" i="1"/>
  <c r="O1187" i="1" l="1"/>
  <c r="O1188" i="1"/>
  <c r="O1189" i="1"/>
  <c r="T1187" i="1"/>
  <c r="T1188" i="1"/>
  <c r="T1189" i="1"/>
  <c r="V1189" i="1"/>
  <c r="V1186" i="1" l="1"/>
  <c r="T1186" i="1"/>
  <c r="O1186" i="1"/>
  <c r="O1185" i="1" l="1"/>
  <c r="T1185" i="1"/>
  <c r="V1185" i="1"/>
  <c r="V1184" i="1" l="1"/>
  <c r="T1184" i="1"/>
  <c r="O1184" i="1"/>
  <c r="O1183" i="1" l="1"/>
  <c r="V1183" i="1"/>
  <c r="T1183" i="1"/>
  <c r="T1182" i="1" l="1"/>
  <c r="T1180" i="1" l="1"/>
  <c r="T1181" i="1"/>
  <c r="V1182" i="1"/>
  <c r="O1180" i="1"/>
  <c r="O1181" i="1"/>
  <c r="O1182" i="1"/>
  <c r="V1179" i="1" l="1"/>
  <c r="O1179" i="1"/>
  <c r="T1179" i="1"/>
  <c r="T1178" i="1" l="1"/>
  <c r="O1178" i="1"/>
  <c r="V1178" i="1"/>
  <c r="O1177" i="1" l="1"/>
  <c r="T1177" i="1"/>
  <c r="V1177" i="1"/>
  <c r="O1176" i="1" l="1"/>
  <c r="T1176" i="1"/>
  <c r="V1176" i="1"/>
  <c r="T1173" i="1" l="1"/>
  <c r="T1174" i="1"/>
  <c r="T1175" i="1"/>
  <c r="O1173" i="1"/>
  <c r="O1174" i="1"/>
  <c r="O1175" i="1"/>
  <c r="V1175" i="1" l="1"/>
  <c r="O1172" i="1" l="1"/>
  <c r="V1172" i="1"/>
  <c r="V1171" i="1"/>
  <c r="V1170" i="1"/>
  <c r="T1172" i="1"/>
  <c r="O1171" i="1" l="1"/>
  <c r="O1170" i="1"/>
  <c r="T1171" i="1" l="1"/>
  <c r="O1165" i="1" l="1"/>
  <c r="O1169" i="1" l="1"/>
  <c r="O1168" i="1"/>
  <c r="O1167" i="1"/>
  <c r="O1166" i="1"/>
  <c r="T1170" i="1" l="1"/>
  <c r="T1166" i="1"/>
  <c r="T1167" i="1"/>
  <c r="T1168" i="1"/>
  <c r="T1169" i="1"/>
  <c r="V1165" i="1" l="1"/>
  <c r="T1165" i="1"/>
  <c r="Q1164" i="1" l="1"/>
  <c r="T1164" i="1" s="1"/>
  <c r="O1164" i="1"/>
  <c r="V1164" i="1" l="1"/>
  <c r="V1163" i="1"/>
  <c r="T1163" i="1"/>
  <c r="O1163" i="1"/>
  <c r="O1162" i="1" l="1"/>
  <c r="T1162" i="1"/>
  <c r="V1162" i="1"/>
  <c r="V1161" i="1" l="1"/>
  <c r="O1159" i="1"/>
  <c r="O1160" i="1" l="1"/>
  <c r="O1161" i="1"/>
  <c r="T1159" i="1"/>
  <c r="T1160" i="1"/>
  <c r="T1161" i="1"/>
  <c r="T1158" i="1"/>
  <c r="O1158" i="1"/>
  <c r="V1158" i="1"/>
  <c r="V1157" i="1" l="1"/>
  <c r="T1157" i="1"/>
  <c r="O1157" i="1"/>
  <c r="V1156" i="1" l="1"/>
  <c r="T1156" i="1"/>
  <c r="O1156" i="1"/>
  <c r="V1155" i="1" l="1"/>
  <c r="T1155" i="1"/>
  <c r="O1155" i="1"/>
  <c r="O1154" i="1" l="1"/>
  <c r="O1152" i="1" l="1"/>
  <c r="O1153" i="1"/>
  <c r="V1154" i="1"/>
  <c r="T1152" i="1"/>
  <c r="T1153" i="1"/>
  <c r="T1154" i="1"/>
  <c r="V1151" i="1" l="1"/>
  <c r="T1151" i="1"/>
  <c r="O1151" i="1"/>
  <c r="T1150" i="1" l="1"/>
  <c r="O1150" i="1"/>
  <c r="V1150" i="1"/>
  <c r="V1149" i="1"/>
  <c r="T1149" i="1"/>
  <c r="O1149" i="1"/>
  <c r="V1148" i="1" l="1"/>
  <c r="T1148" i="1"/>
  <c r="O1148" i="1"/>
  <c r="V1147" i="1" l="1"/>
  <c r="T1145" i="1"/>
  <c r="T1146" i="1"/>
  <c r="T1147" i="1"/>
  <c r="O1145" i="1"/>
  <c r="O1146" i="1"/>
  <c r="O1147" i="1"/>
  <c r="V1144" i="1" l="1"/>
  <c r="T1144" i="1"/>
  <c r="O1144" i="1"/>
  <c r="V1143" i="1" l="1"/>
  <c r="T1143" i="1"/>
  <c r="O1143" i="1"/>
  <c r="V1142" i="1" l="1"/>
  <c r="T1142" i="1"/>
  <c r="O1142" i="1"/>
  <c r="V1141" i="1" l="1"/>
  <c r="T1141" i="1"/>
  <c r="O1141" i="1"/>
  <c r="V1140" i="1" l="1"/>
  <c r="T1138" i="1"/>
  <c r="T1139" i="1"/>
  <c r="T1140" i="1"/>
  <c r="O1138" i="1" l="1"/>
  <c r="O1139" i="1"/>
  <c r="O1140" i="1"/>
  <c r="V1137" i="1" l="1"/>
  <c r="T1136" i="1"/>
  <c r="T1137" i="1"/>
  <c r="O1137" i="1"/>
  <c r="V1136" i="1" l="1"/>
  <c r="O1136" i="1"/>
  <c r="V1135" i="1" l="1"/>
  <c r="T1135" i="1"/>
  <c r="O1135" i="1"/>
  <c r="V1131" i="1" l="1"/>
  <c r="V1132" i="1"/>
  <c r="V1133" i="1"/>
  <c r="V1134" i="1"/>
  <c r="T1131" i="1"/>
  <c r="T1132" i="1"/>
  <c r="T1133" i="1"/>
  <c r="T1134" i="1"/>
  <c r="O1131" i="1"/>
  <c r="O1132" i="1"/>
  <c r="O1133" i="1"/>
  <c r="O1134" i="1"/>
  <c r="V1130" i="1" l="1"/>
  <c r="T1130" i="1"/>
  <c r="O1130" i="1"/>
  <c r="V1129" i="1" l="1"/>
  <c r="T1129" i="1"/>
  <c r="O1129" i="1"/>
  <c r="V1128" i="1" l="1"/>
  <c r="T1128" i="1"/>
  <c r="O1128" i="1"/>
  <c r="V1127" i="1" l="1"/>
  <c r="T1127" i="1" l="1"/>
  <c r="O1127" i="1"/>
  <c r="V1126" i="1" l="1"/>
  <c r="T1124" i="1"/>
  <c r="T1125" i="1"/>
  <c r="T1126" i="1"/>
  <c r="O1126" i="1"/>
  <c r="O1124" i="1"/>
  <c r="O1125" i="1"/>
  <c r="V1123" i="1" l="1"/>
  <c r="T1123" i="1"/>
  <c r="O1123" i="1"/>
  <c r="V1122" i="1" l="1"/>
  <c r="T1122" i="1"/>
  <c r="O1122" i="1"/>
  <c r="V1121" i="1" l="1"/>
  <c r="T1121" i="1"/>
  <c r="O1121" i="1"/>
  <c r="V1120" i="1" l="1"/>
  <c r="T1120" i="1"/>
  <c r="O1120" i="1"/>
  <c r="V1119" i="1" l="1"/>
  <c r="T1117" i="1"/>
  <c r="T1118" i="1"/>
  <c r="T1119" i="1"/>
  <c r="O1119" i="1" l="1"/>
  <c r="O1117" i="1"/>
  <c r="O1118" i="1"/>
  <c r="V1116" i="1"/>
  <c r="T1116" i="1"/>
  <c r="O1116" i="1"/>
  <c r="V1115" i="1" l="1"/>
  <c r="T1115" i="1" l="1"/>
  <c r="O1115" i="1"/>
  <c r="V1114" i="1" l="1"/>
  <c r="T1114" i="1"/>
  <c r="O1114" i="1"/>
  <c r="O1113" i="1" l="1"/>
  <c r="T1113" i="1"/>
  <c r="V1113" i="1"/>
  <c r="V1112" i="1" l="1"/>
  <c r="O1110" i="1"/>
  <c r="O1111" i="1"/>
  <c r="O1112" i="1"/>
  <c r="T1110" i="1"/>
  <c r="T1111" i="1"/>
  <c r="T1112" i="1"/>
  <c r="V1109" i="1" l="1"/>
  <c r="T1109" i="1"/>
  <c r="O1109" i="1"/>
  <c r="V1108" i="1" l="1"/>
  <c r="T1108" i="1"/>
  <c r="O1108" i="1"/>
  <c r="V1107" i="1" l="1"/>
  <c r="T1107" i="1"/>
  <c r="O1107" i="1"/>
  <c r="V1106" i="1" l="1"/>
  <c r="T1106" i="1"/>
  <c r="O1106" i="1"/>
  <c r="V1105" i="1" l="1"/>
  <c r="T1103" i="1"/>
  <c r="T1104" i="1"/>
  <c r="T1105" i="1"/>
  <c r="O1103" i="1"/>
  <c r="O1104" i="1"/>
  <c r="O1105" i="1"/>
  <c r="V1102" i="1" l="1"/>
  <c r="T1102" i="1"/>
  <c r="O1102" i="1"/>
  <c r="V1101" i="1" l="1"/>
  <c r="T1101" i="1"/>
  <c r="O1101" i="1"/>
  <c r="V1100" i="1" l="1"/>
  <c r="T1100" i="1"/>
  <c r="O1100" i="1"/>
  <c r="V1099" i="1" l="1"/>
  <c r="T1099" i="1"/>
  <c r="O1099" i="1"/>
  <c r="V1098" i="1" l="1"/>
  <c r="T1096" i="1"/>
  <c r="T1097" i="1"/>
  <c r="T1098" i="1"/>
  <c r="O1096" i="1" l="1"/>
  <c r="O1097" i="1"/>
  <c r="O1098" i="1"/>
  <c r="V1095" i="1" l="1"/>
  <c r="T1094" i="1"/>
  <c r="T1095" i="1"/>
  <c r="O1095" i="1"/>
  <c r="O1094" i="1" l="1"/>
  <c r="V1094" i="1"/>
  <c r="V1093" i="1" l="1"/>
  <c r="T1093" i="1"/>
  <c r="O1093" i="1"/>
  <c r="V1092" i="1" l="1"/>
  <c r="T1092" i="1"/>
  <c r="O1092" i="1"/>
  <c r="T1089" i="1" l="1"/>
  <c r="T1090" i="1"/>
  <c r="T1091" i="1"/>
  <c r="V1091" i="1"/>
  <c r="O1089" i="1"/>
  <c r="O1090" i="1"/>
  <c r="O1091" i="1"/>
  <c r="V1088" i="1" l="1"/>
  <c r="T1088" i="1"/>
  <c r="O1088" i="1"/>
  <c r="V1087" i="1" l="1"/>
  <c r="T1087" i="1"/>
  <c r="O1087" i="1"/>
  <c r="V1086" i="1" l="1"/>
  <c r="T1086" i="1"/>
  <c r="O1086" i="1"/>
  <c r="V1085" i="1" l="1"/>
  <c r="T1085" i="1"/>
  <c r="O1085" i="1"/>
  <c r="V1084" i="1" l="1"/>
  <c r="T1082" i="1"/>
  <c r="T1083" i="1"/>
  <c r="T1084" i="1"/>
  <c r="O1082" i="1"/>
  <c r="O1083" i="1"/>
  <c r="O1084" i="1"/>
  <c r="V1081" i="1" l="1"/>
  <c r="T1081" i="1"/>
  <c r="O1081" i="1"/>
  <c r="T1080" i="1" l="1"/>
  <c r="V1080" i="1"/>
  <c r="O1080" i="1"/>
  <c r="O1078" i="1" l="1"/>
  <c r="O1079" i="1"/>
  <c r="T1078" i="1"/>
  <c r="T1079" i="1"/>
  <c r="V1079" i="1"/>
  <c r="V1078" i="1"/>
  <c r="O1075" i="1" l="1"/>
  <c r="O1076" i="1"/>
  <c r="O1077" i="1"/>
  <c r="T1074" i="1"/>
  <c r="T1075" i="1"/>
  <c r="T1076" i="1"/>
  <c r="T1077" i="1"/>
  <c r="V1077" i="1"/>
  <c r="O1074" i="1"/>
  <c r="V1074" i="1"/>
  <c r="T1073" i="1" l="1"/>
  <c r="V1073" i="1"/>
  <c r="O1073" i="1"/>
  <c r="O1072" i="1" l="1"/>
  <c r="T1072" i="1"/>
  <c r="V1072" i="1"/>
  <c r="T1068" i="1" l="1"/>
  <c r="T1069" i="1"/>
  <c r="T1070" i="1"/>
  <c r="T1071" i="1"/>
  <c r="O1068" i="1"/>
  <c r="O1069" i="1"/>
  <c r="O1070" i="1"/>
  <c r="O1071" i="1"/>
  <c r="T1067" i="1" l="1"/>
  <c r="O1067" i="1"/>
  <c r="V1067" i="1"/>
  <c r="V1066" i="1" l="1"/>
  <c r="T1066" i="1"/>
  <c r="O1066" i="1"/>
  <c r="V1065" i="1" l="1"/>
  <c r="T1065" i="1"/>
  <c r="O1065" i="1"/>
  <c r="V1064" i="1" l="1"/>
  <c r="T1064" i="1"/>
  <c r="O1064" i="1"/>
  <c r="T1061" i="1" l="1"/>
  <c r="T1062" i="1"/>
  <c r="T1063" i="1"/>
  <c r="V1063" i="1"/>
  <c r="O1063" i="1"/>
  <c r="O1062" i="1"/>
  <c r="O1061" i="1"/>
  <c r="V1060" i="1" l="1"/>
  <c r="T1060" i="1"/>
  <c r="O1060" i="1"/>
  <c r="V1059" i="1" l="1"/>
  <c r="T1059" i="1"/>
  <c r="O1059" i="1"/>
  <c r="V1058" i="1" l="1"/>
  <c r="T1058" i="1"/>
  <c r="O1058" i="1"/>
  <c r="T1054" i="1" l="1"/>
  <c r="T1055" i="1"/>
  <c r="T1056" i="1"/>
  <c r="T1057" i="1"/>
  <c r="O1054" i="1"/>
  <c r="O1055" i="1"/>
  <c r="O1056" i="1"/>
  <c r="O1057" i="1"/>
  <c r="V1053" i="1" l="1"/>
  <c r="T1053" i="1"/>
  <c r="O1053" i="1"/>
  <c r="V1052" i="1" l="1"/>
  <c r="T1052" i="1"/>
  <c r="O1052" i="1"/>
  <c r="V1051" i="1" l="1"/>
  <c r="T1051" i="1"/>
  <c r="O1051" i="1"/>
  <c r="V1050" i="1" l="1"/>
  <c r="T1050" i="1"/>
  <c r="O1050" i="1"/>
  <c r="V1049" i="1" l="1"/>
  <c r="T1047" i="1"/>
  <c r="T1048" i="1"/>
  <c r="T1049" i="1"/>
  <c r="O1047" i="1"/>
  <c r="O1048" i="1"/>
  <c r="O1049" i="1"/>
  <c r="V1046" i="1" l="1"/>
  <c r="T1046" i="1"/>
  <c r="O1046" i="1"/>
  <c r="V1045" i="1" l="1"/>
  <c r="T1045" i="1"/>
  <c r="O1045" i="1"/>
  <c r="T1044" i="1" l="1"/>
  <c r="V1044" i="1"/>
  <c r="O1044" i="1"/>
  <c r="V1043" i="1" l="1"/>
  <c r="T1043" i="1"/>
  <c r="O1043" i="1"/>
  <c r="T1040" i="1" l="1"/>
  <c r="T1041" i="1"/>
  <c r="T1042" i="1"/>
  <c r="V1042" i="1"/>
  <c r="O1040" i="1"/>
  <c r="O1041" i="1"/>
  <c r="O1042" i="1"/>
  <c r="T1039" i="1" l="1"/>
  <c r="V1039" i="1"/>
  <c r="O1039" i="1"/>
  <c r="V1038" i="1" l="1"/>
  <c r="T1038" i="1"/>
  <c r="O1038" i="1"/>
  <c r="O1037" i="1" l="1"/>
  <c r="O1036" i="1" l="1"/>
  <c r="V1037" i="1"/>
  <c r="T1035" i="1" l="1"/>
  <c r="T1037" i="1"/>
  <c r="T1034" i="1"/>
  <c r="T1036" i="1"/>
  <c r="T1033" i="1"/>
  <c r="O1035" i="1"/>
  <c r="O1034" i="1"/>
  <c r="O1033" i="1"/>
  <c r="T1032" i="1" l="1"/>
  <c r="V1032" i="1"/>
  <c r="O1032" i="1"/>
  <c r="O1031" i="1" l="1"/>
  <c r="T1031" i="1"/>
  <c r="V1031" i="1"/>
  <c r="O1030" i="1" l="1"/>
  <c r="T1030" i="1"/>
  <c r="V1030" i="1"/>
  <c r="O1029" i="1" l="1"/>
  <c r="T1029" i="1"/>
  <c r="V1029" i="1"/>
  <c r="T1026" i="1" l="1"/>
  <c r="T1027" i="1"/>
  <c r="T1028" i="1"/>
  <c r="V1028" i="1"/>
  <c r="O1026" i="1"/>
  <c r="O1027" i="1"/>
  <c r="O1028" i="1"/>
  <c r="V1025" i="1" l="1"/>
  <c r="T1025" i="1"/>
  <c r="O1025" i="1"/>
  <c r="V1024" i="1" l="1"/>
  <c r="T1024" i="1"/>
  <c r="O1024" i="1"/>
  <c r="O1023" i="1" l="1"/>
  <c r="T1023" i="1"/>
  <c r="V1023" i="1"/>
  <c r="V1022" i="1" l="1"/>
  <c r="T1022" i="1"/>
  <c r="T1020" i="1"/>
  <c r="O1022" i="1"/>
  <c r="T1019" i="1" l="1"/>
  <c r="T1021" i="1"/>
  <c r="V1021" i="1"/>
  <c r="O1021" i="1" l="1"/>
  <c r="O1020" i="1"/>
  <c r="O1019" i="1"/>
  <c r="T1018" i="1" l="1"/>
  <c r="V1018" i="1"/>
  <c r="O1018" i="1"/>
  <c r="Q1017" i="1" l="1"/>
  <c r="V1017" i="1" s="1"/>
  <c r="O1017" i="1"/>
  <c r="T1017" i="1" l="1"/>
  <c r="T1016" i="1"/>
  <c r="O1016" i="1"/>
  <c r="V1016" i="1"/>
  <c r="T1015" i="1" l="1"/>
  <c r="O1015" i="1"/>
  <c r="V1015" i="1" l="1"/>
  <c r="V1014" i="1"/>
  <c r="T1012" i="1" l="1"/>
  <c r="T1013" i="1"/>
  <c r="T1014" i="1"/>
  <c r="O1012" i="1"/>
  <c r="O1013" i="1"/>
  <c r="O1014" i="1"/>
  <c r="T1011" i="1" l="1"/>
  <c r="V1011" i="1"/>
  <c r="O1011" i="1"/>
  <c r="O1010" i="1" l="1"/>
  <c r="T1010" i="1"/>
  <c r="V1010" i="1"/>
  <c r="T1009" i="1" l="1"/>
  <c r="T1008" i="1"/>
  <c r="V1009" i="1"/>
  <c r="O1009" i="1"/>
  <c r="V1008" i="1" l="1"/>
  <c r="O1008" i="1"/>
  <c r="O1006" i="1" l="1"/>
  <c r="O1007" i="1"/>
  <c r="T1006" i="1"/>
  <c r="T1007" i="1"/>
  <c r="V1007" i="1"/>
  <c r="T1005" i="1"/>
  <c r="O1005" i="1"/>
  <c r="O1004" i="1"/>
  <c r="T1004" i="1"/>
  <c r="V1004" i="1"/>
  <c r="O1003" i="1" l="1"/>
  <c r="T1003" i="1"/>
  <c r="V1003" i="1"/>
  <c r="O1002" i="1" l="1"/>
  <c r="T1002" i="1"/>
  <c r="V1002" i="1"/>
  <c r="T1001" i="1" l="1"/>
  <c r="V1001" i="1"/>
  <c r="O1001" i="1"/>
  <c r="T1000" i="1" l="1"/>
  <c r="T999" i="1"/>
  <c r="T998" i="1"/>
  <c r="O998" i="1"/>
  <c r="O999" i="1"/>
  <c r="O1000" i="1"/>
  <c r="V1000" i="1" l="1"/>
  <c r="V997" i="1" l="1"/>
  <c r="T997" i="1"/>
  <c r="O997" i="1"/>
  <c r="V996" i="1" l="1"/>
  <c r="T996" i="1"/>
  <c r="O996" i="1"/>
  <c r="V995" i="1" l="1"/>
  <c r="T995" i="1"/>
  <c r="O995" i="1"/>
  <c r="V994" i="1" l="1"/>
  <c r="T994" i="1"/>
  <c r="O994" i="1"/>
  <c r="V993" i="1" l="1"/>
  <c r="T991" i="1"/>
  <c r="T992" i="1"/>
  <c r="T993" i="1"/>
  <c r="O991" i="1"/>
  <c r="O992" i="1"/>
  <c r="O993" i="1"/>
  <c r="V990" i="1" l="1"/>
  <c r="T990" i="1"/>
  <c r="O990" i="1"/>
  <c r="V989" i="1"/>
  <c r="T989" i="1"/>
  <c r="O989" i="1"/>
  <c r="V988" i="1" l="1"/>
  <c r="T988" i="1"/>
  <c r="O988" i="1"/>
  <c r="V987" i="1" l="1"/>
  <c r="T987" i="1"/>
  <c r="O987" i="1"/>
  <c r="V986" i="1" l="1"/>
  <c r="T984" i="1"/>
  <c r="T985" i="1"/>
  <c r="T986" i="1"/>
  <c r="O984" i="1"/>
  <c r="O985" i="1"/>
  <c r="O986" i="1"/>
  <c r="V983" i="1" l="1"/>
  <c r="T983" i="1"/>
  <c r="O983" i="1"/>
  <c r="V982" i="1" l="1"/>
  <c r="T982" i="1"/>
  <c r="O982" i="1"/>
  <c r="V981" i="1" l="1"/>
  <c r="T981" i="1"/>
  <c r="O981" i="1"/>
  <c r="V980" i="1" l="1"/>
  <c r="T980" i="1"/>
  <c r="O980" i="1"/>
  <c r="R978" i="1" l="1"/>
  <c r="V979" i="1" l="1"/>
  <c r="T977" i="1"/>
  <c r="T978" i="1"/>
  <c r="T979" i="1"/>
  <c r="O977" i="1"/>
  <c r="O978" i="1"/>
  <c r="O979" i="1"/>
  <c r="V976" i="1" l="1"/>
  <c r="T976" i="1"/>
  <c r="O976" i="1"/>
  <c r="V975" i="1" l="1"/>
  <c r="T975" i="1"/>
  <c r="O975" i="1" l="1"/>
  <c r="V974" i="1" l="1"/>
  <c r="T974" i="1"/>
  <c r="O974" i="1"/>
  <c r="V973" i="1" l="1"/>
  <c r="T973" i="1"/>
  <c r="O973" i="1"/>
  <c r="V972" i="1" l="1"/>
  <c r="T970" i="1"/>
  <c r="T971" i="1"/>
  <c r="T972" i="1"/>
  <c r="O970" i="1"/>
  <c r="O971" i="1"/>
  <c r="O972" i="1"/>
  <c r="V969" i="1" l="1"/>
  <c r="T969" i="1"/>
  <c r="O969" i="1"/>
  <c r="V968" i="1" l="1"/>
  <c r="T968" i="1"/>
  <c r="O968" i="1"/>
  <c r="V967" i="1" l="1"/>
  <c r="T967" i="1"/>
  <c r="O967" i="1"/>
  <c r="V966" i="1" l="1"/>
  <c r="T966" i="1"/>
  <c r="O966" i="1"/>
  <c r="V965" i="1" l="1"/>
  <c r="T963" i="1"/>
  <c r="T964" i="1"/>
  <c r="T965" i="1"/>
  <c r="O963" i="1"/>
  <c r="O964" i="1"/>
  <c r="O965" i="1"/>
  <c r="V962" i="1" l="1"/>
  <c r="T962" i="1"/>
  <c r="O962" i="1"/>
  <c r="V961" i="1" l="1"/>
  <c r="T961" i="1"/>
  <c r="O961" i="1"/>
  <c r="V960" i="1" l="1"/>
  <c r="T960" i="1"/>
  <c r="O960" i="1"/>
  <c r="V959" i="1" l="1"/>
  <c r="T959" i="1"/>
  <c r="O959" i="1"/>
  <c r="V958" i="1" l="1"/>
  <c r="T956" i="1"/>
  <c r="T957" i="1"/>
  <c r="T958" i="1"/>
  <c r="O956" i="1"/>
  <c r="O957" i="1"/>
  <c r="O958" i="1"/>
  <c r="Q955" i="1" l="1"/>
  <c r="V955" i="1" s="1"/>
  <c r="O955" i="1"/>
  <c r="T955" i="1" l="1"/>
  <c r="V954" i="1"/>
  <c r="T954" i="1"/>
  <c r="O954" i="1"/>
  <c r="V953" i="1" l="1"/>
  <c r="T953" i="1"/>
  <c r="O953" i="1"/>
  <c r="V952" i="1" l="1"/>
  <c r="T952" i="1"/>
  <c r="O952" i="1"/>
  <c r="V951" i="1" l="1"/>
  <c r="T949" i="1"/>
  <c r="T950" i="1"/>
  <c r="T951" i="1"/>
  <c r="O949" i="1"/>
  <c r="O950" i="1"/>
  <c r="O951" i="1"/>
  <c r="Q948" i="1" l="1"/>
  <c r="V948" i="1" s="1"/>
  <c r="O948" i="1"/>
  <c r="T948" i="1" l="1"/>
  <c r="V947" i="1"/>
  <c r="T947" i="1"/>
  <c r="O947" i="1"/>
  <c r="V946" i="1" l="1"/>
  <c r="T946" i="1"/>
  <c r="O946" i="1"/>
  <c r="V945" i="1" l="1"/>
  <c r="T945" i="1"/>
  <c r="O945" i="1"/>
  <c r="V944" i="1" l="1"/>
  <c r="T942" i="1"/>
  <c r="T943" i="1"/>
  <c r="T944" i="1"/>
  <c r="O942" i="1"/>
  <c r="O943" i="1"/>
  <c r="O944" i="1"/>
  <c r="V941" i="1" l="1"/>
  <c r="T941" i="1"/>
  <c r="O941" i="1"/>
  <c r="V940" i="1" l="1"/>
  <c r="T940" i="1"/>
  <c r="O940" i="1"/>
  <c r="Q939" i="1" l="1"/>
  <c r="V939" i="1" s="1"/>
  <c r="O939" i="1"/>
  <c r="T939" i="1" l="1"/>
  <c r="T935" i="1" l="1"/>
  <c r="T936" i="1"/>
  <c r="T937" i="1"/>
  <c r="T938" i="1"/>
  <c r="O938" i="1"/>
  <c r="O935" i="1" l="1"/>
  <c r="O936" i="1"/>
  <c r="O937" i="1"/>
  <c r="V934" i="1" l="1"/>
  <c r="T934" i="1"/>
  <c r="O934" i="1"/>
  <c r="V933" i="1" l="1"/>
  <c r="T933" i="1"/>
  <c r="O933" i="1"/>
  <c r="V932" i="1" l="1"/>
  <c r="T932" i="1"/>
  <c r="O932" i="1"/>
  <c r="V931" i="1" l="1"/>
  <c r="T931" i="1"/>
  <c r="O931" i="1"/>
  <c r="T930" i="1" l="1"/>
  <c r="Q929" i="1"/>
  <c r="Q928" i="1"/>
  <c r="T928" i="1" s="1"/>
  <c r="O928" i="1"/>
  <c r="O929" i="1"/>
  <c r="O930" i="1"/>
  <c r="V930" i="1" l="1"/>
  <c r="T929" i="1"/>
  <c r="Q927" i="1"/>
  <c r="V927" i="1" s="1"/>
  <c r="O927" i="1"/>
  <c r="T927" i="1" l="1"/>
  <c r="V926" i="1"/>
  <c r="T926" i="1"/>
  <c r="O926" i="1"/>
  <c r="V925" i="1" l="1"/>
  <c r="T925" i="1"/>
  <c r="O925" i="1"/>
  <c r="V924" i="1" l="1"/>
  <c r="T924" i="1"/>
  <c r="O924" i="1"/>
  <c r="V923" i="1" l="1"/>
  <c r="T921" i="1"/>
  <c r="T922" i="1"/>
  <c r="T923" i="1"/>
  <c r="O921" i="1"/>
  <c r="O922" i="1"/>
  <c r="O923" i="1"/>
  <c r="Q920" i="1" l="1"/>
  <c r="V920" i="1" s="1"/>
  <c r="O920" i="1"/>
  <c r="T920" i="1" l="1"/>
  <c r="V919" i="1"/>
  <c r="T919" i="1"/>
  <c r="O919" i="1"/>
  <c r="V918" i="1" l="1"/>
  <c r="T918" i="1"/>
  <c r="O918" i="1"/>
  <c r="V917" i="1" l="1"/>
  <c r="T917" i="1"/>
  <c r="O917" i="1"/>
  <c r="V916" i="1" l="1"/>
  <c r="T914" i="1" l="1"/>
  <c r="T915" i="1"/>
  <c r="T916" i="1"/>
  <c r="O914" i="1"/>
  <c r="O915" i="1"/>
  <c r="O916" i="1"/>
  <c r="V913" i="1" l="1"/>
  <c r="T913" i="1"/>
  <c r="O913" i="1"/>
  <c r="O912" i="1" l="1"/>
  <c r="T912" i="1"/>
  <c r="V912" i="1"/>
  <c r="O911" i="1" l="1"/>
  <c r="T911" i="1"/>
  <c r="V911" i="1"/>
  <c r="O910" i="1" l="1"/>
  <c r="T910" i="1"/>
  <c r="V910" i="1"/>
  <c r="T907" i="1" l="1"/>
  <c r="T908" i="1"/>
  <c r="T909" i="1"/>
  <c r="V909" i="1" l="1"/>
  <c r="O907" i="1"/>
  <c r="O908" i="1"/>
  <c r="O909" i="1"/>
  <c r="V906" i="1" l="1"/>
  <c r="T906" i="1"/>
  <c r="O906" i="1"/>
  <c r="V905" i="1" l="1"/>
  <c r="T905" i="1"/>
  <c r="O905" i="1"/>
  <c r="Q904" i="1" l="1"/>
  <c r="V904" i="1" s="1"/>
  <c r="O904" i="1"/>
  <c r="T904" i="1" l="1"/>
  <c r="T899" i="1"/>
  <c r="T900" i="1"/>
  <c r="T901" i="1"/>
  <c r="T902" i="1"/>
  <c r="T903" i="1"/>
  <c r="O900" i="1" l="1"/>
  <c r="O901" i="1"/>
  <c r="O902" i="1"/>
  <c r="O903" i="1"/>
  <c r="V899" i="1" l="1"/>
  <c r="O899" i="1"/>
  <c r="V898" i="1" l="1"/>
  <c r="T898" i="1"/>
  <c r="O898" i="1"/>
  <c r="V897" i="1" l="1"/>
  <c r="T897" i="1"/>
  <c r="O897" i="1"/>
  <c r="V896" i="1" l="1"/>
  <c r="T896" i="1"/>
  <c r="O896" i="1"/>
  <c r="V895" i="1" l="1"/>
  <c r="T893" i="1"/>
  <c r="T894" i="1"/>
  <c r="T895" i="1"/>
  <c r="O893" i="1"/>
  <c r="O894" i="1"/>
  <c r="O895" i="1"/>
  <c r="V892" i="1" l="1"/>
  <c r="T892" i="1"/>
  <c r="O892" i="1"/>
  <c r="V891" i="1" l="1"/>
  <c r="T891" i="1"/>
  <c r="O891" i="1"/>
  <c r="V890" i="1" l="1"/>
  <c r="T890" i="1"/>
  <c r="O890" i="1"/>
  <c r="V889" i="1" l="1"/>
  <c r="T889" i="1"/>
  <c r="O889" i="1"/>
  <c r="V888" i="1"/>
  <c r="T886" i="1"/>
  <c r="T887" i="1"/>
  <c r="T888" i="1"/>
  <c r="O886" i="1"/>
  <c r="O887" i="1"/>
  <c r="O888" i="1"/>
  <c r="V885" i="1" l="1"/>
  <c r="T884" i="1"/>
  <c r="T885" i="1"/>
  <c r="O885" i="1"/>
  <c r="V884" i="1" l="1"/>
  <c r="O884" i="1"/>
  <c r="V882" i="1" l="1"/>
  <c r="V881" i="1"/>
  <c r="T879" i="1" l="1"/>
  <c r="T880" i="1"/>
  <c r="T881" i="1"/>
  <c r="T882" i="1"/>
  <c r="P883" i="1"/>
  <c r="O879" i="1"/>
  <c r="O880" i="1"/>
  <c r="O881" i="1"/>
  <c r="O882" i="1"/>
  <c r="O883" i="1"/>
  <c r="T883" i="1" l="1"/>
  <c r="V883" i="1"/>
  <c r="V878" i="1"/>
  <c r="T878" i="1"/>
  <c r="O878" i="1"/>
  <c r="Q877" i="1" l="1"/>
  <c r="V877" i="1" s="1"/>
  <c r="O877" i="1"/>
  <c r="T877" i="1" l="1"/>
  <c r="Q876" i="1"/>
  <c r="T876" i="1" s="1"/>
  <c r="O876" i="1"/>
  <c r="V876" i="1" l="1"/>
  <c r="V875" i="1" l="1"/>
  <c r="T875" i="1"/>
  <c r="O875" i="1"/>
  <c r="T872" i="1" l="1"/>
  <c r="T873" i="1"/>
  <c r="Q874" i="1"/>
  <c r="V874" i="1" s="1"/>
  <c r="O872" i="1"/>
  <c r="O873" i="1"/>
  <c r="O874" i="1"/>
  <c r="T874" i="1" l="1"/>
  <c r="V871" i="1"/>
  <c r="T871" i="1"/>
  <c r="O871" i="1"/>
  <c r="V870" i="1" l="1"/>
  <c r="T870" i="1"/>
  <c r="O870" i="1"/>
  <c r="V869" i="1" l="1"/>
  <c r="T869" i="1"/>
  <c r="O869" i="1"/>
  <c r="V868" i="1" l="1"/>
  <c r="T868" i="1"/>
  <c r="O868" i="1"/>
  <c r="V867" i="1" l="1"/>
  <c r="T865" i="1"/>
  <c r="T866" i="1"/>
  <c r="T867" i="1"/>
  <c r="O865" i="1"/>
  <c r="O866" i="1"/>
  <c r="O867" i="1"/>
  <c r="V864" i="1" l="1"/>
  <c r="T864" i="1"/>
  <c r="O864" i="1"/>
  <c r="V863" i="1" l="1"/>
  <c r="T863" i="1"/>
  <c r="O863" i="1"/>
  <c r="V862" i="1" l="1"/>
  <c r="T862" i="1"/>
  <c r="O862" i="1"/>
  <c r="Q861" i="1" l="1"/>
  <c r="V861" i="1" s="1"/>
  <c r="O861" i="1"/>
  <c r="T861" i="1" l="1"/>
  <c r="V860" i="1"/>
  <c r="T858" i="1"/>
  <c r="T859" i="1"/>
  <c r="T860" i="1"/>
  <c r="O858" i="1"/>
  <c r="O859" i="1"/>
  <c r="O860" i="1"/>
  <c r="V857" i="1" l="1"/>
  <c r="T857" i="1"/>
  <c r="O857" i="1"/>
  <c r="V856" i="1" l="1"/>
  <c r="T856" i="1"/>
  <c r="O856" i="1"/>
  <c r="V855" i="1" l="1"/>
  <c r="T855" i="1"/>
  <c r="O855" i="1"/>
  <c r="V854" i="1" l="1"/>
  <c r="T854" i="1"/>
  <c r="O854" i="1"/>
  <c r="T852" i="1" l="1"/>
  <c r="T853" i="1"/>
  <c r="Q851" i="1"/>
  <c r="V853" i="1" s="1"/>
  <c r="O851" i="1"/>
  <c r="O852" i="1"/>
  <c r="O853" i="1"/>
  <c r="T851" i="1" l="1"/>
  <c r="Q850" i="1" l="1"/>
  <c r="T850" i="1" s="1"/>
  <c r="Q849" i="1"/>
  <c r="T849" i="1" s="1"/>
  <c r="O849" i="1"/>
  <c r="O850" i="1"/>
  <c r="Q848" i="1" l="1"/>
  <c r="V848" i="1" s="1"/>
  <c r="O848" i="1"/>
  <c r="T848" i="1" l="1"/>
  <c r="V847" i="1"/>
  <c r="T847" i="1"/>
  <c r="O847" i="1"/>
  <c r="T845" i="1" l="1"/>
  <c r="Q846" i="1"/>
  <c r="Q844" i="1"/>
  <c r="T844" i="1" s="1"/>
  <c r="O844" i="1"/>
  <c r="O845" i="1"/>
  <c r="O846" i="1"/>
  <c r="V846" i="1" l="1"/>
  <c r="T846" i="1"/>
  <c r="Q843" i="1"/>
  <c r="V843" i="1" s="1"/>
  <c r="O843" i="1"/>
  <c r="T843" i="1" l="1"/>
  <c r="Q842" i="1"/>
  <c r="V842" i="1" s="1"/>
  <c r="O842" i="1"/>
  <c r="T842" i="1" l="1"/>
  <c r="V841" i="1"/>
  <c r="T841" i="1"/>
  <c r="O841" i="1"/>
  <c r="Q840" i="1" l="1"/>
  <c r="V840" i="1" s="1"/>
  <c r="O840" i="1"/>
  <c r="T840" i="1" l="1"/>
  <c r="T838" i="1"/>
  <c r="T839" i="1"/>
  <c r="Q837" i="1"/>
  <c r="V839" i="1" s="1"/>
  <c r="O837" i="1"/>
  <c r="O838" i="1"/>
  <c r="O839" i="1"/>
  <c r="T837" i="1" l="1"/>
  <c r="Q836" i="1"/>
  <c r="T836" i="1" s="1"/>
  <c r="Q835" i="1"/>
  <c r="T835" i="1" s="1"/>
  <c r="O835" i="1"/>
  <c r="O836" i="1"/>
  <c r="V834" i="1" l="1"/>
  <c r="T834" i="1"/>
  <c r="O834" i="1"/>
  <c r="T830" i="1" l="1"/>
  <c r="T831" i="1"/>
  <c r="T832" i="1"/>
  <c r="Q833" i="1"/>
  <c r="V833" i="1" s="1"/>
  <c r="O833" i="1"/>
  <c r="T833" i="1" l="1"/>
  <c r="V832" i="1"/>
  <c r="O830" i="1"/>
  <c r="O831" i="1"/>
  <c r="O832" i="1"/>
  <c r="V829" i="1" l="1"/>
  <c r="T829" i="1"/>
  <c r="O829" i="1"/>
  <c r="Q828" i="1" l="1"/>
  <c r="V828" i="1" s="1"/>
  <c r="O828" i="1"/>
  <c r="T828" i="1" l="1"/>
  <c r="V827" i="1"/>
  <c r="T827" i="1"/>
  <c r="O827" i="1"/>
  <c r="V826" i="1" l="1"/>
  <c r="T826" i="1"/>
  <c r="O826" i="1"/>
  <c r="T824" i="1" l="1"/>
  <c r="Q825" i="1"/>
  <c r="Q823" i="1"/>
  <c r="T823" i="1" s="1"/>
  <c r="O823" i="1"/>
  <c r="O824" i="1"/>
  <c r="O825" i="1"/>
  <c r="V825" i="1" l="1"/>
  <c r="T825" i="1"/>
  <c r="V822" i="1"/>
  <c r="T822" i="1"/>
  <c r="O822" i="1"/>
  <c r="Q821" i="1" l="1"/>
  <c r="P821" i="1"/>
  <c r="O821" i="1"/>
  <c r="T821" i="1" l="1"/>
  <c r="V821" i="1"/>
  <c r="V820" i="1"/>
  <c r="T820" i="1"/>
  <c r="O820" i="1"/>
  <c r="V819" i="1" l="1"/>
  <c r="T819" i="1"/>
  <c r="O819" i="1"/>
  <c r="T818" i="1" l="1"/>
  <c r="Q817" i="1"/>
  <c r="Q816" i="1"/>
  <c r="T816" i="1" s="1"/>
  <c r="O816" i="1"/>
  <c r="O817" i="1"/>
  <c r="O818" i="1"/>
  <c r="V818" i="1" l="1"/>
  <c r="T817" i="1"/>
  <c r="Q815" i="1"/>
  <c r="V815" i="1" s="1"/>
  <c r="O815" i="1"/>
  <c r="T815" i="1" l="1"/>
  <c r="Q814" i="1"/>
  <c r="V814" i="1" s="1"/>
  <c r="O814" i="1"/>
  <c r="T814" i="1" l="1"/>
  <c r="V813" i="1" l="1"/>
  <c r="T813" i="1"/>
  <c r="O813" i="1"/>
  <c r="Q812" i="1" l="1"/>
  <c r="V812" i="1" s="1"/>
  <c r="O812" i="1"/>
  <c r="V811" i="1"/>
  <c r="T809" i="1"/>
  <c r="T810" i="1"/>
  <c r="T811" i="1"/>
  <c r="O809" i="1"/>
  <c r="O810" i="1"/>
  <c r="O811" i="1"/>
  <c r="T812" i="1" l="1"/>
  <c r="Q808" i="1"/>
  <c r="V808" i="1" s="1"/>
  <c r="O808" i="1"/>
  <c r="T808" i="1" l="1"/>
  <c r="Q807" i="1"/>
  <c r="V807" i="1" s="1"/>
  <c r="O807" i="1"/>
  <c r="T807" i="1" l="1"/>
  <c r="Q806" i="1"/>
  <c r="T806" i="1" s="1"/>
  <c r="O806" i="1"/>
  <c r="V806" i="1" l="1"/>
  <c r="O802" i="1"/>
  <c r="O803" i="1"/>
  <c r="O804" i="1"/>
  <c r="O805" i="1"/>
  <c r="T802" i="1"/>
  <c r="T803" i="1"/>
  <c r="Q805" i="1"/>
  <c r="T805" i="1" s="1"/>
  <c r="Q804" i="1"/>
  <c r="T804" i="1" s="1"/>
  <c r="Q801" i="1" l="1"/>
  <c r="V801" i="1" s="1"/>
  <c r="O801" i="1"/>
  <c r="T801" i="1" l="1"/>
  <c r="Q800" i="1"/>
  <c r="V800" i="1" s="1"/>
  <c r="O800" i="1"/>
  <c r="T800" i="1" l="1"/>
  <c r="V799" i="1"/>
  <c r="T799" i="1"/>
  <c r="O799" i="1"/>
  <c r="Q798" i="1" l="1"/>
  <c r="T798" i="1" s="1"/>
  <c r="O798" i="1"/>
  <c r="V798" i="1" l="1"/>
  <c r="V797" i="1"/>
  <c r="T795" i="1"/>
  <c r="T796" i="1"/>
  <c r="T797" i="1"/>
  <c r="O795" i="1"/>
  <c r="O796" i="1"/>
  <c r="O797" i="1"/>
  <c r="V794" i="1" l="1"/>
  <c r="T794" i="1"/>
  <c r="O794" i="1"/>
  <c r="V793" i="1"/>
  <c r="T793" i="1"/>
  <c r="O793" i="1"/>
  <c r="V792" i="1" l="1"/>
  <c r="T792" i="1"/>
  <c r="O792" i="1"/>
  <c r="V791" i="1" l="1"/>
  <c r="O791" i="1"/>
  <c r="T791" i="1"/>
  <c r="V790" i="1" l="1"/>
  <c r="T790" i="1"/>
  <c r="T789" i="1"/>
  <c r="T788" i="1"/>
  <c r="O790" i="1"/>
  <c r="O789" i="1"/>
  <c r="O788" i="1"/>
  <c r="O787" i="1" l="1"/>
  <c r="T787" i="1"/>
  <c r="V787" i="1"/>
  <c r="V786" i="1" l="1"/>
  <c r="T786" i="1"/>
  <c r="O786" i="1"/>
  <c r="V785" i="1" l="1"/>
  <c r="T785" i="1"/>
  <c r="O785" i="1"/>
  <c r="O784" i="1" l="1"/>
  <c r="T784" i="1"/>
  <c r="V784" i="1"/>
  <c r="V783" i="1" l="1"/>
  <c r="T781" i="1"/>
  <c r="T782" i="1"/>
  <c r="T783" i="1"/>
  <c r="O781" i="1"/>
  <c r="O782" i="1"/>
  <c r="O783" i="1"/>
  <c r="V780" i="1" l="1"/>
  <c r="T780" i="1"/>
  <c r="O780" i="1"/>
  <c r="V779" i="1" l="1"/>
  <c r="T779" i="1"/>
  <c r="O779" i="1"/>
  <c r="V778" i="1" l="1"/>
  <c r="T778" i="1"/>
  <c r="O778" i="1"/>
  <c r="V777" i="1" l="1"/>
  <c r="T777" i="1"/>
  <c r="O777" i="1"/>
  <c r="T774" i="1" l="1"/>
  <c r="T775" i="1"/>
  <c r="Q776" i="1"/>
  <c r="T776" i="1" s="1"/>
  <c r="O774" i="1"/>
  <c r="O775" i="1"/>
  <c r="O776" i="1"/>
  <c r="V776" i="1" l="1"/>
  <c r="V773" i="1"/>
  <c r="T773" i="1"/>
  <c r="O773" i="1"/>
  <c r="Q772" i="1" l="1"/>
  <c r="V772" i="1" s="1"/>
  <c r="O772" i="1"/>
  <c r="T772" i="1" l="1"/>
  <c r="V771" i="1"/>
  <c r="T771" i="1"/>
  <c r="O771" i="1"/>
  <c r="T767" i="1" l="1"/>
  <c r="T768" i="1"/>
  <c r="T769" i="1"/>
  <c r="T770" i="1"/>
  <c r="O768" i="1"/>
  <c r="O769" i="1"/>
  <c r="O770" i="1"/>
  <c r="O767" i="1" l="1"/>
  <c r="V766" i="1" l="1"/>
  <c r="T765" i="1"/>
  <c r="T766" i="1"/>
  <c r="O766" i="1"/>
  <c r="V765" i="1" l="1"/>
  <c r="O765" i="1"/>
  <c r="V764" i="1" l="1"/>
  <c r="T764" i="1"/>
  <c r="O764" i="1"/>
  <c r="V763" i="1" l="1"/>
  <c r="T763" i="1"/>
  <c r="O763" i="1"/>
  <c r="V762" i="1" l="1"/>
  <c r="T760" i="1"/>
  <c r="T761" i="1"/>
  <c r="T762" i="1"/>
  <c r="O760" i="1"/>
  <c r="O761" i="1"/>
  <c r="O762" i="1"/>
  <c r="V759" i="1" l="1"/>
  <c r="T759" i="1"/>
  <c r="O759" i="1"/>
  <c r="V758" i="1" l="1"/>
  <c r="T758" i="1"/>
  <c r="O758" i="1"/>
  <c r="T757" i="1" l="1"/>
  <c r="O756" i="1"/>
  <c r="V756" i="1"/>
  <c r="V757" i="1"/>
  <c r="O757" i="1" l="1"/>
  <c r="T756" i="1" l="1"/>
  <c r="V755" i="1" l="1"/>
  <c r="T753" i="1"/>
  <c r="T754" i="1"/>
  <c r="T755" i="1"/>
  <c r="O753" i="1"/>
  <c r="O754" i="1"/>
  <c r="O755" i="1"/>
  <c r="V752" i="1" l="1"/>
  <c r="T752" i="1"/>
  <c r="O752" i="1"/>
  <c r="V751" i="1" l="1"/>
  <c r="T751" i="1"/>
  <c r="O751" i="1"/>
  <c r="V750" i="1" l="1"/>
  <c r="T750" i="1"/>
  <c r="O750" i="1"/>
  <c r="V749" i="1" l="1"/>
  <c r="T749" i="1"/>
  <c r="O749" i="1"/>
  <c r="T747" i="1" l="1"/>
  <c r="Q748" i="1"/>
  <c r="T748" i="1" s="1"/>
  <c r="Q746" i="1"/>
  <c r="T746" i="1" s="1"/>
  <c r="O746" i="1"/>
  <c r="O747" i="1"/>
  <c r="O748" i="1"/>
  <c r="V748" i="1" l="1"/>
  <c r="O745" i="1"/>
  <c r="T744" i="1"/>
  <c r="T745" i="1"/>
  <c r="V745" i="1"/>
  <c r="V744" i="1" l="1"/>
  <c r="O744" i="1"/>
  <c r="V743" i="1" l="1"/>
  <c r="T743" i="1"/>
  <c r="O743" i="1"/>
  <c r="V742" i="1" l="1"/>
  <c r="T742" i="1"/>
  <c r="O742" i="1"/>
  <c r="O739" i="1" l="1"/>
  <c r="O740" i="1"/>
  <c r="O741" i="1"/>
  <c r="T739" i="1"/>
  <c r="T740" i="1"/>
  <c r="T741" i="1"/>
  <c r="V741" i="1"/>
  <c r="O738" i="1" l="1"/>
  <c r="T738" i="1"/>
  <c r="V738" i="1"/>
  <c r="O737" i="1" l="1"/>
  <c r="T737" i="1"/>
  <c r="V737" i="1"/>
  <c r="O736" i="1" l="1"/>
  <c r="T736" i="1"/>
  <c r="V736" i="1"/>
  <c r="V735" i="1" l="1"/>
  <c r="T735" i="1"/>
  <c r="O735" i="1"/>
  <c r="V734" i="1" l="1"/>
  <c r="T732" i="1"/>
  <c r="T733" i="1"/>
  <c r="T734" i="1"/>
  <c r="O732" i="1"/>
  <c r="O733" i="1"/>
  <c r="O734" i="1"/>
  <c r="Q731" i="1" l="1"/>
  <c r="V731" i="1" s="1"/>
  <c r="O731" i="1"/>
  <c r="T731" i="1" l="1"/>
  <c r="V730" i="1" l="1"/>
  <c r="T730" i="1"/>
  <c r="O730" i="1"/>
  <c r="V729" i="1" l="1"/>
  <c r="T729" i="1"/>
  <c r="O729" i="1"/>
  <c r="V728" i="1" l="1"/>
  <c r="T728" i="1"/>
  <c r="O728" i="1"/>
  <c r="O725" i="1" l="1"/>
  <c r="V727" i="1" l="1"/>
  <c r="T725" i="1"/>
  <c r="T726" i="1"/>
  <c r="T727" i="1"/>
  <c r="O726" i="1"/>
  <c r="O727" i="1"/>
  <c r="V724" i="1" l="1"/>
  <c r="T724" i="1"/>
  <c r="T723" i="1"/>
  <c r="O724" i="1"/>
  <c r="V723" i="1" l="1"/>
  <c r="O723" i="1"/>
  <c r="V722" i="1" l="1"/>
  <c r="T722" i="1"/>
  <c r="O722" i="1"/>
  <c r="V721" i="1" l="1"/>
  <c r="T721" i="1"/>
  <c r="O721" i="1"/>
  <c r="V720" i="1"/>
  <c r="T718" i="1"/>
  <c r="T719" i="1"/>
  <c r="T720" i="1"/>
  <c r="O718" i="1"/>
  <c r="O719" i="1"/>
  <c r="O720" i="1"/>
  <c r="V717" i="1" l="1"/>
  <c r="T717" i="1"/>
  <c r="O717" i="1"/>
  <c r="V716" i="1" l="1"/>
  <c r="T716" i="1"/>
  <c r="O716" i="1"/>
  <c r="Q715" i="1" l="1"/>
  <c r="V715" i="1" s="1"/>
  <c r="O715" i="1"/>
  <c r="T715" i="1" l="1"/>
  <c r="V714" i="1"/>
  <c r="T714" i="1"/>
  <c r="O714" i="1" l="1"/>
  <c r="V713" i="1" l="1"/>
  <c r="T711" i="1"/>
  <c r="T712" i="1"/>
  <c r="T713" i="1"/>
  <c r="O711" i="1"/>
  <c r="O712" i="1"/>
  <c r="O713" i="1"/>
  <c r="V710" i="1" l="1"/>
  <c r="T710" i="1"/>
  <c r="O710" i="1"/>
  <c r="Q709" i="1" l="1"/>
  <c r="V709" i="1" s="1"/>
  <c r="O709" i="1"/>
  <c r="T709" i="1" l="1"/>
  <c r="V708" i="1"/>
  <c r="T708" i="1"/>
  <c r="O708" i="1"/>
  <c r="T704" i="1" l="1"/>
  <c r="T705" i="1"/>
  <c r="T706" i="1"/>
  <c r="Q707" i="1"/>
  <c r="V707" i="1" s="1"/>
  <c r="O704" i="1"/>
  <c r="O705" i="1"/>
  <c r="O706" i="1"/>
  <c r="O707" i="1"/>
  <c r="T707" i="1" l="1"/>
  <c r="V703" i="1" l="1"/>
  <c r="T703" i="1"/>
  <c r="O703" i="1"/>
  <c r="V702" i="1" l="1"/>
  <c r="T702" i="1"/>
  <c r="O702" i="1"/>
  <c r="Q701" i="1" l="1"/>
  <c r="V701" i="1" s="1"/>
  <c r="O701" i="1"/>
  <c r="T701" i="1" l="1"/>
  <c r="V700" i="1"/>
  <c r="T700" i="1"/>
  <c r="O700" i="1"/>
  <c r="T697" i="1" l="1"/>
  <c r="T698" i="1"/>
  <c r="Q699" i="1"/>
  <c r="V699" i="1" s="1"/>
  <c r="O697" i="1"/>
  <c r="O698" i="1"/>
  <c r="O699" i="1"/>
  <c r="T699" i="1" l="1"/>
  <c r="V696" i="1"/>
  <c r="T696" i="1"/>
  <c r="O696" i="1"/>
  <c r="V695" i="1" l="1"/>
  <c r="T695" i="1"/>
  <c r="O695" i="1"/>
  <c r="Q694" i="1" l="1"/>
  <c r="V694" i="1" s="1"/>
  <c r="O694" i="1"/>
  <c r="T694" i="1" l="1"/>
  <c r="T693" i="1"/>
  <c r="V693" i="1"/>
  <c r="O693" i="1"/>
  <c r="V692" i="1" l="1"/>
  <c r="T690" i="1"/>
  <c r="T691" i="1"/>
  <c r="T692" i="1"/>
  <c r="O690" i="1"/>
  <c r="O691" i="1"/>
  <c r="O692" i="1"/>
  <c r="V689" i="1" l="1"/>
  <c r="T689" i="1"/>
  <c r="O689" i="1"/>
  <c r="V688" i="1" l="1"/>
  <c r="T688" i="1"/>
  <c r="O688" i="1"/>
  <c r="Q687" i="1" l="1"/>
  <c r="T687" i="1" s="1"/>
  <c r="O687" i="1"/>
  <c r="V687" i="1" l="1"/>
  <c r="Q686" i="1"/>
  <c r="T686" i="1" s="1"/>
  <c r="O686" i="1"/>
  <c r="V686" i="1" l="1"/>
  <c r="V685" i="1"/>
  <c r="T683" i="1"/>
  <c r="T684" i="1"/>
  <c r="T685" i="1"/>
  <c r="O683" i="1"/>
  <c r="O684" i="1"/>
  <c r="O685" i="1"/>
  <c r="V682" i="1" l="1"/>
  <c r="T682" i="1"/>
  <c r="O682" i="1"/>
  <c r="V681" i="1" l="1"/>
  <c r="T681" i="1"/>
  <c r="O681" i="1"/>
  <c r="V680" i="1" l="1"/>
  <c r="T680" i="1"/>
  <c r="O680" i="1"/>
  <c r="O679" i="1" l="1"/>
  <c r="T679" i="1"/>
  <c r="V679" i="1"/>
  <c r="T676" i="1" l="1"/>
  <c r="T677" i="1"/>
  <c r="T678" i="1"/>
  <c r="O676" i="1"/>
  <c r="O677" i="1"/>
  <c r="O678" i="1"/>
  <c r="V678" i="1" l="1"/>
  <c r="T675" i="1" l="1"/>
  <c r="V675" i="1"/>
  <c r="O675" i="1"/>
  <c r="O674" i="1" l="1"/>
  <c r="T674" i="1"/>
  <c r="V674" i="1"/>
  <c r="V673" i="1" l="1"/>
  <c r="T673" i="1"/>
  <c r="O673" i="1"/>
  <c r="V672" i="1" l="1"/>
  <c r="T669" i="1" l="1"/>
  <c r="T670" i="1"/>
  <c r="T671" i="1"/>
  <c r="T672" i="1"/>
  <c r="O672" i="1"/>
  <c r="O669" i="1"/>
  <c r="O670" i="1"/>
  <c r="O671" i="1"/>
  <c r="T668" i="1" l="1"/>
  <c r="V668" i="1"/>
  <c r="O668" i="1"/>
  <c r="V667" i="1" l="1"/>
  <c r="T667" i="1"/>
  <c r="O667" i="1"/>
  <c r="Q666" i="1" l="1"/>
  <c r="T666" i="1" s="1"/>
  <c r="O666" i="1"/>
  <c r="V666" i="1" l="1"/>
  <c r="Q665" i="1"/>
  <c r="V665" i="1" s="1"/>
  <c r="O665" i="1"/>
  <c r="T665" i="1" l="1"/>
  <c r="V664" i="1"/>
  <c r="T662" i="1"/>
  <c r="T663" i="1"/>
  <c r="T664" i="1"/>
  <c r="O662" i="1"/>
  <c r="O663" i="1"/>
  <c r="O664" i="1"/>
  <c r="V661" i="1" l="1"/>
  <c r="T661" i="1"/>
  <c r="O661" i="1"/>
  <c r="V660" i="1" l="1"/>
  <c r="T660" i="1"/>
  <c r="O660" i="1"/>
  <c r="V659" i="1" l="1"/>
  <c r="T659" i="1"/>
  <c r="O659" i="1"/>
  <c r="V658" i="1" l="1"/>
  <c r="T658" i="1"/>
  <c r="O658" i="1"/>
  <c r="V657" i="1" l="1"/>
  <c r="T655" i="1"/>
  <c r="T656" i="1"/>
  <c r="T657" i="1"/>
  <c r="O655" i="1"/>
  <c r="O656" i="1"/>
  <c r="O657" i="1"/>
  <c r="V654" i="1" l="1"/>
  <c r="T654" i="1"/>
  <c r="O654" i="1"/>
  <c r="V653" i="1" l="1"/>
  <c r="T653" i="1"/>
  <c r="O653" i="1"/>
  <c r="V652" i="1"/>
  <c r="T652" i="1"/>
  <c r="O652" i="1"/>
  <c r="V651" i="1"/>
  <c r="T651" i="1"/>
  <c r="O651" i="1"/>
  <c r="V650" i="1" l="1"/>
  <c r="T648" i="1"/>
  <c r="T649" i="1"/>
  <c r="T650" i="1"/>
  <c r="O648" i="1" l="1"/>
  <c r="O649" i="1"/>
  <c r="O650" i="1"/>
  <c r="O647" i="1" l="1"/>
  <c r="V647" i="1"/>
  <c r="T647" i="1"/>
  <c r="V646" i="1" l="1"/>
  <c r="T646" i="1"/>
  <c r="O646" i="1"/>
  <c r="V645" i="1" l="1"/>
  <c r="T645" i="1"/>
  <c r="O645" i="1"/>
  <c r="V644" i="1" l="1"/>
  <c r="V643" i="1"/>
  <c r="T641" i="1"/>
  <c r="T642" i="1"/>
  <c r="T643" i="1"/>
  <c r="T644" i="1"/>
  <c r="O641" i="1"/>
  <c r="O642" i="1"/>
  <c r="O643" i="1"/>
  <c r="O644" i="1"/>
  <c r="V640" i="1" l="1"/>
  <c r="T640" i="1"/>
  <c r="O640" i="1"/>
  <c r="V639" i="1" l="1"/>
  <c r="T639" i="1"/>
  <c r="O639" i="1"/>
  <c r="V638" i="1" l="1"/>
  <c r="T638" i="1"/>
  <c r="O638" i="1"/>
  <c r="V637" i="1" l="1"/>
  <c r="T637" i="1"/>
  <c r="O637" i="1"/>
  <c r="V636" i="1" l="1"/>
  <c r="T634" i="1"/>
  <c r="T635" i="1"/>
  <c r="T636" i="1"/>
  <c r="O634" i="1"/>
  <c r="O635" i="1"/>
  <c r="O636" i="1"/>
  <c r="V633" i="1" l="1"/>
  <c r="T633" i="1"/>
  <c r="T632" i="1"/>
  <c r="O633" i="1"/>
  <c r="V632" i="1" l="1"/>
  <c r="O632" i="1"/>
  <c r="V631" i="1" l="1"/>
  <c r="T631" i="1"/>
  <c r="O631" i="1"/>
  <c r="V630" i="1" l="1"/>
  <c r="T630" i="1"/>
  <c r="O630" i="1"/>
  <c r="V629" i="1" l="1"/>
  <c r="T627" i="1"/>
  <c r="T628" i="1"/>
  <c r="T629" i="1"/>
  <c r="O627" i="1"/>
  <c r="O628" i="1"/>
  <c r="O629" i="1"/>
  <c r="V626" i="1" l="1"/>
  <c r="T626" i="1"/>
  <c r="O626" i="1"/>
  <c r="Q625" i="1" l="1"/>
  <c r="V625" i="1" s="1"/>
  <c r="O625" i="1"/>
  <c r="T625" i="1" l="1"/>
  <c r="V624" i="1"/>
  <c r="T624" i="1"/>
  <c r="O624" i="1"/>
  <c r="V623" i="1" l="1"/>
  <c r="S623" i="1"/>
  <c r="T623" i="1" s="1"/>
  <c r="O623" i="1"/>
  <c r="T620" i="1" l="1"/>
  <c r="Q622" i="1"/>
  <c r="Q621" i="1"/>
  <c r="T621" i="1" s="1"/>
  <c r="O620" i="1"/>
  <c r="O621" i="1"/>
  <c r="O622" i="1"/>
  <c r="V622" i="1" l="1"/>
  <c r="T622" i="1"/>
  <c r="V619" i="1"/>
  <c r="T619" i="1"/>
  <c r="O619" i="1"/>
  <c r="V618" i="1" l="1"/>
  <c r="T618" i="1"/>
  <c r="O618" i="1"/>
  <c r="V617" i="1" l="1"/>
  <c r="T617" i="1"/>
  <c r="O617" i="1"/>
  <c r="V612" i="1" l="1"/>
  <c r="V616" i="1"/>
  <c r="Q614" i="1"/>
  <c r="V615" i="1" s="1"/>
  <c r="T612" i="1"/>
  <c r="T613" i="1"/>
  <c r="T615" i="1"/>
  <c r="T616" i="1"/>
  <c r="O612" i="1"/>
  <c r="O613" i="1"/>
  <c r="O614" i="1"/>
  <c r="O615" i="1"/>
  <c r="O616" i="1"/>
  <c r="T614" i="1" l="1"/>
  <c r="V611" i="1"/>
  <c r="T611" i="1"/>
  <c r="O611" i="1" l="1"/>
  <c r="V610" i="1" l="1"/>
  <c r="T610" i="1"/>
  <c r="O610" i="1"/>
  <c r="V609" i="1" l="1"/>
  <c r="T609" i="1"/>
  <c r="O609" i="1"/>
  <c r="V608" i="1" l="1"/>
  <c r="T606" i="1"/>
  <c r="T607" i="1"/>
  <c r="T608" i="1"/>
  <c r="O606" i="1"/>
  <c r="O607" i="1"/>
  <c r="O608" i="1"/>
  <c r="V605" i="1" l="1"/>
  <c r="T605" i="1"/>
  <c r="O605" i="1"/>
  <c r="V604" i="1" l="1"/>
  <c r="T604" i="1"/>
  <c r="O604" i="1"/>
  <c r="O603" i="1" l="1"/>
  <c r="T603" i="1"/>
  <c r="V603" i="1"/>
  <c r="T602" i="1" l="1"/>
  <c r="O602" i="1"/>
  <c r="V602" i="1"/>
  <c r="O599" i="1" l="1"/>
  <c r="O600" i="1"/>
  <c r="O601" i="1"/>
  <c r="T601" i="1"/>
  <c r="T600" i="1"/>
  <c r="T599" i="1"/>
  <c r="V601" i="1"/>
  <c r="T598" i="1" l="1"/>
  <c r="V598" i="1"/>
  <c r="O598" i="1"/>
  <c r="V597" i="1" l="1"/>
  <c r="T597" i="1"/>
  <c r="O597" i="1"/>
  <c r="O596" i="1" l="1"/>
  <c r="T596" i="1"/>
  <c r="V596" i="1"/>
  <c r="T595" i="1" l="1"/>
  <c r="V595" i="1"/>
  <c r="O595" i="1"/>
  <c r="T586" i="1" l="1"/>
  <c r="T587" i="1"/>
  <c r="T588" i="1"/>
  <c r="T589" i="1"/>
  <c r="T590" i="1"/>
  <c r="T591" i="1"/>
  <c r="T592" i="1"/>
  <c r="T593" i="1"/>
  <c r="T594" i="1"/>
  <c r="V594" i="1" l="1"/>
  <c r="O594" i="1"/>
  <c r="O593" i="1"/>
  <c r="O592" i="1"/>
  <c r="O591" i="1" l="1"/>
  <c r="V591" i="1"/>
  <c r="V590" i="1" l="1"/>
  <c r="O590" i="1"/>
  <c r="V589" i="1" l="1"/>
  <c r="O589" i="1"/>
  <c r="V588" i="1" l="1"/>
  <c r="O588" i="1"/>
  <c r="V587" i="1" l="1"/>
  <c r="T585" i="1"/>
  <c r="O587" i="1"/>
  <c r="O586" i="1"/>
  <c r="O585" i="1"/>
  <c r="V584" i="1" l="1"/>
  <c r="T584" i="1"/>
  <c r="O584" i="1"/>
  <c r="V583" i="1"/>
  <c r="T583" i="1"/>
  <c r="O583" i="1"/>
  <c r="V582" i="1" l="1"/>
  <c r="T582" i="1"/>
  <c r="O582" i="1"/>
  <c r="V581" i="1" l="1"/>
  <c r="T581" i="1"/>
  <c r="O581" i="1"/>
  <c r="V580" i="1" l="1"/>
  <c r="T578" i="1"/>
  <c r="T579" i="1"/>
  <c r="T580" i="1"/>
  <c r="O578" i="1"/>
  <c r="O579" i="1"/>
  <c r="O580" i="1"/>
  <c r="V577" i="1" l="1"/>
  <c r="T577" i="1"/>
  <c r="O577" i="1"/>
  <c r="V576" i="1" l="1"/>
  <c r="T576" i="1"/>
  <c r="O576" i="1"/>
  <c r="V575" i="1" l="1"/>
  <c r="T575" i="1"/>
  <c r="O575" i="1"/>
  <c r="V574" i="1" l="1"/>
  <c r="V560" i="1"/>
  <c r="T574" i="1"/>
  <c r="O574" i="1"/>
  <c r="V573" i="1" l="1"/>
  <c r="T571" i="1"/>
  <c r="T572" i="1"/>
  <c r="T573" i="1"/>
  <c r="O571" i="1"/>
  <c r="O572" i="1"/>
  <c r="O573" i="1"/>
  <c r="V570" i="1" l="1"/>
  <c r="T570" i="1"/>
  <c r="O570" i="1"/>
  <c r="V569" i="1" l="1"/>
  <c r="T569" i="1"/>
  <c r="O569" i="1"/>
  <c r="V568" i="1" l="1"/>
  <c r="T568" i="1"/>
  <c r="O568" i="1" l="1"/>
  <c r="T564" i="1" l="1"/>
  <c r="T565" i="1"/>
  <c r="T566" i="1"/>
  <c r="T567" i="1"/>
  <c r="O564" i="1"/>
  <c r="O565" i="1"/>
  <c r="O566" i="1"/>
  <c r="O567" i="1"/>
  <c r="V563" i="1" l="1"/>
  <c r="T563" i="1"/>
  <c r="O563" i="1"/>
  <c r="V562" i="1" l="1"/>
  <c r="T562" i="1"/>
  <c r="O562" i="1"/>
  <c r="V561" i="1" l="1"/>
  <c r="T561" i="1"/>
  <c r="O561" i="1"/>
  <c r="T560" i="1" l="1"/>
  <c r="O560" i="1"/>
  <c r="V559" i="1" l="1"/>
  <c r="T557" i="1"/>
  <c r="T558" i="1"/>
  <c r="T559" i="1"/>
  <c r="O557" i="1"/>
  <c r="O558" i="1"/>
  <c r="O559" i="1"/>
  <c r="V556" i="1" l="1"/>
  <c r="T556" i="1"/>
  <c r="O556" i="1"/>
  <c r="V555" i="1" l="1"/>
  <c r="T555" i="1"/>
  <c r="O555" i="1"/>
  <c r="V554" i="1" l="1"/>
  <c r="T554" i="1"/>
  <c r="O554" i="1"/>
  <c r="V553" i="1" l="1"/>
  <c r="T553" i="1"/>
  <c r="O553" i="1"/>
  <c r="V552" i="1" l="1"/>
  <c r="O552" i="1" l="1"/>
  <c r="T550" i="1" l="1"/>
  <c r="T551" i="1"/>
  <c r="T552" i="1"/>
  <c r="O550" i="1"/>
  <c r="O551" i="1"/>
  <c r="V549" i="1" l="1"/>
  <c r="T549" i="1"/>
  <c r="O549" i="1"/>
  <c r="V548" i="1" l="1"/>
  <c r="T548" i="1"/>
  <c r="O548" i="1"/>
  <c r="V547" i="1" l="1"/>
  <c r="T547" i="1"/>
  <c r="O547" i="1"/>
  <c r="V546" i="1" l="1"/>
  <c r="T546" i="1"/>
  <c r="O546" i="1"/>
  <c r="V545" i="1" l="1"/>
  <c r="T543" i="1"/>
  <c r="T544" i="1"/>
  <c r="T545" i="1"/>
  <c r="O543" i="1"/>
  <c r="O544" i="1"/>
  <c r="O545" i="1"/>
  <c r="T542" i="1" l="1"/>
  <c r="V542" i="1"/>
  <c r="O542" i="1"/>
  <c r="T541" i="1" l="1"/>
  <c r="V541" i="1"/>
  <c r="O541" i="1"/>
  <c r="T540" i="1" l="1"/>
  <c r="V540" i="1"/>
  <c r="O540" i="1"/>
  <c r="V539" i="1" l="1"/>
  <c r="O539" i="1"/>
  <c r="O538" i="1"/>
  <c r="O537" i="1"/>
  <c r="O536" i="1"/>
  <c r="T539" i="1"/>
  <c r="T538" i="1"/>
  <c r="T537" i="1"/>
  <c r="T536" i="1"/>
  <c r="T535" i="1" l="1"/>
  <c r="V535" i="1"/>
  <c r="O535" i="1"/>
  <c r="V534" i="1" l="1"/>
  <c r="T534" i="1"/>
  <c r="O534" i="1"/>
  <c r="V533" i="1" l="1"/>
  <c r="T533" i="1"/>
  <c r="O533" i="1"/>
  <c r="V532" i="1" l="1"/>
  <c r="T532" i="1"/>
  <c r="O532" i="1"/>
  <c r="V531" i="1" l="1"/>
  <c r="T529" i="1"/>
  <c r="T530" i="1"/>
  <c r="T531" i="1"/>
  <c r="O529" i="1"/>
  <c r="O530" i="1"/>
  <c r="O531" i="1"/>
  <c r="V528" i="1" l="1"/>
  <c r="V527" i="1"/>
  <c r="T528" i="1"/>
  <c r="O528" i="1"/>
  <c r="O527" i="1"/>
  <c r="T527" i="1" l="1"/>
  <c r="V526" i="1" l="1"/>
  <c r="T526" i="1"/>
  <c r="O526" i="1"/>
  <c r="V525" i="1" l="1"/>
  <c r="T525" i="1"/>
  <c r="O525" i="1"/>
  <c r="T521" i="1" l="1"/>
  <c r="T522" i="1"/>
  <c r="T523" i="1"/>
  <c r="T524" i="1"/>
  <c r="O521" i="1"/>
  <c r="O522" i="1"/>
  <c r="O523" i="1"/>
  <c r="O524" i="1"/>
  <c r="V520" i="1" l="1"/>
  <c r="T520" i="1"/>
  <c r="O520" i="1"/>
  <c r="V519" i="1" l="1"/>
  <c r="T519" i="1"/>
  <c r="O519" i="1"/>
  <c r="T514" i="1" l="1"/>
  <c r="T515" i="1"/>
  <c r="T516" i="1"/>
  <c r="T517" i="1"/>
  <c r="T518" i="1"/>
  <c r="O514" i="1"/>
  <c r="O515" i="1"/>
  <c r="O516" i="1"/>
  <c r="O517" i="1"/>
  <c r="O518" i="1"/>
  <c r="Q513" i="1" l="1"/>
  <c r="V513" i="1" s="1"/>
  <c r="O513" i="1"/>
  <c r="T513" i="1" l="1"/>
  <c r="T512" i="1"/>
  <c r="V512" i="1"/>
  <c r="O512" i="1"/>
  <c r="V511" i="1" l="1"/>
  <c r="T511" i="1"/>
  <c r="O511" i="1"/>
  <c r="T508" i="1" l="1"/>
  <c r="T509" i="1"/>
  <c r="T510" i="1"/>
  <c r="V510" i="1"/>
  <c r="O508" i="1"/>
  <c r="O509" i="1"/>
  <c r="O510" i="1"/>
  <c r="V507" i="1" l="1"/>
  <c r="T507" i="1"/>
  <c r="O507" i="1"/>
  <c r="O506" i="1" l="1"/>
  <c r="T506" i="1"/>
  <c r="V506" i="1"/>
  <c r="O505" i="1" l="1"/>
  <c r="T505" i="1"/>
  <c r="V505" i="1"/>
  <c r="V504" i="1" l="1"/>
  <c r="T504" i="1"/>
  <c r="O504" i="1"/>
  <c r="V503" i="1" l="1"/>
  <c r="T501" i="1"/>
  <c r="T502" i="1"/>
  <c r="T503" i="1"/>
  <c r="O501" i="1"/>
  <c r="O502" i="1"/>
  <c r="O503" i="1"/>
  <c r="V500" i="1" l="1"/>
  <c r="T500" i="1"/>
  <c r="O500" i="1"/>
  <c r="Q499" i="1" l="1"/>
  <c r="V499" i="1" s="1"/>
  <c r="O499" i="1"/>
  <c r="V497" i="1"/>
  <c r="T499" i="1" l="1"/>
  <c r="V498" i="1"/>
  <c r="T498" i="1" l="1"/>
  <c r="O498" i="1"/>
  <c r="T497" i="1" l="1"/>
  <c r="O497" i="1"/>
  <c r="V493" i="1" l="1"/>
  <c r="V496" i="1"/>
  <c r="O496" i="1"/>
  <c r="T494" i="1"/>
  <c r="T495" i="1"/>
  <c r="T496" i="1"/>
  <c r="O494" i="1"/>
  <c r="O495" i="1"/>
  <c r="T493" i="1" l="1"/>
  <c r="O493" i="1"/>
  <c r="O492" i="1" l="1"/>
  <c r="T492" i="1"/>
  <c r="V492" i="1"/>
  <c r="O491" i="1" l="1"/>
  <c r="V491" i="1"/>
  <c r="T491" i="1"/>
  <c r="O490" i="1" l="1"/>
  <c r="P490" i="1"/>
  <c r="T490" i="1" s="1"/>
  <c r="V490" i="1" l="1"/>
  <c r="T488" i="1"/>
  <c r="T487" i="1"/>
  <c r="Q489" i="1"/>
  <c r="T489" i="1" s="1"/>
  <c r="O487" i="1"/>
  <c r="O488" i="1"/>
  <c r="O489" i="1"/>
  <c r="V489" i="1" l="1"/>
  <c r="O485" i="1"/>
  <c r="O486" i="1"/>
  <c r="T485" i="1"/>
  <c r="T486" i="1"/>
  <c r="V486" i="1"/>
  <c r="V484" i="1" l="1"/>
  <c r="T484" i="1"/>
  <c r="O484" i="1"/>
  <c r="V483" i="1" l="1"/>
  <c r="T483" i="1"/>
  <c r="O483" i="1"/>
  <c r="V482" i="1" l="1"/>
  <c r="T480" i="1"/>
  <c r="T481" i="1"/>
  <c r="T482" i="1"/>
  <c r="O480" i="1"/>
  <c r="O481" i="1"/>
  <c r="O482" i="1"/>
  <c r="O479" i="1" l="1"/>
  <c r="T479" i="1"/>
  <c r="V479" i="1"/>
  <c r="T478" i="1" l="1"/>
  <c r="V478" i="1"/>
  <c r="O478" i="1"/>
  <c r="V477" i="1" l="1"/>
  <c r="T477" i="1"/>
  <c r="O477" i="1"/>
  <c r="T475" i="1" l="1"/>
  <c r="T476" i="1"/>
  <c r="V476" i="1"/>
  <c r="O476" i="1"/>
  <c r="V475" i="1" l="1"/>
  <c r="T474" i="1" l="1"/>
  <c r="T473" i="1"/>
  <c r="O475" i="1"/>
  <c r="O474" i="1"/>
  <c r="O473" i="1"/>
  <c r="O472" i="1" l="1"/>
  <c r="T472" i="1"/>
  <c r="V472" i="1"/>
  <c r="V471" i="1" l="1"/>
  <c r="O470" i="1"/>
  <c r="O471" i="1"/>
  <c r="O469" i="1" l="1"/>
  <c r="T469" i="1"/>
  <c r="V469" i="1"/>
  <c r="V468" i="1" l="1"/>
  <c r="T468" i="1"/>
  <c r="T467" i="1"/>
  <c r="T466" i="1"/>
  <c r="O468" i="1"/>
  <c r="O467" i="1"/>
  <c r="O466" i="1"/>
  <c r="O465" i="1" l="1"/>
  <c r="T465" i="1"/>
  <c r="V465" i="1"/>
  <c r="O464" i="1" l="1"/>
  <c r="T464" i="1"/>
  <c r="V464" i="1"/>
  <c r="O463" i="1" l="1"/>
  <c r="T463" i="1"/>
  <c r="V463" i="1"/>
  <c r="V461" i="1" l="1"/>
  <c r="O462" i="1"/>
  <c r="V462" i="1"/>
  <c r="T461" i="1" l="1"/>
  <c r="T460" i="1"/>
  <c r="T459" i="1"/>
  <c r="O461" i="1"/>
  <c r="O460" i="1"/>
  <c r="O459" i="1"/>
  <c r="O458" i="1" l="1"/>
  <c r="T458" i="1"/>
  <c r="V458" i="1"/>
  <c r="T457" i="1" l="1"/>
  <c r="T456" i="1"/>
  <c r="V456" i="1"/>
  <c r="V457" i="1"/>
  <c r="O456" i="1"/>
  <c r="O457" i="1"/>
  <c r="O455" i="1" l="1"/>
  <c r="T455" i="1"/>
  <c r="V455" i="1"/>
  <c r="V454" i="1" l="1"/>
  <c r="T454" i="1"/>
  <c r="T453" i="1"/>
  <c r="T452" i="1"/>
  <c r="O454" i="1"/>
  <c r="O453" i="1"/>
  <c r="O452" i="1"/>
  <c r="V451" i="1" l="1"/>
  <c r="T451" i="1"/>
  <c r="O451" i="1"/>
  <c r="T450" i="1" l="1"/>
  <c r="V450" i="1"/>
  <c r="O450" i="1"/>
  <c r="O449" i="1" l="1"/>
  <c r="T449" i="1"/>
  <c r="V449" i="1"/>
  <c r="V448" i="1" l="1"/>
  <c r="O448" i="1"/>
  <c r="T448" i="1"/>
  <c r="T447" i="1" l="1"/>
  <c r="T446" i="1"/>
  <c r="T445" i="1"/>
  <c r="O447" i="1"/>
  <c r="O446" i="1"/>
  <c r="O445" i="1"/>
  <c r="V447" i="1"/>
  <c r="T444" i="1" l="1"/>
  <c r="O444" i="1"/>
  <c r="V444" i="1" l="1"/>
  <c r="O443" i="1" l="1"/>
  <c r="T443" i="1"/>
  <c r="V443" i="1"/>
  <c r="T438" i="1" l="1"/>
  <c r="T439" i="1"/>
  <c r="T440" i="1"/>
  <c r="T441" i="1"/>
  <c r="T442" i="1"/>
  <c r="O442" i="1"/>
  <c r="V442" i="1"/>
  <c r="V440" i="1" l="1"/>
  <c r="O438" i="1"/>
  <c r="O439" i="1"/>
  <c r="O440" i="1"/>
  <c r="O441" i="1"/>
  <c r="T437" i="1" l="1"/>
  <c r="O437" i="1"/>
  <c r="V437" i="1"/>
  <c r="O436" i="1" l="1"/>
  <c r="T436" i="1"/>
  <c r="V436" i="1"/>
  <c r="T435" i="1" l="1"/>
  <c r="O435" i="1"/>
  <c r="V435" i="1"/>
  <c r="O434" i="1" l="1"/>
  <c r="T434" i="1"/>
  <c r="V434" i="1"/>
  <c r="O433" i="1" l="1"/>
  <c r="O432" i="1"/>
  <c r="O431" i="1"/>
  <c r="T433" i="1"/>
  <c r="T432" i="1"/>
  <c r="T431" i="1"/>
  <c r="V433" i="1"/>
  <c r="O430" i="1" l="1"/>
  <c r="T430" i="1"/>
  <c r="V430" i="1"/>
  <c r="T429" i="1" l="1"/>
  <c r="O429" i="1"/>
  <c r="O428" i="1"/>
  <c r="T428" i="1"/>
  <c r="V428" i="1"/>
  <c r="V429" i="1"/>
  <c r="T427" i="1" l="1"/>
  <c r="V427" i="1"/>
  <c r="O427" i="1"/>
  <c r="O426" i="1" l="1"/>
  <c r="O425" i="1"/>
  <c r="O424" i="1"/>
  <c r="T426" i="1"/>
  <c r="T425" i="1"/>
  <c r="T424" i="1"/>
  <c r="V426" i="1"/>
  <c r="O423" i="1" l="1"/>
  <c r="T423" i="1"/>
  <c r="V423" i="1"/>
  <c r="O422" i="1" l="1"/>
  <c r="T422" i="1"/>
  <c r="V422" i="1"/>
  <c r="V421" i="1" l="1"/>
  <c r="T421" i="1"/>
  <c r="O421" i="1"/>
  <c r="T420" i="1" l="1"/>
  <c r="V420" i="1"/>
  <c r="O420" i="1"/>
  <c r="O419" i="1" l="1"/>
  <c r="O418" i="1"/>
  <c r="O417" i="1"/>
  <c r="V419" i="1"/>
  <c r="T419" i="1"/>
  <c r="T418" i="1"/>
  <c r="T417" i="1"/>
  <c r="O416" i="1" l="1"/>
  <c r="T416" i="1"/>
  <c r="V416" i="1"/>
  <c r="T415" i="1" l="1"/>
  <c r="V415" i="1"/>
  <c r="O415" i="1"/>
  <c r="T414" i="1" l="1"/>
  <c r="O414" i="1"/>
  <c r="V414" i="1"/>
  <c r="T413" i="1" l="1"/>
  <c r="V413" i="1"/>
  <c r="O413" i="1"/>
  <c r="T412" i="1" l="1"/>
  <c r="T411" i="1"/>
  <c r="T410" i="1"/>
  <c r="V412" i="1"/>
  <c r="O412" i="1"/>
  <c r="O411" i="1"/>
  <c r="O410" i="1"/>
  <c r="O409" i="1" l="1"/>
  <c r="T409" i="1"/>
  <c r="V409" i="1"/>
  <c r="V408" i="1" l="1"/>
  <c r="T408" i="1"/>
  <c r="O408" i="1"/>
  <c r="O407" i="1" l="1"/>
  <c r="T407" i="1"/>
  <c r="V407" i="1"/>
  <c r="V406" i="1" l="1"/>
  <c r="O406" i="1" l="1"/>
  <c r="O404" i="1"/>
  <c r="O403" i="1"/>
  <c r="O402" i="1"/>
  <c r="T403" i="1"/>
  <c r="T404" i="1"/>
  <c r="T405" i="1"/>
  <c r="T406" i="1"/>
  <c r="T402" i="1"/>
  <c r="O405" i="1" l="1"/>
  <c r="V402" i="1" l="1"/>
  <c r="T401" i="1" l="1"/>
  <c r="O401" i="1"/>
  <c r="V401" i="1"/>
  <c r="O400" i="1" l="1"/>
  <c r="T400" i="1"/>
  <c r="V400" i="1"/>
  <c r="V399" i="1" l="1"/>
  <c r="O399" i="1" l="1"/>
  <c r="T399" i="1"/>
  <c r="V398" i="1" l="1"/>
  <c r="O398" i="1" l="1"/>
  <c r="O397" i="1"/>
  <c r="O396" i="1"/>
  <c r="T398" i="1" l="1"/>
  <c r="T397" i="1"/>
  <c r="T396" i="1"/>
  <c r="O395" i="1" l="1"/>
  <c r="T395" i="1"/>
  <c r="V395" i="1"/>
  <c r="O394" i="1" l="1"/>
  <c r="T394" i="1"/>
  <c r="V394" i="1"/>
  <c r="O393" i="1" l="1"/>
  <c r="T392" i="1"/>
  <c r="T393" i="1"/>
  <c r="V393" i="1"/>
  <c r="O392" i="1" l="1"/>
  <c r="V392" i="1"/>
  <c r="O390" i="1" l="1"/>
  <c r="T391" i="1"/>
  <c r="T390" i="1"/>
  <c r="T389" i="1"/>
  <c r="O391" i="1"/>
  <c r="O389" i="1"/>
  <c r="V391" i="1" l="1"/>
  <c r="O388" i="1" l="1"/>
  <c r="T388" i="1"/>
  <c r="V388" i="1"/>
  <c r="O387" i="1" l="1"/>
  <c r="T387" i="1"/>
  <c r="V387" i="1"/>
  <c r="T386" i="1" l="1"/>
  <c r="O386" i="1"/>
  <c r="V386" i="1"/>
  <c r="O385" i="1" l="1"/>
  <c r="T385" i="1"/>
  <c r="V385" i="1"/>
  <c r="O383" i="1" l="1"/>
  <c r="O384" i="1" l="1"/>
  <c r="O382" i="1"/>
  <c r="T384" i="1"/>
  <c r="T383" i="1"/>
  <c r="T382" i="1"/>
  <c r="V384" i="1"/>
  <c r="V381" i="1" l="1"/>
  <c r="T381" i="1"/>
  <c r="O381" i="1"/>
  <c r="O380" i="1" l="1"/>
  <c r="T380" i="1"/>
  <c r="V380" i="1"/>
  <c r="O379" i="1" l="1"/>
  <c r="T379" i="1"/>
  <c r="V379" i="1"/>
  <c r="T378" i="1" l="1"/>
  <c r="O378" i="1"/>
  <c r="V378" i="1"/>
  <c r="V377" i="1" l="1"/>
  <c r="T377" i="1"/>
  <c r="T376" i="1"/>
  <c r="T375" i="1"/>
  <c r="O377" i="1" l="1"/>
  <c r="O376" i="1"/>
  <c r="O375" i="1"/>
  <c r="T374" i="1" l="1"/>
  <c r="O374" i="1"/>
  <c r="V374" i="1"/>
  <c r="T373" i="1" l="1"/>
  <c r="V373" i="1"/>
  <c r="O373" i="1"/>
  <c r="O372" i="1"/>
  <c r="T372" i="1" l="1"/>
  <c r="V372" i="1"/>
  <c r="O371" i="1" l="1"/>
  <c r="O370" i="1"/>
  <c r="T371" i="1"/>
  <c r="V371" i="1"/>
  <c r="V370" i="1" l="1"/>
  <c r="O368" i="1"/>
  <c r="O369" i="1"/>
  <c r="T370" i="1" l="1"/>
  <c r="T369" i="1"/>
  <c r="T368" i="1"/>
  <c r="T367" i="1" l="1"/>
  <c r="O367" i="1"/>
  <c r="V367" i="1"/>
  <c r="T366" i="1" l="1"/>
  <c r="O366" i="1"/>
  <c r="V366" i="1"/>
  <c r="T365" i="1" l="1"/>
  <c r="O365" i="1"/>
  <c r="V365" i="1"/>
  <c r="T364" i="1" l="1"/>
  <c r="O364" i="1"/>
  <c r="V364" i="1"/>
  <c r="O363" i="1" l="1"/>
  <c r="O362" i="1"/>
  <c r="O361" i="1"/>
  <c r="T363" i="1"/>
  <c r="T362" i="1"/>
  <c r="T361" i="1"/>
  <c r="V363" i="1"/>
  <c r="T360" i="1" l="1"/>
  <c r="O360" i="1"/>
  <c r="V360" i="1"/>
  <c r="T359" i="1" l="1"/>
  <c r="O359" i="1"/>
  <c r="V359" i="1"/>
  <c r="O358" i="1" l="1"/>
  <c r="T358" i="1"/>
  <c r="V358" i="1"/>
  <c r="O357" i="1" l="1"/>
  <c r="T357" i="1"/>
  <c r="V357" i="1"/>
  <c r="V356" i="1" l="1"/>
  <c r="O354" i="1"/>
  <c r="O355" i="1"/>
  <c r="T356" i="1" l="1"/>
  <c r="T355" i="1"/>
  <c r="T354" i="1"/>
  <c r="O356" i="1"/>
  <c r="O353" i="1" l="1"/>
  <c r="O351" i="1"/>
  <c r="O352" i="1"/>
  <c r="O350" i="1"/>
  <c r="O349" i="1"/>
  <c r="T353" i="1"/>
  <c r="V353" i="1"/>
  <c r="T350" i="1" l="1"/>
  <c r="T351" i="1"/>
  <c r="T352" i="1"/>
  <c r="V352" i="1"/>
  <c r="V351" i="1" l="1"/>
  <c r="V350" i="1" l="1"/>
  <c r="O348" i="1" l="1"/>
  <c r="O347" i="1"/>
  <c r="O342" i="1" l="1"/>
  <c r="O341" i="1"/>
  <c r="O340" i="1"/>
  <c r="T347" i="1"/>
  <c r="T348" i="1"/>
  <c r="T349" i="1"/>
  <c r="T342" i="1"/>
  <c r="V349" i="1"/>
  <c r="O346" i="1" l="1"/>
  <c r="T346" i="1"/>
  <c r="V346" i="1"/>
  <c r="T345" i="1" l="1"/>
  <c r="O345" i="1"/>
  <c r="V345" i="1"/>
  <c r="T344" i="1" l="1"/>
  <c r="O344" i="1"/>
  <c r="V344" i="1"/>
  <c r="T343" i="1" l="1"/>
  <c r="O343" i="1"/>
  <c r="V343" i="1"/>
  <c r="T341" i="1" l="1"/>
  <c r="T340" i="1"/>
  <c r="T337" i="1" l="1"/>
  <c r="T338" i="1"/>
  <c r="T339" i="1"/>
  <c r="O337" i="1"/>
  <c r="O338" i="1"/>
  <c r="O339" i="1"/>
  <c r="V342" i="1"/>
  <c r="V339" i="1" l="1"/>
  <c r="V338" i="1" l="1"/>
  <c r="V337" i="1" l="1"/>
  <c r="T336" i="1" l="1"/>
  <c r="O336" i="1"/>
  <c r="V336" i="1"/>
  <c r="T328" i="1" l="1"/>
  <c r="T327" i="1"/>
  <c r="T332" i="1" l="1"/>
  <c r="T333" i="1"/>
  <c r="T334" i="1"/>
  <c r="T335" i="1"/>
  <c r="O332" i="1"/>
  <c r="O333" i="1"/>
  <c r="O334" i="1"/>
  <c r="O335" i="1"/>
  <c r="V335" i="1"/>
  <c r="V332" i="1" l="1"/>
  <c r="O329" i="1" l="1"/>
  <c r="O330" i="1"/>
  <c r="O331" i="1"/>
  <c r="T329" i="1"/>
  <c r="T330" i="1"/>
  <c r="T331" i="1"/>
  <c r="V331" i="1"/>
  <c r="V330" i="1" l="1"/>
  <c r="V329" i="1" l="1"/>
  <c r="T308" i="1" l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V328" i="1"/>
  <c r="T305" i="1"/>
  <c r="V325" i="1" l="1"/>
  <c r="V324" i="1" l="1"/>
  <c r="V323" i="1" l="1"/>
  <c r="V322" i="1" l="1"/>
  <c r="V321" i="1" l="1"/>
  <c r="V314" i="1" l="1"/>
  <c r="V318" i="1" l="1"/>
  <c r="V317" i="1"/>
  <c r="V316" i="1" l="1"/>
  <c r="V315" i="1" l="1"/>
  <c r="V311" i="1" l="1"/>
  <c r="V310" i="1" l="1"/>
  <c r="O308" i="1" l="1"/>
  <c r="O309" i="1"/>
  <c r="V309" i="1" l="1"/>
  <c r="V308" i="1" l="1"/>
  <c r="T306" i="1" l="1"/>
  <c r="T307" i="1"/>
  <c r="O305" i="1"/>
  <c r="O306" i="1"/>
  <c r="O307" i="1"/>
  <c r="V293" i="1" l="1"/>
  <c r="V307" i="1" l="1"/>
  <c r="T304" i="1" l="1"/>
  <c r="O304" i="1"/>
  <c r="V304" i="1" l="1"/>
  <c r="V303" i="1" l="1"/>
  <c r="T303" i="1"/>
  <c r="T302" i="1"/>
  <c r="O303" i="1"/>
  <c r="O302" i="1"/>
  <c r="T299" i="1" l="1"/>
  <c r="T300" i="1"/>
  <c r="T301" i="1"/>
  <c r="T298" i="1"/>
  <c r="O299" i="1"/>
  <c r="O300" i="1"/>
  <c r="O301" i="1"/>
  <c r="O298" i="1"/>
  <c r="V302" i="1" l="1"/>
  <c r="V301" i="1"/>
  <c r="V297" i="1" l="1"/>
  <c r="V296" i="1" l="1"/>
  <c r="V295" i="1" l="1"/>
  <c r="V294" i="1" l="1"/>
  <c r="V290" i="1" l="1"/>
  <c r="V283" i="1"/>
  <c r="V282" i="1"/>
  <c r="V289" i="1" l="1"/>
  <c r="V288" i="1" l="1"/>
  <c r="V287" i="1" l="1"/>
  <c r="V286" i="1" l="1"/>
  <c r="V259" i="1" l="1"/>
  <c r="V261" i="1"/>
  <c r="V262" i="1"/>
  <c r="V268" i="1"/>
  <c r="V281" i="1"/>
  <c r="V280" i="1" l="1"/>
  <c r="V279" i="1" l="1"/>
  <c r="V276" i="1" l="1"/>
  <c r="V275" i="1"/>
  <c r="V274" i="1" l="1"/>
  <c r="V273" i="1" l="1"/>
  <c r="V272" i="1"/>
  <c r="V269" i="1" l="1"/>
  <c r="V267" i="1" l="1"/>
  <c r="V266" i="1" l="1"/>
  <c r="V265" i="1" l="1"/>
  <c r="V260" i="1" l="1"/>
  <c r="V254" i="1" l="1"/>
  <c r="V255" i="1"/>
  <c r="V258" i="1"/>
  <c r="V251" i="1" l="1"/>
  <c r="V248" i="1" l="1"/>
  <c r="V252" i="1"/>
  <c r="V253" i="1"/>
  <c r="V247" i="1" l="1"/>
  <c r="V246" i="1" l="1"/>
  <c r="V244" i="1" l="1"/>
  <c r="V245" i="1"/>
  <c r="V239" i="1" l="1"/>
  <c r="V240" i="1"/>
  <c r="V241" i="1"/>
  <c r="V234" i="1"/>
  <c r="V238" i="1"/>
  <c r="V237" i="1"/>
  <c r="V233" i="1" l="1"/>
  <c r="V232" i="1"/>
  <c r="V231" i="1"/>
  <c r="V230" i="1"/>
  <c r="V227" i="1"/>
  <c r="V226" i="1"/>
  <c r="V225" i="1" l="1"/>
  <c r="V224" i="1"/>
  <c r="V223" i="1"/>
  <c r="V220" i="1"/>
  <c r="V219" i="1"/>
  <c r="V218" i="1"/>
  <c r="V217" i="1"/>
  <c r="V216" i="1"/>
  <c r="V213" i="1"/>
  <c r="V212" i="1"/>
  <c r="V209" i="1" l="1"/>
  <c r="V204" i="1" l="1"/>
  <c r="V205" i="1" l="1"/>
  <c r="V206" i="1"/>
  <c r="V210" i="1"/>
  <c r="V211" i="1"/>
  <c r="V203" i="1" l="1"/>
  <c r="V195" i="1" l="1"/>
  <c r="V192" i="1" l="1"/>
  <c r="V191" i="1"/>
  <c r="V190" i="1" l="1"/>
  <c r="V188" i="1" l="1"/>
  <c r="V189" i="1"/>
  <c r="V183" i="1" l="1"/>
  <c r="V182" i="1"/>
  <c r="Q181" i="1" l="1"/>
  <c r="V181" i="1" s="1"/>
  <c r="V175" i="1" l="1"/>
  <c r="V167" i="1" l="1"/>
  <c r="V160" i="1" l="1"/>
  <c r="V156" i="1" l="1"/>
  <c r="V153" i="1" l="1"/>
  <c r="V149" i="1" l="1"/>
  <c r="Q143" i="1" l="1"/>
  <c r="V143" i="1" s="1"/>
  <c r="V146" i="1"/>
  <c r="V139" i="1" l="1"/>
  <c r="Z731" i="3" l="1"/>
  <c r="Z723" i="3" l="1"/>
  <c r="Z733" i="3" s="1"/>
  <c r="V134" i="1" l="1"/>
  <c r="Z715" i="3" l="1"/>
  <c r="Z725" i="3" s="1"/>
  <c r="Z708" i="3" l="1"/>
  <c r="Z717" i="3" s="1"/>
  <c r="V132" i="1" l="1"/>
  <c r="Z703" i="3" l="1"/>
  <c r="Z710" i="3" s="1"/>
  <c r="V129" i="1" l="1"/>
  <c r="Z696" i="3" l="1"/>
  <c r="Z705" i="3" s="1"/>
  <c r="Z687" i="3" l="1"/>
  <c r="Z698" i="3" s="1"/>
  <c r="Z679" i="3" l="1"/>
  <c r="Z689" i="3" s="1"/>
  <c r="Z671" i="3" l="1"/>
  <c r="Z681" i="3" s="1"/>
  <c r="V125" i="1" l="1"/>
  <c r="Z664" i="3" l="1"/>
  <c r="Z673" i="3" s="1"/>
  <c r="V122" i="1" l="1"/>
  <c r="Z656" i="3" l="1"/>
  <c r="Z666" i="3" s="1"/>
  <c r="Z648" i="3" l="1"/>
  <c r="Z658" i="3" s="1"/>
  <c r="V6" i="1" l="1"/>
  <c r="V3" i="1"/>
  <c r="V2" i="1"/>
  <c r="Z640" i="3" l="1"/>
  <c r="Z650" i="3" s="1"/>
  <c r="V119" i="1" l="1"/>
  <c r="Z36" i="3" l="1"/>
  <c r="Z29" i="3"/>
  <c r="Z21" i="3"/>
  <c r="Z13" i="3"/>
  <c r="Z6" i="3"/>
  <c r="Z23" i="3" l="1"/>
  <c r="Z38" i="3"/>
  <c r="Z31" i="3"/>
  <c r="Z15" i="3"/>
  <c r="V10" i="1" l="1"/>
  <c r="V9" i="1"/>
  <c r="V8" i="1"/>
  <c r="V7" i="1"/>
  <c r="V13" i="1" l="1"/>
  <c r="Z633" i="3" l="1"/>
  <c r="Z642" i="3" s="1"/>
  <c r="V118" i="1" l="1"/>
  <c r="Z44" i="3" l="1"/>
  <c r="Z52" i="3"/>
  <c r="Z60" i="3"/>
  <c r="Z62" i="3" l="1"/>
  <c r="Z54" i="3"/>
  <c r="Z46" i="3"/>
  <c r="V20" i="1"/>
  <c r="V17" i="1"/>
  <c r="V16" i="1"/>
  <c r="V15" i="1"/>
  <c r="V14" i="1"/>
  <c r="Z627" i="3"/>
  <c r="Z635" i="3" s="1"/>
  <c r="Z619" i="3" l="1"/>
  <c r="Z629" i="3" s="1"/>
  <c r="Z99" i="3" l="1"/>
  <c r="Z90" i="3"/>
  <c r="Z82" i="3"/>
  <c r="Z76" i="3"/>
  <c r="Z69" i="3"/>
  <c r="Z101" i="3" l="1"/>
  <c r="Z92" i="3"/>
  <c r="Z78" i="3"/>
  <c r="Z71" i="3"/>
  <c r="Z84" i="3"/>
  <c r="Q27" i="1"/>
  <c r="V27" i="1" s="1"/>
  <c r="V24" i="1"/>
  <c r="Q23" i="1"/>
  <c r="V23" i="1" s="1"/>
  <c r="Q21" i="1"/>
  <c r="V21" i="1" s="1"/>
  <c r="V22" i="1"/>
  <c r="Z612" i="3" l="1"/>
  <c r="Z621" i="3" s="1"/>
  <c r="V126" i="1"/>
  <c r="V127" i="1"/>
  <c r="V128" i="1"/>
  <c r="V133" i="1"/>
  <c r="V135" i="1"/>
  <c r="V136" i="1"/>
  <c r="V140" i="1"/>
  <c r="V141" i="1"/>
  <c r="V142" i="1"/>
  <c r="V147" i="1"/>
  <c r="V150" i="1"/>
  <c r="V154" i="1"/>
  <c r="V157" i="1"/>
  <c r="V161" i="1"/>
  <c r="V162" i="1"/>
  <c r="V163" i="1"/>
  <c r="V164" i="1"/>
  <c r="V168" i="1"/>
  <c r="V169" i="1"/>
  <c r="V170" i="1"/>
  <c r="V171" i="1"/>
  <c r="V176" i="1"/>
  <c r="V177" i="1"/>
  <c r="V178" i="1"/>
  <c r="V184" i="1"/>
  <c r="V185" i="1"/>
  <c r="V196" i="1"/>
  <c r="V197" i="1"/>
  <c r="V198" i="1"/>
  <c r="V199" i="1"/>
  <c r="Z140" i="3" l="1"/>
  <c r="Z132" i="3"/>
  <c r="Z125" i="3"/>
  <c r="Z117" i="3"/>
  <c r="Z108" i="3"/>
  <c r="Z110" i="3" s="1"/>
  <c r="Z127" i="3" l="1"/>
  <c r="Z134" i="3"/>
  <c r="Z142" i="3"/>
  <c r="Z119" i="3"/>
  <c r="Z604" i="3"/>
  <c r="Z614" i="3" s="1"/>
  <c r="V113" i="1" l="1"/>
  <c r="R35" i="1" l="1"/>
  <c r="V35" i="1" s="1"/>
  <c r="V120" i="1"/>
  <c r="V115" i="1"/>
  <c r="V114" i="1"/>
  <c r="V112" i="1"/>
  <c r="V107" i="1"/>
  <c r="V108" i="1"/>
  <c r="V31" i="1"/>
  <c r="V30" i="1"/>
  <c r="V29" i="1"/>
  <c r="V28" i="1" l="1"/>
  <c r="Z586" i="3" l="1"/>
  <c r="Z595" i="3"/>
  <c r="Z606" i="3" s="1"/>
  <c r="Z597" i="3" l="1"/>
  <c r="V111" i="1"/>
  <c r="Z577" i="3" l="1"/>
  <c r="Z588" i="3" s="1"/>
  <c r="Z177" i="3" l="1"/>
  <c r="Z169" i="3" l="1"/>
  <c r="Z179" i="3" s="1"/>
  <c r="Z161" i="3"/>
  <c r="Z154" i="3"/>
  <c r="Z146" i="3"/>
  <c r="Z148" i="3" s="1"/>
  <c r="Z163" i="3" l="1"/>
  <c r="Z156" i="3"/>
  <c r="Z171" i="3"/>
  <c r="Z570" i="3"/>
  <c r="Z579" i="3" s="1"/>
  <c r="V106" i="1"/>
  <c r="Z561" i="3" l="1"/>
  <c r="Z572" i="3" s="1"/>
  <c r="V105" i="1" l="1"/>
  <c r="V97" i="1"/>
  <c r="Z215" i="3" l="1"/>
  <c r="Z206" i="3"/>
  <c r="Z199" i="3"/>
  <c r="Z191" i="3"/>
  <c r="Z184" i="3"/>
  <c r="Z186" i="3" s="1"/>
  <c r="Z208" i="3" l="1"/>
  <c r="Z201" i="3"/>
  <c r="Z217" i="3"/>
  <c r="Z193" i="3"/>
  <c r="V48" i="1" l="1"/>
  <c r="V45" i="1" l="1"/>
  <c r="V44" i="1"/>
  <c r="V43" i="1" l="1"/>
  <c r="V99" i="1"/>
  <c r="V101" i="1"/>
  <c r="V100" i="1"/>
  <c r="Z554" i="3" l="1"/>
  <c r="Z563" i="3" s="1"/>
  <c r="Z546" i="3" l="1"/>
  <c r="Z556" i="3" s="1"/>
  <c r="Z253" i="3" l="1"/>
  <c r="Z245" i="3"/>
  <c r="Z238" i="3"/>
  <c r="Z230" i="3"/>
  <c r="Z223" i="3"/>
  <c r="Z225" i="3" s="1"/>
  <c r="Z247" i="3" l="1"/>
  <c r="Z255" i="3"/>
  <c r="Z232" i="3"/>
  <c r="Z240" i="3"/>
  <c r="Z536" i="3" l="1"/>
  <c r="Z548" i="3" s="1"/>
  <c r="V98" i="1" l="1"/>
  <c r="Z528" i="3"/>
  <c r="Z538" i="3" s="1"/>
  <c r="Z519" i="3" l="1"/>
  <c r="Z530" i="3" s="1"/>
  <c r="V59" i="1" l="1"/>
  <c r="V58" i="1"/>
  <c r="V57" i="1"/>
  <c r="V56" i="1"/>
  <c r="V62" i="1"/>
  <c r="Z262" i="3" l="1"/>
  <c r="Z264" i="3" s="1"/>
  <c r="Z270" i="3"/>
  <c r="Z278" i="3"/>
  <c r="Z285" i="3"/>
  <c r="Z293" i="3"/>
  <c r="Z287" i="3" l="1"/>
  <c r="Z272" i="3"/>
  <c r="Z295" i="3"/>
  <c r="Z280" i="3"/>
  <c r="M93" i="1" l="1"/>
  <c r="V93" i="1" s="1"/>
  <c r="Z510" i="3" l="1"/>
  <c r="Z521" i="3" s="1"/>
  <c r="V92" i="1" l="1"/>
  <c r="Z502" i="3"/>
  <c r="Z512" i="3" s="1"/>
  <c r="Z493" i="3" l="1"/>
  <c r="Z504" i="3" s="1"/>
  <c r="V91" i="1" l="1"/>
  <c r="Z484" i="3"/>
  <c r="Z495" i="3" s="1"/>
  <c r="Z476" i="3" l="1"/>
  <c r="Z486" i="3" s="1"/>
  <c r="V90" i="1"/>
  <c r="V87" i="1"/>
  <c r="Z468" i="3"/>
  <c r="Z478" i="3" l="1"/>
  <c r="Z459" i="3" l="1"/>
  <c r="Z470" i="3" s="1"/>
  <c r="V69" i="1" l="1"/>
  <c r="M66" i="1" l="1"/>
  <c r="M65" i="1"/>
  <c r="E80" i="1"/>
  <c r="K79" i="1"/>
  <c r="E78" i="1"/>
  <c r="M72" i="1"/>
  <c r="K73" i="1"/>
  <c r="M71" i="1"/>
  <c r="Z450" i="3" l="1"/>
  <c r="Z461" i="3" s="1"/>
  <c r="Z442" i="3" l="1"/>
  <c r="Z452" i="3" s="1"/>
  <c r="Z433" i="3" l="1"/>
  <c r="Z444" i="3" s="1"/>
  <c r="Z427" i="3" l="1"/>
  <c r="Z435" i="3" s="1"/>
  <c r="AB435" i="3" s="1"/>
  <c r="Z419" i="3"/>
  <c r="Z429" i="3" l="1"/>
  <c r="Z411" i="3" l="1"/>
  <c r="Z421" i="3" s="1"/>
  <c r="Z301" i="3" l="1"/>
  <c r="Z303" i="3" s="1"/>
  <c r="Z311" i="3"/>
  <c r="Z313" i="3" l="1"/>
  <c r="Z402" i="3" l="1"/>
  <c r="Z413" i="3" s="1"/>
  <c r="Z389" i="3"/>
  <c r="Z380" i="3"/>
  <c r="Z371" i="3"/>
  <c r="Z360" i="3"/>
  <c r="Z349" i="3"/>
  <c r="Z338" i="3"/>
  <c r="Z328" i="3"/>
  <c r="Z321" i="3"/>
  <c r="Z323" i="3" s="1"/>
  <c r="Z404" i="3" l="1"/>
  <c r="Z351" i="3"/>
  <c r="Z382" i="3"/>
  <c r="Z330" i="3"/>
  <c r="Z373" i="3"/>
  <c r="Z391" i="3"/>
  <c r="AA391" i="3" s="1"/>
  <c r="Z340" i="3"/>
  <c r="Z362" i="3"/>
  <c r="AA340" i="3" l="1"/>
</calcChain>
</file>

<file path=xl/comments1.xml><?xml version="1.0" encoding="utf-8"?>
<comments xmlns="http://schemas.openxmlformats.org/spreadsheetml/2006/main">
  <authors>
    <author>ACER</author>
  </authors>
  <commentList>
    <comment ref="J954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1740 783     003001       016072                                 29        7800              22.61CR                                
          IC ADJ S2389017- 0W1���������������ORG FEE=0000000173 CORR.FEE=0000002434                                                 
1740 783     003001       016072                                 29        7800              16.59CR                                
          IC ADJ S2389017- 0W2���������������ORG FEE=0000003658 CORR.FEE=0000005317                                                 
1740 783     003001       016072                                 29        7800               8.22CR                                
          IC ADJ S2389017- 0W3���������������ORG FEE=0000001675 CORR.FEE=0000002497                                                 
</t>
        </r>
      </text>
    </comment>
  </commentList>
</comments>
</file>

<file path=xl/sharedStrings.xml><?xml version="1.0" encoding="utf-8"?>
<sst xmlns="http://schemas.openxmlformats.org/spreadsheetml/2006/main" count="4198" uniqueCount="1526">
  <si>
    <t>NO</t>
  </si>
  <si>
    <t>ORIGINATED IN</t>
  </si>
  <si>
    <t>D/</t>
  </si>
  <si>
    <t>RECEIVED IN</t>
  </si>
  <si>
    <t>NET AMOUNT IN</t>
  </si>
  <si>
    <t>Payment</t>
  </si>
  <si>
    <t>C</t>
  </si>
  <si>
    <t>D</t>
  </si>
  <si>
    <t xml:space="preserve">NO   RECON DATE   INPUT       File                                 </t>
  </si>
  <si>
    <t xml:space="preserve">                  SOURCE      ID                                   </t>
  </si>
  <si>
    <t xml:space="preserve">  1  10 SEP 2019  0000000001  0011909100000000220204401            </t>
  </si>
  <si>
    <t xml:space="preserve">  2  10 SEP 2019  0000000001  0011909100000000220205501            </t>
  </si>
  <si>
    <t xml:space="preserve">  3  10 SEP 2019  0000000001  0021909090000000220200400            </t>
  </si>
  <si>
    <t xml:space="preserve">  1  16 SEP 2019  0000000001  0011909160000000220204401            </t>
  </si>
  <si>
    <t xml:space="preserve">  2  16 SEP 2019  0000000001  0011909160000000220205501            </t>
  </si>
  <si>
    <t xml:space="preserve">  3  16 SEP 2019  0000000001  0011909160000000220206601            </t>
  </si>
  <si>
    <t xml:space="preserve">  1  20 SEP 2019  0000000001  0011909200000000220204401            </t>
  </si>
  <si>
    <t xml:space="preserve">  2  20 SEP 2019  0000000001  0011909200000000220205501            </t>
  </si>
  <si>
    <t xml:space="preserve">  3  20 SEP 2019  0000000001  0011909200000000220206601            </t>
  </si>
  <si>
    <t xml:space="preserve">  4  20 SEP 2019  0000000001  0021909190000000220200400            </t>
  </si>
  <si>
    <t xml:space="preserve">  1  23 SEP 2019  0000000001  0011909230000000220204401            </t>
  </si>
  <si>
    <t xml:space="preserve">  2  23 SEP 2019  0000000001  0011909230000000220205501            </t>
  </si>
  <si>
    <t xml:space="preserve">  3  23 SEP 2019  0000000001  0011909230000000220206601            </t>
  </si>
  <si>
    <t xml:space="preserve">  1  30 SEP 2019  0000000001  0011909300000000220204401            </t>
  </si>
  <si>
    <t xml:space="preserve">  2  30 SEP 2019  0000000001  0011909300000000220205501            </t>
  </si>
  <si>
    <t xml:space="preserve">  3  30 SEP 2019  0000000001  0011909300000000220206601            </t>
  </si>
  <si>
    <t xml:space="preserve">  1  02 OCT 2019  0000000001  0011910020000000220204401            </t>
  </si>
  <si>
    <t xml:space="preserve">  2  02 OCT 2019  0000000001  0011910020000000220205501            </t>
  </si>
  <si>
    <t xml:space="preserve">  3  02 OCT 2019  0000000001  0011910020000000220206601            </t>
  </si>
  <si>
    <t xml:space="preserve">  4  03 OCT 2019  0000000001  0011910030000000220201101            </t>
  </si>
  <si>
    <t xml:space="preserve">  5  03 OCT 2019  0000000001  0011910030000000220202201            </t>
  </si>
  <si>
    <t xml:space="preserve">  6  03 OCT 2019  0000000001  0011910030000000220203301            </t>
  </si>
  <si>
    <t xml:space="preserve">  1  03 OCT 2019  0000000001  0011910030000000220205501            </t>
  </si>
  <si>
    <t xml:space="preserve">  2  03 OCT 2019  0000000001  0011910030000000220206601            </t>
  </si>
  <si>
    <t xml:space="preserve">  3  03 OCT 2019  0000000001  0021910020000000220200400            </t>
  </si>
  <si>
    <t xml:space="preserve">  4  04 OCT 2019  0000000001  0011910040000000220201101            </t>
  </si>
  <si>
    <t xml:space="preserve">  5  04 OCT 2019  0000000001  0011910040000000220202201            </t>
  </si>
  <si>
    <t xml:space="preserve">  6  04 OCT 2019  0000000001  0011910040000000220203301            </t>
  </si>
  <si>
    <t xml:space="preserve">  1  04 OCT 2019  0000000001  0011910040000000220205501            </t>
  </si>
  <si>
    <t xml:space="preserve">  2  04 OCT 2019  0000000001  0011910040000000220206601            </t>
  </si>
  <si>
    <t xml:space="preserve">  3  04 OCT 2019  0000000001  0021910030000000220200400            </t>
  </si>
  <si>
    <t xml:space="preserve">  1  07 OCT 2019  0000000001  0011910070000000220205501            </t>
  </si>
  <si>
    <t xml:space="preserve">  2  07 OCT 2019  0000000001  0011910070000000220206601            </t>
  </si>
  <si>
    <t xml:space="preserve">  3  07 OCT 2019  0000000001  0021910060000000220200400            </t>
  </si>
  <si>
    <t xml:space="preserve">  4  08 OCT 2019  0000000001  0011910080000000220201101            </t>
  </si>
  <si>
    <t xml:space="preserve">  5  08 OCT 2019  0000000001  0011910080000000220202201            </t>
  </si>
  <si>
    <t xml:space="preserve">  1  08 OCT 2019  0000000001  0011910080000000220205501            </t>
  </si>
  <si>
    <t xml:space="preserve">  2  08 OCT 2019  0000000001  0011910080000000220206601            </t>
  </si>
  <si>
    <t xml:space="preserve">  3  08 OCT 2019  0000000001  0021910070000000220200400            </t>
  </si>
  <si>
    <t xml:space="preserve">  4  09 OCT 2019  0000000001  0011910090000000220201101            </t>
  </si>
  <si>
    <t xml:space="preserve">  5  09 OCT 2019  0000000001  0011910090000000220202201            </t>
  </si>
  <si>
    <t xml:space="preserve">  6  09 OCT 2019  0000000001  0011910090000000220203301            </t>
  </si>
  <si>
    <t xml:space="preserve">  1  09 OCT 2019  0000000001  0011910090000000220204401            </t>
  </si>
  <si>
    <t xml:space="preserve">  2  09 OCT 2019  0000000001  0011910090000000220205501            </t>
  </si>
  <si>
    <t xml:space="preserve">  3  09 OCT 2019  0000000001  0011910090000000220206601            </t>
  </si>
  <si>
    <t xml:space="preserve">  4  09 OCT 2019  0000000001  0021910080000000220200400            </t>
  </si>
  <si>
    <t xml:space="preserve">  5  10 OCT 2019  0000000001  0011910100000000220201101            </t>
  </si>
  <si>
    <t xml:space="preserve">  6  10 OCT 2019  0000000001  0011910100000000220202201            </t>
  </si>
  <si>
    <t xml:space="preserve">  1  10 OCT 2019  0000000001  0011910100000000220204401            </t>
  </si>
  <si>
    <t xml:space="preserve">  2  10 OCT 2019  0000000001  0011910100000000220205501            </t>
  </si>
  <si>
    <t xml:space="preserve">  3  10 OCT 2019  0000000001  0011910100000000220206601            </t>
  </si>
  <si>
    <t xml:space="preserve">  4  10 OCT 2019  0000000001  0021910090000000220200400            </t>
  </si>
  <si>
    <t xml:space="preserve">  5  11 OCT 2019  0000000001  0011910110000000220201101            </t>
  </si>
  <si>
    <t xml:space="preserve">  6  11 OCT 2019  0000000001  0011910110000000220202201            </t>
  </si>
  <si>
    <t xml:space="preserve">  1  11 OCT 2019  0000000001  0011910110000000220204401            </t>
  </si>
  <si>
    <t xml:space="preserve">  2  11 OCT 2019  0000000001  0011910110000000220205501            </t>
  </si>
  <si>
    <t xml:space="preserve">  3  11 OCT 2019  0000000001  0011910110000000220206601            </t>
  </si>
  <si>
    <t xml:space="preserve">  4  11 OCT 2019  0000000001  0021910100000000220200400            </t>
  </si>
  <si>
    <t xml:space="preserve">  1  14 OCT 2019  0000000001  0011910140000000220204401            </t>
  </si>
  <si>
    <t xml:space="preserve">  2  15 OCT 2019  0000000001  0011910150000000220201101            </t>
  </si>
  <si>
    <t xml:space="preserve">  3  15 OCT 2019  0000000001  0011910150000000220202201            </t>
  </si>
  <si>
    <t xml:space="preserve">  4  15 OCT 2019  0000000001  0011910150000000220203301            </t>
  </si>
  <si>
    <t xml:space="preserve">  1  15 OCT 2019  0000000001  0011910150000000220204401            </t>
  </si>
  <si>
    <t xml:space="preserve">  2  15 OCT 2019  0000000001  0011910150000000220205501            </t>
  </si>
  <si>
    <t xml:space="preserve">  3  15 OCT 2019  0000000001  0011910150000000220206601            </t>
  </si>
  <si>
    <t xml:space="preserve">  4  15 OCT 2019  0000000001  0021910140000000220200400            </t>
  </si>
  <si>
    <t xml:space="preserve">  5  16 OCT 2019  0000000001  0011910160000000220201101            </t>
  </si>
  <si>
    <t xml:space="preserve">  6  16 OCT 2019  0000000001  0011910160000000220202201            </t>
  </si>
  <si>
    <t xml:space="preserve">  7  16 OCT 2019  0000000001  0011910160000000220203301            </t>
  </si>
  <si>
    <t xml:space="preserve">  1  16 OCT 2019  0000000001  0011910160000000220204401            </t>
  </si>
  <si>
    <t xml:space="preserve">  2  16 OCT 2019  0000000001  0011910160000000220205501            </t>
  </si>
  <si>
    <t xml:space="preserve">  3  16 OCT 2019  0000000001  0011910160000000220206601            </t>
  </si>
  <si>
    <t xml:space="preserve">  4  16 OCT 2019  0000000001  0021910150000000220200400            </t>
  </si>
  <si>
    <t>NO   RECON DATE   INPUT       File</t>
  </si>
  <si>
    <t xml:space="preserve">                  SOURCE      ID</t>
  </si>
  <si>
    <t xml:space="preserve">  1  17 OCT 2019  0000000001  0011910170000000220205501</t>
  </si>
  <si>
    <t xml:space="preserve">  2  17 OCT 2019  0000000001  0011910170000000220206601</t>
  </si>
  <si>
    <t xml:space="preserve">  3  17 OCT 2019  0000000001  0021910160000000220200400</t>
  </si>
  <si>
    <t xml:space="preserve">  1  18 OCT 2019  0000000001  0011910180000000220205501            </t>
  </si>
  <si>
    <t xml:space="preserve">  2  18 OCT 2019  0000000001  0011910180000000220206601            </t>
  </si>
  <si>
    <t xml:space="preserve">  3  18 OCT 2019  0000000001  0021910170000000220200400            </t>
  </si>
  <si>
    <t xml:space="preserve">  1  21 OCT 2019  0000000001  0011910210000000220206601</t>
  </si>
  <si>
    <t xml:space="preserve">  1  23 OCT 2019  0000000001  0011910230000000220205501</t>
  </si>
  <si>
    <t xml:space="preserve">  2  23 OCT 2019  0000000001  0011910230000000220206601</t>
  </si>
  <si>
    <t xml:space="preserve">  3  23 OCT 2019  0000000001  0021910220000000220200400</t>
  </si>
  <si>
    <t xml:space="preserve">  1  24 OCT 2019  0000000001  0011910240000000220204401</t>
  </si>
  <si>
    <t xml:space="preserve">  2  24 OCT 2019  0000000001  0011910240000000220205501</t>
  </si>
  <si>
    <t xml:space="preserve">  3  24 OCT 2019  0000000001  0011910240000000220206601</t>
  </si>
  <si>
    <t xml:space="preserve">  4  24 OCT 2019  0000000001  0021910230000000220200400</t>
  </si>
  <si>
    <t xml:space="preserve">  1  25 OCT 2019  0000000001  0011910250000000220204401</t>
  </si>
  <si>
    <t xml:space="preserve">  2  25 OCT 2019  0000000001  0011910250000000220205501</t>
  </si>
  <si>
    <t xml:space="preserve">  3  25 OCT 2019  0000000001  0011910250000000220206601</t>
  </si>
  <si>
    <t xml:space="preserve">  4  25 OCT 2019  0000000001  0021910240000000220200400</t>
  </si>
  <si>
    <t xml:space="preserve">  1  28 OCT 2019  0000000001  0011910280000000220205501</t>
  </si>
  <si>
    <t xml:space="preserve">  2  28 OCT 2019  0000000001  0011910280000000220206601</t>
  </si>
  <si>
    <t xml:space="preserve">  3  28 OCT 2019  0000000001  0021910270000000220200400</t>
  </si>
  <si>
    <t xml:space="preserve">  1  29 OCT 2019  0000000001  0011910290000000220205501</t>
  </si>
  <si>
    <t xml:space="preserve">  2  29 OCT 2019  0000000001  0011910290000000220206601</t>
  </si>
  <si>
    <t xml:space="preserve">  3  29 OCT 2019  0000000001  0021910280000000220200400</t>
  </si>
  <si>
    <t xml:space="preserve">  1  30 OCT 2019  0000000001  0011910300000000220204401</t>
  </si>
  <si>
    <t xml:space="preserve">  2  30 OCT 2019  0000000001  0011910300000000220205501</t>
  </si>
  <si>
    <t xml:space="preserve">  3  30 OCT 2019  0000000001  0011910300000000220206601</t>
  </si>
  <si>
    <t xml:space="preserve">  4  30 OCT 2019  0000000001  0021910290000000220200400</t>
  </si>
  <si>
    <t xml:space="preserve">  1  31 OCT 2019  0000000001  0011910310000000220204401</t>
  </si>
  <si>
    <t xml:space="preserve">  2  31 OCT 2019  0000000001  0011910310000000220205501</t>
  </si>
  <si>
    <t xml:space="preserve">  3  31 OCT 2019  0000000001  0011910310000000220206601</t>
  </si>
  <si>
    <t xml:space="preserve">  4  31 OCT 2019  0000000001  0021910300000000220200400</t>
  </si>
  <si>
    <t xml:space="preserve">  1  01 NOV 2019  0000000001  0011911010000000220205501</t>
  </si>
  <si>
    <t xml:space="preserve">  2  01 NOV 2019  0000000001  0011911010000000220206601</t>
  </si>
  <si>
    <t xml:space="preserve">  3  01 NOV 2019  0000000001  0021910310000000220200400</t>
  </si>
  <si>
    <t xml:space="preserve">  1  05 NOV 2019  0000000001  0011911050000000220204401</t>
  </si>
  <si>
    <t xml:space="preserve">  2  05 NOV 2019  0000000001  0011911050000000220205501</t>
  </si>
  <si>
    <t xml:space="preserve">  3  05 NOV 2019  0000000001  0011911050000000220206601</t>
  </si>
  <si>
    <t xml:space="preserve">  4  05 NOV 2019  0000000001  0021911040000000220200400</t>
  </si>
  <si>
    <t xml:space="preserve">  1  07 NOV 2019  0000000001  0011911070000000220204401</t>
  </si>
  <si>
    <t xml:space="preserve">  2  07 NOV 2019  0000000001  0011911070000000220205501</t>
  </si>
  <si>
    <t xml:space="preserve">  3  07 NOV 2019  0000000001  0011911070000000220206601</t>
  </si>
  <si>
    <t xml:space="preserve">  4  07 NOV 2019  0000000001  0021911060000000220200400</t>
  </si>
  <si>
    <t xml:space="preserve">  5  07 NOV 2019  0000000001  0021911060000001607200600</t>
  </si>
  <si>
    <t>T464</t>
  </si>
  <si>
    <t>CI</t>
  </si>
  <si>
    <t>MS REFUND</t>
  </si>
  <si>
    <t>ATM chargeback</t>
  </si>
  <si>
    <t>ATM Represen</t>
  </si>
  <si>
    <t>MS2</t>
  </si>
  <si>
    <t>MS2 chargeback</t>
  </si>
  <si>
    <t>MS2 representment</t>
  </si>
  <si>
    <t>POS1</t>
  </si>
  <si>
    <t>REFUND</t>
  </si>
  <si>
    <t>POS chargeback</t>
  </si>
  <si>
    <t>POS representm</t>
  </si>
  <si>
    <t>Outbound misc rec</t>
  </si>
  <si>
    <t>MDS PENDING</t>
  </si>
  <si>
    <t>T140</t>
  </si>
  <si>
    <t>CHECK</t>
  </si>
  <si>
    <t>BILLING ISS</t>
  </si>
  <si>
    <t>ISS ADVISEMENT</t>
  </si>
  <si>
    <t>DIFF</t>
  </si>
  <si>
    <t>ACQ ATM</t>
  </si>
  <si>
    <t>ACQ POS</t>
  </si>
  <si>
    <t>ACQ CHARGEBACK</t>
  </si>
  <si>
    <t>ACQ BILLING</t>
  </si>
  <si>
    <t>ACQ ADVISEMEN</t>
  </si>
  <si>
    <t>NIBSS</t>
  </si>
  <si>
    <t>06.08.19</t>
  </si>
  <si>
    <t>07.08.19</t>
  </si>
  <si>
    <t>08.08.19</t>
  </si>
  <si>
    <t>09.08.19</t>
  </si>
  <si>
    <t>10.08.19</t>
  </si>
  <si>
    <t>11.08.19</t>
  </si>
  <si>
    <t>12.08.19</t>
  </si>
  <si>
    <t>13.08.19</t>
  </si>
  <si>
    <t>14.08.19</t>
  </si>
  <si>
    <t>15.08.19</t>
  </si>
  <si>
    <t>16.08.19</t>
  </si>
  <si>
    <t>17.08.19</t>
  </si>
  <si>
    <t>18.08.19</t>
  </si>
  <si>
    <t>19.08.19</t>
  </si>
  <si>
    <t>20.08.19</t>
  </si>
  <si>
    <t>21.08.19</t>
  </si>
  <si>
    <t>22.08.19</t>
  </si>
  <si>
    <t>23.08.19</t>
  </si>
  <si>
    <t>24.08.19</t>
  </si>
  <si>
    <t>25.08.19</t>
  </si>
  <si>
    <t>26.08.19</t>
  </si>
  <si>
    <t>27.08.19</t>
  </si>
  <si>
    <t>28.08.19</t>
  </si>
  <si>
    <t>29.08.19</t>
  </si>
  <si>
    <t>30.08.19</t>
  </si>
  <si>
    <t>31.08.19</t>
  </si>
  <si>
    <t>01.09.19</t>
  </si>
  <si>
    <t>02.09.19</t>
  </si>
  <si>
    <t>03.09.19</t>
  </si>
  <si>
    <t>04.09.19</t>
  </si>
  <si>
    <t>05.09.19</t>
  </si>
  <si>
    <t>06.09.19</t>
  </si>
  <si>
    <t>07.09.19</t>
  </si>
  <si>
    <t>08.09.19</t>
  </si>
  <si>
    <t>09.09.19</t>
  </si>
  <si>
    <t>10.09.19</t>
  </si>
  <si>
    <t>11.09.19</t>
  </si>
  <si>
    <t>12.09.19</t>
  </si>
  <si>
    <t>13.09.19</t>
  </si>
  <si>
    <t>14.09.19</t>
  </si>
  <si>
    <t>15.09.19</t>
  </si>
  <si>
    <t>16.09.19</t>
  </si>
  <si>
    <t>17.09.19</t>
  </si>
  <si>
    <t>18.09.19</t>
  </si>
  <si>
    <t>19.09.19</t>
  </si>
  <si>
    <t>20.09.19</t>
  </si>
  <si>
    <t>21.09.19</t>
  </si>
  <si>
    <t>22.09.19</t>
  </si>
  <si>
    <t>23.09.19</t>
  </si>
  <si>
    <t>24.09.19</t>
  </si>
  <si>
    <t>25.09.19</t>
  </si>
  <si>
    <t>26.09.19</t>
  </si>
  <si>
    <t>27.09.19</t>
  </si>
  <si>
    <t>28.09.19</t>
  </si>
  <si>
    <t>29.09.19</t>
  </si>
  <si>
    <t>30.09.19</t>
  </si>
  <si>
    <t>01.10.19</t>
  </si>
  <si>
    <t>02.10.19</t>
  </si>
  <si>
    <t>03.10.19</t>
  </si>
  <si>
    <t>04.10.19</t>
  </si>
  <si>
    <t>05.10.19</t>
  </si>
  <si>
    <t>06.10.19</t>
  </si>
  <si>
    <t>07.10.19</t>
  </si>
  <si>
    <t>08.10.19</t>
  </si>
  <si>
    <t>09.10.19</t>
  </si>
  <si>
    <t>10.10.19</t>
  </si>
  <si>
    <t>11.10.19</t>
  </si>
  <si>
    <t>12.10.19</t>
  </si>
  <si>
    <t>13.10.19</t>
  </si>
  <si>
    <t>14.10.19</t>
  </si>
  <si>
    <t>15.10.19</t>
  </si>
  <si>
    <t>16.10.19</t>
  </si>
  <si>
    <t>17.10.19</t>
  </si>
  <si>
    <t>18.10.19</t>
  </si>
  <si>
    <t>19.10.19</t>
  </si>
  <si>
    <t>20.10.19</t>
  </si>
  <si>
    <t>21.10.19</t>
  </si>
  <si>
    <t>22.10.19</t>
  </si>
  <si>
    <t>23.10.19</t>
  </si>
  <si>
    <t>24.10.19</t>
  </si>
  <si>
    <t>25.10.19</t>
  </si>
  <si>
    <t>26.10.19</t>
  </si>
  <si>
    <t>27.10.19</t>
  </si>
  <si>
    <t>28.10.19</t>
  </si>
  <si>
    <t>29.10.19</t>
  </si>
  <si>
    <t>30.10.19</t>
  </si>
  <si>
    <t>31.10.19</t>
  </si>
  <si>
    <t>01.11.19</t>
  </si>
  <si>
    <t>02.11.19</t>
  </si>
  <si>
    <t>03.11.19</t>
  </si>
  <si>
    <t>04.11.19</t>
  </si>
  <si>
    <t>05.11.19</t>
  </si>
  <si>
    <t>06.11.19</t>
  </si>
  <si>
    <t>07.11.19</t>
  </si>
  <si>
    <t>08.11.19</t>
  </si>
  <si>
    <t>09.11.19</t>
  </si>
  <si>
    <t>10.11.19</t>
  </si>
  <si>
    <t>11.11.19</t>
  </si>
  <si>
    <t>12.11.19</t>
  </si>
  <si>
    <t>13.11.19</t>
  </si>
  <si>
    <t>14.11.19</t>
  </si>
  <si>
    <t>15.11.19</t>
  </si>
  <si>
    <t>16.11.19</t>
  </si>
  <si>
    <t>17.11.19</t>
  </si>
  <si>
    <t>18.11.19</t>
  </si>
  <si>
    <t>19.11.19</t>
  </si>
  <si>
    <t>20.11.19</t>
  </si>
  <si>
    <t>21.11.19</t>
  </si>
  <si>
    <t>22.11.19</t>
  </si>
  <si>
    <t>23.11.19</t>
  </si>
  <si>
    <t>24.11.19</t>
  </si>
  <si>
    <t>25.11.19</t>
  </si>
  <si>
    <t>26.11.19</t>
  </si>
  <si>
    <t>27.11.19</t>
  </si>
  <si>
    <t>28.11.19</t>
  </si>
  <si>
    <t>29.11.19</t>
  </si>
  <si>
    <t>30.11.19</t>
  </si>
  <si>
    <t>01.12.19</t>
  </si>
  <si>
    <t>02.12.19</t>
  </si>
  <si>
    <t>03.12.19</t>
  </si>
  <si>
    <t>04.12.19</t>
  </si>
  <si>
    <t>05.12.19</t>
  </si>
  <si>
    <t>06.12.19</t>
  </si>
  <si>
    <t>07.12.19</t>
  </si>
  <si>
    <t>08.12.19</t>
  </si>
  <si>
    <t>09.12.19</t>
  </si>
  <si>
    <t>10.12.19</t>
  </si>
  <si>
    <t>11.12.19</t>
  </si>
  <si>
    <t>12.12.19</t>
  </si>
  <si>
    <t>13.12.19</t>
  </si>
  <si>
    <t>14.12.19</t>
  </si>
  <si>
    <t>15.12.19</t>
  </si>
  <si>
    <t>16.12.19</t>
  </si>
  <si>
    <t>17.12.19</t>
  </si>
  <si>
    <t>18.12.19</t>
  </si>
  <si>
    <t>19.12.19</t>
  </si>
  <si>
    <t>20.12.19</t>
  </si>
  <si>
    <t>21.12.19</t>
  </si>
  <si>
    <t>22.12.19</t>
  </si>
  <si>
    <t>23.12.19</t>
  </si>
  <si>
    <t>24.12.19</t>
  </si>
  <si>
    <t>25.12.19</t>
  </si>
  <si>
    <t>26.12.19</t>
  </si>
  <si>
    <t>27.12.19</t>
  </si>
  <si>
    <t>28.12.19</t>
  </si>
  <si>
    <t>29.12.19</t>
  </si>
  <si>
    <t>30.12.19</t>
  </si>
  <si>
    <t>31.12.19</t>
  </si>
  <si>
    <t>01.01.20</t>
  </si>
  <si>
    <t>02.01.20</t>
  </si>
  <si>
    <t>03.01.20</t>
  </si>
  <si>
    <t>04.01.20</t>
  </si>
  <si>
    <t>05.01.20</t>
  </si>
  <si>
    <t>06.01.20</t>
  </si>
  <si>
    <t>07.01.20</t>
  </si>
  <si>
    <t>08.01.20</t>
  </si>
  <si>
    <t>09.01.20</t>
  </si>
  <si>
    <t>10.01.20</t>
  </si>
  <si>
    <t>11.01.20</t>
  </si>
  <si>
    <t>12.01.20</t>
  </si>
  <si>
    <t>13.01.20</t>
  </si>
  <si>
    <t>14.01.20</t>
  </si>
  <si>
    <t>15.01.20</t>
  </si>
  <si>
    <t>16.01.20</t>
  </si>
  <si>
    <t>17.01.20</t>
  </si>
  <si>
    <t>18.01.20</t>
  </si>
  <si>
    <t>19.01.20</t>
  </si>
  <si>
    <t>20.01.20</t>
  </si>
  <si>
    <t>21.01.20</t>
  </si>
  <si>
    <t>22.01.20</t>
  </si>
  <si>
    <t>23.01.20</t>
  </si>
  <si>
    <t>24.01.20</t>
  </si>
  <si>
    <t>25.01.20</t>
  </si>
  <si>
    <t>26.01.20</t>
  </si>
  <si>
    <t>27.01.20</t>
  </si>
  <si>
    <t>28.01.20</t>
  </si>
  <si>
    <t>29.01.20</t>
  </si>
  <si>
    <t>30.01.20</t>
  </si>
  <si>
    <t>31.01.20</t>
  </si>
  <si>
    <t>01.02.20</t>
  </si>
  <si>
    <t>02.02.20</t>
  </si>
  <si>
    <t>03.02.20</t>
  </si>
  <si>
    <t>04.02.20</t>
  </si>
  <si>
    <t>05.02.20</t>
  </si>
  <si>
    <t>06.02.20</t>
  </si>
  <si>
    <t>07.02.20</t>
  </si>
  <si>
    <t>08.02.20</t>
  </si>
  <si>
    <t>09.02.20</t>
  </si>
  <si>
    <t>10.02.20</t>
  </si>
  <si>
    <t>11.02.20</t>
  </si>
  <si>
    <t>12.02.20</t>
  </si>
  <si>
    <t>13.02.20</t>
  </si>
  <si>
    <t>14.02.20</t>
  </si>
  <si>
    <t>15.02.20</t>
  </si>
  <si>
    <t>16.02.20</t>
  </si>
  <si>
    <t>17.02.20</t>
  </si>
  <si>
    <t>18.02.20</t>
  </si>
  <si>
    <t>19.02.20</t>
  </si>
  <si>
    <t>20.02.20</t>
  </si>
  <si>
    <t>21.02.20</t>
  </si>
  <si>
    <t>22.02.20</t>
  </si>
  <si>
    <t>23.02.20</t>
  </si>
  <si>
    <t>24.02.20</t>
  </si>
  <si>
    <t>25.02.20</t>
  </si>
  <si>
    <t>26.02.20</t>
  </si>
  <si>
    <t>27.02.20</t>
  </si>
  <si>
    <t>28.02.20</t>
  </si>
  <si>
    <t>29.02.20</t>
  </si>
  <si>
    <t>01.03.20</t>
  </si>
  <si>
    <t>02.03.20</t>
  </si>
  <si>
    <t>03.03.20</t>
  </si>
  <si>
    <t>04.03.20</t>
  </si>
  <si>
    <t>05.03.20</t>
  </si>
  <si>
    <t>06.03.20</t>
  </si>
  <si>
    <t>07.03.20</t>
  </si>
  <si>
    <t>08.03.20</t>
  </si>
  <si>
    <t>09.03.20</t>
  </si>
  <si>
    <t>10.03.20</t>
  </si>
  <si>
    <t>11.03.20</t>
  </si>
  <si>
    <t>12.03.20</t>
  </si>
  <si>
    <t>13.03.20</t>
  </si>
  <si>
    <t>14.03.20</t>
  </si>
  <si>
    <t>15.03.20</t>
  </si>
  <si>
    <t>16.03.20</t>
  </si>
  <si>
    <t>17.03.20</t>
  </si>
  <si>
    <t>18.03.20</t>
  </si>
  <si>
    <t>19.03.20</t>
  </si>
  <si>
    <t>20.03.20</t>
  </si>
  <si>
    <t>21.03.20</t>
  </si>
  <si>
    <t>22.03.20</t>
  </si>
  <si>
    <t>24.03.20</t>
  </si>
  <si>
    <t>25.03.20</t>
  </si>
  <si>
    <t>26.03.20</t>
  </si>
  <si>
    <t>27.03.20</t>
  </si>
  <si>
    <t>28.03.20</t>
  </si>
  <si>
    <t>29.03.20</t>
  </si>
  <si>
    <t>30.03.20</t>
  </si>
  <si>
    <t>31.03.20</t>
  </si>
  <si>
    <t>01.04.20</t>
  </si>
  <si>
    <t>02.04.20</t>
  </si>
  <si>
    <t>03.04.20</t>
  </si>
  <si>
    <t>04.04.20</t>
  </si>
  <si>
    <t>05.04.20</t>
  </si>
  <si>
    <t>06.04.20</t>
  </si>
  <si>
    <t>07.04.20</t>
  </si>
  <si>
    <t>08.04.20</t>
  </si>
  <si>
    <t>09.04.20</t>
  </si>
  <si>
    <t>10.04.20</t>
  </si>
  <si>
    <t>11.04.20</t>
  </si>
  <si>
    <t>12.04.20</t>
  </si>
  <si>
    <t>13.04.20</t>
  </si>
  <si>
    <t>14.04.20</t>
  </si>
  <si>
    <t>15.04.20</t>
  </si>
  <si>
    <t>16.04.20</t>
  </si>
  <si>
    <t>17.04.20</t>
  </si>
  <si>
    <t>18.04.20</t>
  </si>
  <si>
    <t>19.04.20</t>
  </si>
  <si>
    <t>20.04.20</t>
  </si>
  <si>
    <t>21.04.20</t>
  </si>
  <si>
    <t>22.04.20</t>
  </si>
  <si>
    <t>23.04.20</t>
  </si>
  <si>
    <t>24.04.20</t>
  </si>
  <si>
    <t>25.04.20</t>
  </si>
  <si>
    <t>26.04.20</t>
  </si>
  <si>
    <t>27.04.20</t>
  </si>
  <si>
    <t>28.04.20</t>
  </si>
  <si>
    <t>29.04.20</t>
  </si>
  <si>
    <t>30.04.20</t>
  </si>
  <si>
    <t>01.05.20</t>
  </si>
  <si>
    <t>02.05.20</t>
  </si>
  <si>
    <t>03.05.20</t>
  </si>
  <si>
    <t>04.05.20</t>
  </si>
  <si>
    <t>05.05.20</t>
  </si>
  <si>
    <t>06.05.20</t>
  </si>
  <si>
    <t>07.05.20</t>
  </si>
  <si>
    <t>08.05.20</t>
  </si>
  <si>
    <t>09.05.20</t>
  </si>
  <si>
    <t>10.05.20</t>
  </si>
  <si>
    <t>11.05.20</t>
  </si>
  <si>
    <t>12.05.20</t>
  </si>
  <si>
    <t>13.05.20</t>
  </si>
  <si>
    <t>14.05.20</t>
  </si>
  <si>
    <t>15.05.20</t>
  </si>
  <si>
    <t>16.05.20</t>
  </si>
  <si>
    <t>17.05.20</t>
  </si>
  <si>
    <t>18.05.20</t>
  </si>
  <si>
    <t>19.05.20</t>
  </si>
  <si>
    <t>20.05.20</t>
  </si>
  <si>
    <t>21.05.20</t>
  </si>
  <si>
    <t>22.05.20</t>
  </si>
  <si>
    <t>23.05.20</t>
  </si>
  <si>
    <t>24.05.20</t>
  </si>
  <si>
    <t>25.05.20</t>
  </si>
  <si>
    <t>26.05.20</t>
  </si>
  <si>
    <t>27.05.20</t>
  </si>
  <si>
    <t>28.05.20</t>
  </si>
  <si>
    <t>29.05.20</t>
  </si>
  <si>
    <t>30.05.20</t>
  </si>
  <si>
    <t>31.05.20</t>
  </si>
  <si>
    <t>01.06.20</t>
  </si>
  <si>
    <t>02.06.20</t>
  </si>
  <si>
    <t>03.06.20</t>
  </si>
  <si>
    <t>04.06.20</t>
  </si>
  <si>
    <t>05.06.20</t>
  </si>
  <si>
    <t>06.06.20</t>
  </si>
  <si>
    <t>07.06.20</t>
  </si>
  <si>
    <t>08.06.20</t>
  </si>
  <si>
    <t>09.06.20</t>
  </si>
  <si>
    <t>10.06.20</t>
  </si>
  <si>
    <t>11.06.20</t>
  </si>
  <si>
    <t>12.06.20</t>
  </si>
  <si>
    <t>13.06.20</t>
  </si>
  <si>
    <t>14.06.20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</si>
  <si>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</si>
  <si>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</si>
  <si>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</si>
  <si>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</si>
  <si>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</si>
  <si>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</si>
  <si>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</si>
  <si>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</si>
  <si>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</si>
  <si>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</si>
  <si>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</si>
  <si>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</si>
  <si>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</si>
  <si>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28.06.20</t>
  </si>
  <si>
    <t>29.06.20</t>
  </si>
  <si>
    <t>30.06.20</t>
  </si>
  <si>
    <t>01.07.20</t>
  </si>
  <si>
    <t>02.07.20</t>
  </si>
  <si>
    <t>03.07.20</t>
  </si>
  <si>
    <t>04.07.20</t>
  </si>
  <si>
    <t>05.07.20</t>
  </si>
  <si>
    <t>06.07.20</t>
  </si>
  <si>
    <t>07.07.20</t>
  </si>
  <si>
    <t>08.07.20</t>
  </si>
  <si>
    <t>09.07.20</t>
  </si>
  <si>
    <t>10.07.20</t>
  </si>
  <si>
    <t>11.07.20</t>
  </si>
  <si>
    <t>12.07.20</t>
  </si>
  <si>
    <t>13.07.20</t>
  </si>
  <si>
    <t>14.07.20</t>
  </si>
  <si>
    <t>15.07.20</t>
  </si>
  <si>
    <t>16.07.20</t>
  </si>
  <si>
    <t>17.07.20</t>
  </si>
  <si>
    <t>18.07.20</t>
  </si>
  <si>
    <t>19.07.20</t>
  </si>
  <si>
    <t>20.07.20</t>
  </si>
  <si>
    <t>21.07.20</t>
  </si>
  <si>
    <t>22.07.20</t>
  </si>
  <si>
    <t>23.07.20</t>
  </si>
  <si>
    <t>24.07.20</t>
  </si>
  <si>
    <t>25.07.20</t>
  </si>
  <si>
    <t>26.07.20</t>
  </si>
  <si>
    <t>27.07.20</t>
  </si>
  <si>
    <t>28.07.20</t>
  </si>
  <si>
    <t>29.07.20</t>
  </si>
  <si>
    <t>30.07.20</t>
  </si>
  <si>
    <t>31.07.20</t>
  </si>
  <si>
    <t>01.08.20</t>
  </si>
  <si>
    <t>02.08.20</t>
  </si>
  <si>
    <t>03.08.20</t>
  </si>
  <si>
    <t>04.08.20</t>
  </si>
  <si>
    <t>05.08.20</t>
  </si>
  <si>
    <t>06.08.20</t>
  </si>
  <si>
    <t>07.08.20</t>
  </si>
  <si>
    <t>08.08.20</t>
  </si>
  <si>
    <t>09.08.20</t>
  </si>
  <si>
    <t>10.08.20</t>
  </si>
  <si>
    <t>11.08.20</t>
  </si>
  <si>
    <t>12.08.20</t>
  </si>
  <si>
    <t>13.08.20</t>
  </si>
  <si>
    <t>14.08.20</t>
  </si>
  <si>
    <t>15.08.20</t>
  </si>
  <si>
    <t>16.08.20</t>
  </si>
  <si>
    <t>17.08.20</t>
  </si>
  <si>
    <t>18.08.20</t>
  </si>
  <si>
    <t>19.08.20</t>
  </si>
  <si>
    <t>20.08.20</t>
  </si>
  <si>
    <t>21.08.20</t>
  </si>
  <si>
    <t>22.08.20</t>
  </si>
  <si>
    <t>23.08.20</t>
  </si>
  <si>
    <t>24.08.20</t>
  </si>
  <si>
    <t>25.08.20</t>
  </si>
  <si>
    <t>26.08.20</t>
  </si>
  <si>
    <t>27.08.20</t>
  </si>
  <si>
    <t>28.08.20</t>
  </si>
  <si>
    <t>29.08.20</t>
  </si>
  <si>
    <t>30.08.20</t>
  </si>
  <si>
    <t>31.08.20</t>
  </si>
  <si>
    <t>01.09.20</t>
  </si>
  <si>
    <t>02.09.20</t>
  </si>
  <si>
    <t>03.09.20</t>
  </si>
  <si>
    <t>04.09.20</t>
  </si>
  <si>
    <t>05.09.20</t>
  </si>
  <si>
    <t>06.09.20</t>
  </si>
  <si>
    <t>07.09.20</t>
  </si>
  <si>
    <t>08.09.20</t>
  </si>
  <si>
    <t>09.09.20</t>
  </si>
  <si>
    <t>10.09.20</t>
  </si>
  <si>
    <t>11.09.20</t>
  </si>
  <si>
    <t>12.09.20</t>
  </si>
  <si>
    <t>13.09.20</t>
  </si>
  <si>
    <t>14.09.20</t>
  </si>
  <si>
    <t>15.09.20</t>
  </si>
  <si>
    <t>16.09.20</t>
  </si>
  <si>
    <t>17.09.20</t>
  </si>
  <si>
    <t>18.09.20</t>
  </si>
  <si>
    <t>19.09.20</t>
  </si>
  <si>
    <t>20.09.20</t>
  </si>
  <si>
    <t>21.09.20</t>
  </si>
  <si>
    <t>22.09.20</t>
  </si>
  <si>
    <t>23.09.20</t>
  </si>
  <si>
    <t>24.09.20</t>
  </si>
  <si>
    <t>25.09.20</t>
  </si>
  <si>
    <t>26.09.20</t>
  </si>
  <si>
    <t>27.09.20</t>
  </si>
  <si>
    <t>28.09.20</t>
  </si>
  <si>
    <t>29.09.20</t>
  </si>
  <si>
    <t>30.09.20</t>
  </si>
  <si>
    <t>01.10.20</t>
  </si>
  <si>
    <t>02.10.20</t>
  </si>
  <si>
    <t>03.10.20</t>
  </si>
  <si>
    <t>04.10.20</t>
  </si>
  <si>
    <t>05.10.20</t>
  </si>
  <si>
    <t>06.10.20</t>
  </si>
  <si>
    <t>07.10.20</t>
  </si>
  <si>
    <t>08.10.20</t>
  </si>
  <si>
    <t>09.10.20</t>
  </si>
  <si>
    <t>10.10.20</t>
  </si>
  <si>
    <t>11.10.20</t>
  </si>
  <si>
    <t>12.10.20</t>
  </si>
  <si>
    <t>13.10.20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</si>
  <si>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</si>
  <si>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</si>
  <si>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</si>
  <si>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</si>
  <si>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</si>
  <si>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</si>
  <si>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</si>
  <si>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</si>
  <si>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</si>
  <si>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23.10.20</t>
  </si>
  <si>
    <t>24.10.20</t>
  </si>
  <si>
    <t>25.10.20</t>
  </si>
  <si>
    <t>26.10.20</t>
  </si>
  <si>
    <t>27.10.20</t>
  </si>
  <si>
    <t>28.10.20</t>
  </si>
  <si>
    <t>29.10.20</t>
  </si>
  <si>
    <t>30.10.20</t>
  </si>
  <si>
    <t>31.10.20</t>
  </si>
  <si>
    <t>01.11.20</t>
  </si>
  <si>
    <t>02.11.20</t>
  </si>
  <si>
    <t>03.11.20</t>
  </si>
  <si>
    <t>04.11.20</t>
  </si>
  <si>
    <t>05.11.20</t>
  </si>
  <si>
    <t>06.11.20</t>
  </si>
  <si>
    <t>07.11.20</t>
  </si>
  <si>
    <t>08.11.20</t>
  </si>
  <si>
    <t>09.11.20</t>
  </si>
  <si>
    <t>10.11.20</t>
  </si>
  <si>
    <t>11.11.20</t>
  </si>
  <si>
    <t>12.11.20</t>
  </si>
  <si>
    <t>13.11.20</t>
  </si>
  <si>
    <t>14.11.20</t>
  </si>
  <si>
    <t>15.11.20</t>
  </si>
  <si>
    <t>16.11.20</t>
  </si>
  <si>
    <t>17.11.20</t>
  </si>
  <si>
    <t>18.11.20</t>
  </si>
  <si>
    <t>19.11.20</t>
  </si>
  <si>
    <t>20.11.20</t>
  </si>
  <si>
    <t>21.11.20</t>
  </si>
  <si>
    <t>22.11.20</t>
  </si>
  <si>
    <t>23.11.20</t>
  </si>
  <si>
    <t>24.11.20</t>
  </si>
  <si>
    <t>25.11.20</t>
  </si>
  <si>
    <t>26.11.20</t>
  </si>
  <si>
    <t>27.11.20</t>
  </si>
  <si>
    <t>28.11.20</t>
  </si>
  <si>
    <t>29.11.20</t>
  </si>
  <si>
    <t>30.11.20</t>
  </si>
  <si>
    <t>01.12.20</t>
  </si>
  <si>
    <t>02.12.20</t>
  </si>
  <si>
    <t>03.12.20</t>
  </si>
  <si>
    <t>04.12.20</t>
  </si>
  <si>
    <t>05.12.20</t>
  </si>
  <si>
    <t>06.12.20</t>
  </si>
  <si>
    <t>07.12.20</t>
  </si>
  <si>
    <t>08.12.20</t>
  </si>
  <si>
    <t>09.12.20</t>
  </si>
  <si>
    <t>10.12.20</t>
  </si>
  <si>
    <t>11.12.20</t>
  </si>
  <si>
    <t>12.12.20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</si>
  <si>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</si>
  <si>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</si>
  <si>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</si>
  <si>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</si>
  <si>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</si>
  <si>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</si>
  <si>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</si>
  <si>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</si>
  <si>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</si>
  <si>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</si>
  <si>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</si>
  <si>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</si>
  <si>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</si>
  <si>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</si>
  <si>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</si>
  <si>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</si>
  <si>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</si>
  <si>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</si>
  <si>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</si>
  <si>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</si>
  <si>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</si>
  <si>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</si>
  <si>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</si>
  <si>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</si>
  <si>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</si>
  <si>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</si>
  <si>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</si>
  <si>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</si>
  <si>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</si>
  <si>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</si>
  <si>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</si>
  <si>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</si>
  <si>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</si>
  <si>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</si>
  <si>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</si>
  <si>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</si>
  <si>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</si>
  <si>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</si>
  <si>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</si>
  <si>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</si>
  <si>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</si>
  <si>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</si>
  <si>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</si>
  <si>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</si>
  <si>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</si>
  <si>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</si>
  <si>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</si>
  <si>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</si>
  <si>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</si>
  <si>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</si>
  <si>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</si>
  <si>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</si>
  <si>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</si>
  <si>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</si>
  <si>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</si>
  <si>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</si>
  <si>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</si>
  <si>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</si>
  <si>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</si>
  <si>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</si>
  <si>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</si>
  <si>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</si>
  <si>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</si>
  <si>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</si>
  <si>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</si>
  <si>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</si>
  <si>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</si>
  <si>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</si>
  <si>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</si>
  <si>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</si>
  <si>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</si>
  <si>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</si>
  <si>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</si>
  <si>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</si>
  <si>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</si>
  <si>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</si>
  <si>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</si>
  <si>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</si>
  <si>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</si>
  <si>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</si>
  <si>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</si>
  <si>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</si>
  <si>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</si>
  <si>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</si>
  <si>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</si>
  <si>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</si>
  <si>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</si>
  <si>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</si>
  <si>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</si>
  <si>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</si>
  <si>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</si>
  <si>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</si>
  <si>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</si>
  <si>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</si>
  <si>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</si>
  <si>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</si>
  <si>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</si>
  <si>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</si>
  <si>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</si>
  <si>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</si>
  <si>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</si>
  <si>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</si>
  <si>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</si>
  <si>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</si>
  <si>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</si>
  <si>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</si>
  <si>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</si>
  <si>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</si>
  <si>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</si>
  <si>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</si>
  <si>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</si>
  <si>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</si>
  <si>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</si>
  <si>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</si>
  <si>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</si>
  <si>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</si>
  <si>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</si>
  <si>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</si>
  <si>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</si>
  <si>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</si>
  <si>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</si>
  <si>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</si>
  <si>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</si>
  <si>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</si>
  <si>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</si>
  <si>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</si>
  <si>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</si>
  <si>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</si>
  <si>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</si>
  <si>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</si>
  <si>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</si>
  <si>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</si>
  <si>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</si>
  <si>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</si>
  <si>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</si>
  <si>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</si>
  <si>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</si>
  <si>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</si>
  <si>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</si>
  <si>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</si>
  <si>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</si>
  <si>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</si>
  <si>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</si>
  <si>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</si>
  <si>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</si>
  <si>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</si>
  <si>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</si>
  <si>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</si>
  <si>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</si>
  <si>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</si>
  <si>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</si>
  <si>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</si>
  <si>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</si>
  <si>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</si>
  <si>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</si>
  <si>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</si>
  <si>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</si>
  <si>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</si>
  <si>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</si>
  <si>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</si>
  <si>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</si>
  <si>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</si>
  <si>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</si>
  <si>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</si>
  <si>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</si>
  <si>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</si>
  <si>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</si>
  <si>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</si>
  <si>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</si>
  <si>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</si>
  <si>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</si>
  <si>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</si>
  <si>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</si>
  <si>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</si>
  <si>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</si>
  <si>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</si>
  <si>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</si>
  <si>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</si>
  <si>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</si>
  <si>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</si>
  <si>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</si>
  <si>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</si>
  <si>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</si>
  <si>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</si>
  <si>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</si>
  <si>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</si>
  <si>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</si>
  <si>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</si>
  <si>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</si>
  <si>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</si>
  <si>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</si>
  <si>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</si>
  <si>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</si>
  <si>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</si>
  <si>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</si>
  <si>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</si>
  <si>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</si>
  <si>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</si>
  <si>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</si>
  <si>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</si>
  <si>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</si>
  <si>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</si>
  <si>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</si>
  <si>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</si>
  <si>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</si>
  <si>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</si>
  <si>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</si>
  <si>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</si>
  <si>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</si>
  <si>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</si>
  <si>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</si>
  <si>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</si>
  <si>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</si>
  <si>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</si>
  <si>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</si>
  <si>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</si>
  <si>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</si>
  <si>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</si>
  <si>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</si>
  <si>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</si>
  <si>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</si>
  <si>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</si>
  <si>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</si>
  <si>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</si>
  <si>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</si>
  <si>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</si>
  <si>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</si>
  <si>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</si>
  <si>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</si>
  <si>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</si>
  <si>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</si>
  <si>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</si>
  <si>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</si>
  <si>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</si>
  <si>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</si>
  <si>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</si>
  <si>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</si>
  <si>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</si>
  <si>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</si>
  <si>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</si>
  <si>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</si>
  <si>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</si>
  <si>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</si>
  <si>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</si>
  <si>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</si>
  <si>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</si>
  <si>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</si>
  <si>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</si>
  <si>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</si>
  <si>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</si>
  <si>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</si>
  <si>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</si>
  <si>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</si>
  <si>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</si>
  <si>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</si>
  <si>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</si>
  <si>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</si>
  <si>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</si>
  <si>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</si>
  <si>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</si>
  <si>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</si>
  <si>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</si>
  <si>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</si>
  <si>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</si>
  <si>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</si>
  <si>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</si>
  <si>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</si>
  <si>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</si>
  <si>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</si>
  <si>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</si>
  <si>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</si>
  <si>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</si>
  <si>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</si>
  <si>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</si>
  <si>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</si>
  <si>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</si>
  <si>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</si>
  <si>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</si>
  <si>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</si>
  <si>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</si>
  <si>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</si>
  <si>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</si>
  <si>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</si>
  <si>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</si>
  <si>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</si>
  <si>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</si>
  <si>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</si>
  <si>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</si>
  <si>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</si>
  <si>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</si>
  <si>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</si>
  <si>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</si>
  <si>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</si>
  <si>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</si>
  <si>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</si>
  <si>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</si>
  <si>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</si>
  <si>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</si>
  <si>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</si>
  <si>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</si>
  <si>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</si>
  <si>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</si>
  <si>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</si>
  <si>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</si>
  <si>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</si>
  <si>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</si>
  <si>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</si>
  <si>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</si>
  <si>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</si>
  <si>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</si>
  <si>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</si>
  <si>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</si>
  <si>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</si>
  <si>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</si>
  <si>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</si>
  <si>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</si>
  <si>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</si>
  <si>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</si>
  <si>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</si>
  <si>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</si>
  <si>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</si>
  <si>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</si>
  <si>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</si>
  <si>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</si>
  <si>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</si>
  <si>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</si>
  <si>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</si>
  <si>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</si>
  <si>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</si>
  <si>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</si>
  <si>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</si>
  <si>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</si>
  <si>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</si>
  <si>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</si>
  <si>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</si>
  <si>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</si>
  <si>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</si>
  <si>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</si>
  <si>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</si>
  <si>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</si>
  <si>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</si>
  <si>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</si>
  <si>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</si>
  <si>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</si>
  <si>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</si>
  <si>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</si>
  <si>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</si>
  <si>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</si>
  <si>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</si>
  <si>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</si>
  <si>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</si>
  <si>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</si>
  <si>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</si>
  <si>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</si>
  <si>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</si>
  <si>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</si>
  <si>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</si>
  <si>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</si>
  <si>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</si>
  <si>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</si>
  <si>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</si>
  <si>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</si>
  <si>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</si>
  <si>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</si>
  <si>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</si>
  <si>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</si>
  <si>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</si>
  <si>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</si>
  <si>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</si>
  <si>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</si>
  <si>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</si>
  <si>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</si>
  <si>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</si>
  <si>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</si>
  <si>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</si>
  <si>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</si>
  <si>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</si>
  <si>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</si>
  <si>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</si>
  <si>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</si>
  <si>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</si>
  <si>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</si>
  <si>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</si>
  <si>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</si>
  <si>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</si>
  <si>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</si>
  <si>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</si>
  <si>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</si>
  <si>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</si>
  <si>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</si>
  <si>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</si>
  <si>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</si>
  <si>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</si>
  <si>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</si>
  <si>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</si>
  <si>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</si>
  <si>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</si>
  <si>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</si>
  <si>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</si>
  <si>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</si>
  <si>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</si>
  <si>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</si>
  <si>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</si>
  <si>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</si>
  <si>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</si>
  <si>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</si>
  <si>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</si>
  <si>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</si>
  <si>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</si>
  <si>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</si>
  <si>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</si>
  <si>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</si>
  <si>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</si>
  <si>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</si>
  <si>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</si>
  <si>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</si>
  <si>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</si>
  <si>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</si>
  <si>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</si>
  <si>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</si>
  <si>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</si>
  <si>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</si>
  <si>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</si>
  <si>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</si>
  <si>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</si>
  <si>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</si>
  <si>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</si>
  <si>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</si>
  <si>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</si>
  <si>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</si>
  <si>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</si>
  <si>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</si>
  <si>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</si>
  <si>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</si>
  <si>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</si>
  <si>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</si>
  <si>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</si>
  <si>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</si>
  <si>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</si>
  <si>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</si>
  <si>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</si>
  <si>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</si>
  <si>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</si>
  <si>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</si>
  <si>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</si>
  <si>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</si>
  <si>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</si>
  <si>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</si>
  <si>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</si>
  <si>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</si>
  <si>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</si>
  <si>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</si>
  <si>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</si>
  <si>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</si>
  <si>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</si>
  <si>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</si>
  <si>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</si>
  <si>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</si>
  <si>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</si>
  <si>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</si>
  <si>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</si>
  <si>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</si>
  <si>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</si>
  <si>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</si>
  <si>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</si>
  <si>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</si>
  <si>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</si>
  <si>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</si>
  <si>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</si>
  <si>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</si>
  <si>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</si>
  <si>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</si>
  <si>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</si>
  <si>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</si>
  <si>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</si>
  <si>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</si>
  <si>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</si>
  <si>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</si>
  <si>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</si>
  <si>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</si>
  <si>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</si>
  <si>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</si>
  <si>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</si>
  <si>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</si>
  <si>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</si>
  <si>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</si>
  <si>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</si>
  <si>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</si>
  <si>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</si>
  <si>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</si>
  <si>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</si>
  <si>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</si>
  <si>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</si>
  <si>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</si>
  <si>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</si>
  <si>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</si>
  <si>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</si>
  <si>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</si>
  <si>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</si>
  <si>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</si>
  <si>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</si>
  <si>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</si>
  <si>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</si>
  <si>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</si>
  <si>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</si>
  <si>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</si>
  <si>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</si>
  <si>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</si>
  <si>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</si>
  <si>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</si>
  <si>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</si>
  <si>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</si>
  <si>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</si>
  <si>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</si>
  <si>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</si>
  <si>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</si>
  <si>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</si>
  <si>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</si>
  <si>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</si>
  <si>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</si>
  <si>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</si>
  <si>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</si>
  <si>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</si>
  <si>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</si>
  <si>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</si>
  <si>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</si>
  <si>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</si>
  <si>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</si>
  <si>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</si>
  <si>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</si>
  <si>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</si>
  <si>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</si>
  <si>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</si>
  <si>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</si>
  <si>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01.06.2022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</si>
  <si>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</si>
  <si>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</si>
  <si>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</si>
  <si>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</si>
  <si>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</si>
  <si>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</si>
  <si>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</si>
  <si>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</si>
  <si>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</si>
  <si>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</si>
  <si>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</si>
  <si>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</si>
  <si>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</si>
  <si>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</si>
  <si>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</si>
  <si>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</si>
  <si>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</si>
  <si>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</si>
  <si>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</si>
  <si>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</si>
  <si>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</si>
  <si>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</si>
  <si>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</si>
  <si>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</si>
  <si>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</si>
  <si>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</si>
  <si>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</si>
  <si>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</si>
  <si>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</si>
  <si>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</si>
  <si>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</si>
  <si>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</si>
  <si>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</si>
  <si>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</si>
  <si>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</si>
  <si>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</si>
  <si>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</si>
  <si>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</si>
  <si>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</si>
  <si>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</si>
  <si>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</si>
  <si>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</si>
  <si>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</si>
  <si>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</si>
  <si>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</si>
  <si>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</si>
  <si>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</si>
  <si>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</si>
  <si>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</si>
  <si>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</si>
  <si>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</si>
  <si>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</si>
  <si>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</si>
  <si>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</si>
  <si>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</si>
  <si>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</si>
  <si>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</si>
  <si>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</si>
  <si>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</si>
  <si>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</si>
  <si>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</si>
  <si>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</si>
  <si>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</si>
  <si>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</si>
  <si>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</si>
  <si>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</si>
  <si>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</si>
  <si>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</si>
  <si>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</si>
  <si>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</si>
  <si>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</si>
  <si>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</si>
  <si>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</si>
  <si>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</si>
  <si>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</si>
  <si>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</si>
  <si>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</si>
  <si>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</si>
  <si>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</si>
  <si>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</si>
  <si>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</si>
  <si>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</si>
  <si>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</si>
  <si>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</si>
  <si>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</si>
  <si>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</si>
  <si>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</si>
  <si>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</si>
  <si>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</si>
  <si>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</si>
  <si>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</si>
  <si>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</si>
  <si>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</si>
  <si>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</si>
  <si>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</si>
  <si>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</si>
  <si>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</si>
  <si>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</si>
  <si>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</si>
  <si>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</si>
  <si>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</si>
  <si>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</si>
  <si>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</si>
  <si>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</si>
  <si>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</si>
  <si>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</si>
  <si>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</si>
  <si>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</si>
  <si>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</si>
  <si>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</si>
  <si>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</si>
  <si>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</si>
  <si>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</si>
  <si>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</si>
  <si>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</si>
  <si>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</si>
  <si>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</si>
  <si>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</si>
  <si>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</si>
  <si>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</si>
  <si>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</si>
  <si>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</si>
  <si>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</si>
  <si>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</si>
  <si>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</si>
  <si>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</si>
  <si>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</si>
  <si>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</si>
  <si>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</si>
  <si>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</si>
  <si>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</si>
  <si>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</si>
  <si>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</si>
  <si>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</si>
  <si>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</si>
  <si>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</si>
  <si>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</si>
  <si>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</si>
  <si>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</si>
  <si>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</si>
  <si>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</si>
  <si>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</si>
  <si>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</si>
  <si>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</si>
  <si>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</si>
  <si>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</si>
  <si>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</si>
  <si>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</si>
  <si>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</si>
  <si>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</si>
  <si>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</si>
  <si>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</si>
  <si>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</si>
  <si>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</si>
  <si>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</si>
  <si>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</si>
  <si>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</si>
  <si>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</si>
  <si>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</si>
  <si>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</si>
  <si>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</si>
  <si>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</si>
  <si>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</si>
  <si>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</si>
  <si>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</si>
  <si>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</si>
  <si>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</si>
  <si>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</si>
  <si>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</si>
  <si>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</si>
  <si>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</si>
  <si>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</si>
  <si>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</si>
  <si>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</si>
  <si>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</si>
  <si>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</si>
  <si>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</si>
  <si>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</si>
  <si>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</si>
  <si>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</si>
  <si>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</si>
  <si>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</si>
  <si>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</si>
  <si>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</si>
  <si>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</si>
  <si>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</si>
  <si>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</si>
  <si>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</si>
  <si>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</si>
  <si>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</si>
  <si>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</si>
  <si>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</si>
  <si>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</si>
  <si>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</si>
  <si>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</si>
  <si>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</si>
  <si>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</si>
  <si>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</si>
  <si>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</si>
  <si>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</si>
  <si>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</si>
  <si>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</si>
  <si>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</si>
  <si>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</si>
  <si>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</si>
  <si>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</si>
  <si>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</si>
  <si>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</si>
  <si>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</si>
  <si>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</si>
  <si>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</si>
  <si>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</si>
  <si>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</si>
  <si>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</si>
  <si>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</si>
  <si>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</si>
  <si>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</si>
  <si>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</si>
  <si>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</si>
  <si>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</si>
  <si>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</si>
  <si>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</si>
  <si>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</si>
  <si>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</si>
  <si>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</si>
  <si>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</si>
  <si>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</si>
  <si>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</si>
  <si>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</si>
  <si>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</si>
  <si>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</si>
  <si>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</si>
  <si>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</si>
  <si>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</si>
  <si>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</si>
  <si>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</si>
  <si>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</si>
  <si>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</si>
  <si>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</si>
  <si>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</si>
  <si>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</si>
  <si>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</si>
  <si>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</si>
  <si>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</si>
  <si>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</si>
  <si>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</si>
  <si>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</si>
  <si>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</si>
  <si>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</si>
  <si>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</si>
  <si>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</si>
  <si>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</si>
  <si>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</si>
  <si>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</si>
  <si>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</si>
  <si>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</si>
  <si>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</si>
  <si>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</si>
  <si>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</si>
  <si>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</si>
  <si>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ATM representme</t>
  </si>
  <si>
    <t>MS1</t>
  </si>
  <si>
    <t>MD1</t>
  </si>
  <si>
    <t>POS chargebac</t>
  </si>
  <si>
    <t>POS representment</t>
  </si>
  <si>
    <t>INT CHNG COMP ADJ</t>
  </si>
  <si>
    <t>ISSUING BILLING</t>
  </si>
  <si>
    <t>ADV</t>
  </si>
  <si>
    <t>ACQ ADV</t>
  </si>
  <si>
    <t>NOSTRO</t>
  </si>
  <si>
    <t>01.08.19</t>
  </si>
  <si>
    <t>02.08.19</t>
  </si>
  <si>
    <t>03.08.19</t>
  </si>
  <si>
    <t>04.08.19</t>
  </si>
  <si>
    <t>05.08.19</t>
  </si>
  <si>
    <t xml:space="preserve">INTERCHANGE COMPLIANCE ADJUSTMENT FOR : 08/28/19 </t>
  </si>
  <si>
    <t>MU MasterCard University</t>
  </si>
  <si>
    <t>INTERCHANGE COMPLIANCE ADJUSTMENT FOR : 08/30/19</t>
  </si>
  <si>
    <t>INTERCHANGE COMPLIANCE ADJUSTMENT FOR : 09/12/19</t>
  </si>
  <si>
    <t>INTERCHANGE COMPLIANCE ADJUSTMENT FOR : 09/17/19</t>
  </si>
  <si>
    <t>INTERCHANGE COMPLIANCE ADJUSTMENT FOR : 11/18/19</t>
  </si>
  <si>
    <t xml:space="preserve"> INTERCHANGE COMPLIANCE ADJUSTMENT FOR : 01/09/20</t>
  </si>
  <si>
    <t>23.03.20</t>
  </si>
  <si>
    <t xml:space="preserve"> INTERCHANGE COMPLIANCE ADJUSTMENT FOR : 05/23/20</t>
  </si>
  <si>
    <t xml:space="preserve"> INTERCHANGE COMPLIANCE ADJUSTMENT FOR : 25/06/20</t>
  </si>
  <si>
    <t xml:space="preserve"> INTERCHANGE COMPLIANCE ADJUSTMENT FOR : 06/29/20</t>
  </si>
  <si>
    <t xml:space="preserve"> INTERCHANGE COMPLIANCE ADJUSTMENT FOR : 01/07/20</t>
  </si>
  <si>
    <t xml:space="preserve"> INTERCHANGE COMPLIANCE ADJUSTMENT FOR : 03/07/20</t>
  </si>
  <si>
    <t xml:space="preserve"> INTERCHANGE COMPLIANCE ADJUSTMENT FOR : 13/07/20</t>
  </si>
  <si>
    <t>Contractual Support</t>
  </si>
  <si>
    <t>FULL CRED 091421</t>
  </si>
  <si>
    <t>12.05.2023</t>
  </si>
  <si>
    <t>c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</si>
  <si>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</si>
  <si>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</si>
  <si>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</si>
  <si>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</si>
  <si>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</si>
  <si>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</si>
  <si>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</si>
  <si>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</si>
  <si>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</si>
  <si>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</si>
  <si>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</si>
  <si>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</si>
  <si>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</si>
  <si>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</si>
  <si>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</si>
  <si>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</si>
  <si>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</si>
  <si>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</si>
  <si>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</si>
  <si>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</si>
  <si>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</si>
  <si>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</si>
  <si>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</si>
  <si>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</si>
  <si>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</si>
  <si>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</si>
  <si>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</si>
  <si>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</si>
  <si>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</si>
  <si>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</si>
  <si>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</si>
  <si>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</si>
  <si>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</si>
  <si>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</si>
  <si>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</si>
  <si>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</si>
  <si>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</si>
  <si>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</si>
  <si>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</si>
  <si>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</si>
  <si>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</si>
  <si>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</si>
  <si>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</si>
  <si>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2500</t>
  </si>
  <si>
    <t>01.04.2023</t>
  </si>
  <si>
    <t>02.04.2023</t>
  </si>
  <si>
    <t>03.04.2023</t>
  </si>
  <si>
    <t>04.04.2023</t>
  </si>
  <si>
    <t>05.04.2023</t>
  </si>
  <si>
    <t>06.04.2023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</si>
</sst>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.5"/>
      <color rgb="FF000000"/>
      <name val="Arial Unicode MS"/>
      <family val="2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8"/>
      <color rgb="FF000000"/>
      <name val="Courier New"/>
      <family val="3"/>
    </font>
    <font>
      <sz val="9"/>
      <color rgb="FF000000"/>
      <name val="Arial Unicode MS"/>
      <family val="2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5">
    <xf numFmtId="0" fontId="0" fillId="0" borderId="0" xfId="0"/>
    <xf numFmtId="164" fontId="0" fillId="0" borderId="0" xfId="1" applyFont="1"/>
    <xf numFmtId="164" fontId="0" fillId="2" borderId="0" xfId="1" applyFont="1" applyFill="1"/>
    <xf numFmtId="164" fontId="0" fillId="0" borderId="0" xfId="1" applyFont="1" applyFill="1"/>
    <xf numFmtId="164" fontId="0" fillId="3" borderId="0" xfId="1" applyFont="1" applyFill="1"/>
    <xf numFmtId="164" fontId="0" fillId="4" borderId="0" xfId="1" applyFont="1" applyFill="1"/>
    <xf numFmtId="164" fontId="0" fillId="5" borderId="0" xfId="1" applyFont="1" applyFill="1"/>
    <xf numFmtId="164" fontId="0" fillId="6" borderId="0" xfId="1" applyFont="1" applyFill="1"/>
    <xf numFmtId="164" fontId="0" fillId="7" borderId="0" xfId="1" applyFont="1" applyFill="1"/>
    <xf numFmtId="164" fontId="0" fillId="8" borderId="0" xfId="1" applyFont="1" applyFill="1"/>
    <xf numFmtId="164" fontId="0" fillId="9" borderId="0" xfId="1" applyFont="1" applyFill="1"/>
    <xf numFmtId="164" fontId="0" fillId="10" borderId="0" xfId="1" applyFont="1" applyFill="1"/>
    <xf numFmtId="164" fontId="0" fillId="0" borderId="0" xfId="0" applyNumberFormat="1"/>
    <xf numFmtId="164" fontId="0" fillId="11" borderId="0" xfId="1" applyFont="1" applyFill="1"/>
    <xf numFmtId="164" fontId="0" fillId="8" borderId="0" xfId="0" applyNumberFormat="1" applyFill="1"/>
    <xf numFmtId="164" fontId="2" fillId="8" borderId="0" xfId="0" applyNumberFormat="1" applyFont="1" applyFill="1"/>
    <xf numFmtId="164" fontId="2" fillId="11" borderId="0" xfId="1" applyFont="1" applyFill="1"/>
    <xf numFmtId="0" fontId="3" fillId="0" borderId="0" xfId="0" applyFont="1" applyAlignment="1">
      <alignment vertical="center"/>
    </xf>
    <xf numFmtId="164" fontId="0" fillId="2" borderId="0" xfId="0" applyNumberFormat="1" applyFill="1"/>
    <xf numFmtId="4" fontId="0" fillId="9" borderId="0" xfId="0" applyNumberFormat="1" applyFill="1"/>
    <xf numFmtId="4" fontId="0" fillId="7" borderId="0" xfId="0" applyNumberFormat="1" applyFill="1"/>
    <xf numFmtId="4" fontId="0" fillId="4" borderId="0" xfId="0" applyNumberFormat="1" applyFill="1"/>
    <xf numFmtId="4" fontId="0" fillId="2" borderId="0" xfId="0" applyNumberFormat="1" applyFill="1"/>
    <xf numFmtId="4" fontId="0" fillId="6" borderId="0" xfId="0" applyNumberFormat="1" applyFill="1"/>
    <xf numFmtId="4" fontId="0" fillId="5" borderId="0" xfId="0" applyNumberFormat="1" applyFill="1"/>
    <xf numFmtId="4" fontId="0" fillId="8" borderId="0" xfId="0" applyNumberForma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4" fontId="0" fillId="0" borderId="0" xfId="0" applyNumberFormat="1"/>
    <xf numFmtId="164" fontId="0" fillId="12" borderId="0" xfId="1" applyFont="1" applyFill="1"/>
    <xf numFmtId="164" fontId="0" fillId="13" borderId="0" xfId="1" applyFont="1" applyFill="1"/>
    <xf numFmtId="164" fontId="0" fillId="14" borderId="0" xfId="1" applyFont="1" applyFill="1"/>
    <xf numFmtId="164" fontId="0" fillId="15" borderId="0" xfId="1" applyFont="1" applyFill="1"/>
    <xf numFmtId="164" fontId="0" fillId="16" borderId="0" xfId="1" applyFont="1" applyFill="1"/>
    <xf numFmtId="164" fontId="0" fillId="17" borderId="0" xfId="1" applyFont="1" applyFill="1"/>
    <xf numFmtId="164" fontId="1" fillId="13" borderId="0" xfId="1" applyFont="1" applyFill="1"/>
    <xf numFmtId="164" fontId="0" fillId="18" borderId="0" xfId="1" applyFont="1" applyFill="1"/>
    <xf numFmtId="164" fontId="0" fillId="19" borderId="0" xfId="1" applyFont="1" applyFill="1"/>
    <xf numFmtId="164" fontId="0" fillId="20" borderId="0" xfId="1" applyFont="1" applyFill="1"/>
    <xf numFmtId="164" fontId="2" fillId="21" borderId="0" xfId="1" applyFont="1" applyFill="1"/>
    <xf numFmtId="164" fontId="0" fillId="21" borderId="0" xfId="1" applyFont="1" applyFill="1"/>
    <xf numFmtId="164" fontId="0" fillId="22" borderId="0" xfId="1" applyFont="1" applyFill="1"/>
    <xf numFmtId="164" fontId="0" fillId="23" borderId="0" xfId="1" applyFont="1" applyFill="1"/>
    <xf numFmtId="164" fontId="0" fillId="24" borderId="0" xfId="1" applyFont="1" applyFill="1"/>
    <xf numFmtId="164" fontId="0" fillId="25" borderId="0" xfId="1" applyFont="1" applyFill="1"/>
    <xf numFmtId="164" fontId="0" fillId="26" borderId="0" xfId="1" applyFont="1" applyFill="1"/>
    <xf numFmtId="164" fontId="0" fillId="27" borderId="0" xfId="1" applyFont="1" applyFill="1"/>
    <xf numFmtId="164" fontId="0" fillId="28" borderId="0" xfId="1" applyFont="1" applyFill="1"/>
    <xf numFmtId="164" fontId="0" fillId="29" borderId="0" xfId="1" applyFont="1" applyFill="1"/>
    <xf numFmtId="164" fontId="0" fillId="30" borderId="0" xfId="1" applyFont="1" applyFill="1"/>
    <xf numFmtId="164" fontId="0" fillId="31" borderId="0" xfId="1" applyFont="1" applyFill="1"/>
    <xf numFmtId="0" fontId="0" fillId="2" borderId="0" xfId="0" applyFill="1"/>
    <xf numFmtId="164" fontId="0" fillId="32" borderId="0" xfId="1" applyFont="1" applyFill="1"/>
    <xf numFmtId="0" fontId="5" fillId="26" borderId="0" xfId="0" applyFont="1" applyFill="1" applyAlignment="1">
      <alignment vertical="center"/>
    </xf>
    <xf numFmtId="164" fontId="0" fillId="33" borderId="0" xfId="1" applyFont="1" applyFill="1"/>
    <xf numFmtId="164" fontId="0" fillId="34" borderId="0" xfId="1" applyFont="1" applyFill="1"/>
    <xf numFmtId="164" fontId="0" fillId="35" borderId="0" xfId="1" applyFont="1" applyFill="1"/>
    <xf numFmtId="0" fontId="6" fillId="15" borderId="0" xfId="0" applyFont="1" applyFill="1" applyAlignment="1">
      <alignment vertical="center"/>
    </xf>
    <xf numFmtId="164" fontId="0" fillId="36" borderId="0" xfId="1" applyFont="1" applyFill="1"/>
    <xf numFmtId="164" fontId="0" fillId="37" borderId="0" xfId="1" applyFont="1" applyFill="1"/>
    <xf numFmtId="0" fontId="0" fillId="15" borderId="0" xfId="0" applyFill="1"/>
    <xf numFmtId="164" fontId="0" fillId="38" borderId="0" xfId="1" applyFont="1" applyFill="1"/>
    <xf numFmtId="164" fontId="0" fillId="39" borderId="0" xfId="1" applyFont="1" applyFill="1"/>
    <xf numFmtId="164" fontId="0" fillId="40" borderId="0" xfId="1" applyFont="1" applyFill="1"/>
    <xf numFmtId="164" fontId="0" fillId="41" borderId="0" xfId="1" applyFont="1" applyFill="1"/>
    <xf numFmtId="164" fontId="0" fillId="42" borderId="0" xfId="1" applyFont="1" applyFill="1"/>
    <xf numFmtId="164" fontId="0" fillId="43" borderId="0" xfId="1" applyFont="1" applyFill="1"/>
    <xf numFmtId="164" fontId="0" fillId="44" borderId="0" xfId="1" applyFont="1" applyFill="1"/>
    <xf numFmtId="164" fontId="0" fillId="45" borderId="0" xfId="1" applyFont="1" applyFill="1"/>
    <xf numFmtId="164" fontId="0" fillId="46" borderId="0" xfId="1" applyFont="1" applyFill="1"/>
    <xf numFmtId="164" fontId="0" fillId="47" borderId="0" xfId="1" applyFont="1" applyFill="1"/>
    <xf numFmtId="164" fontId="0" fillId="48" borderId="0" xfId="1" applyFont="1" applyFill="1"/>
    <xf numFmtId="164" fontId="0" fillId="49" borderId="0" xfId="1" applyFont="1" applyFill="1"/>
    <xf numFmtId="164" fontId="0" fillId="50" borderId="0" xfId="1" applyFont="1" applyFill="1"/>
    <xf numFmtId="164" fontId="1" fillId="50" borderId="0" xfId="1" applyFont="1" applyFill="1"/>
    <xf numFmtId="164" fontId="0" fillId="51" borderId="0" xfId="1" applyFont="1" applyFill="1"/>
    <xf numFmtId="164" fontId="0" fillId="52" borderId="0" xfId="1" applyFont="1" applyFill="1"/>
    <xf numFmtId="0" fontId="0" fillId="52" borderId="0" xfId="0" applyFill="1"/>
    <xf numFmtId="164" fontId="0" fillId="53" borderId="0" xfId="1" applyFont="1" applyFill="1"/>
    <xf numFmtId="164" fontId="0" fillId="54" borderId="0" xfId="1" applyFont="1" applyFill="1"/>
    <xf numFmtId="164" fontId="0" fillId="55" borderId="0" xfId="1" applyFont="1" applyFill="1"/>
    <xf numFmtId="164" fontId="0" fillId="56" borderId="0" xfId="1" applyFont="1" applyFill="1"/>
    <xf numFmtId="164" fontId="0" fillId="57" borderId="0" xfId="1" applyFont="1" applyFill="1"/>
    <xf numFmtId="164" fontId="0" fillId="58" borderId="0" xfId="1" applyFont="1" applyFill="1"/>
    <xf numFmtId="164" fontId="0" fillId="59" borderId="0" xfId="1" applyFont="1" applyFill="1"/>
    <xf numFmtId="164" fontId="0" fillId="60" borderId="0" xfId="1" applyFont="1" applyFill="1"/>
    <xf numFmtId="164" fontId="0" fillId="61" borderId="0" xfId="1" applyFont="1" applyFill="1"/>
    <xf numFmtId="164" fontId="0" fillId="62" borderId="0" xfId="1" applyFont="1" applyFill="1"/>
    <xf numFmtId="164" fontId="0" fillId="63" borderId="0" xfId="1" applyFont="1" applyFill="1"/>
    <xf numFmtId="164" fontId="0" fillId="64" borderId="0" xfId="1" applyFont="1" applyFill="1"/>
    <xf numFmtId="164" fontId="0" fillId="65" borderId="0" xfId="1" applyFont="1" applyFill="1"/>
    <xf numFmtId="164" fontId="0" fillId="66" borderId="0" xfId="1" applyFont="1" applyFill="1"/>
    <xf numFmtId="164" fontId="0" fillId="67" borderId="0" xfId="1" applyFont="1" applyFill="1"/>
    <xf numFmtId="4" fontId="7" fillId="28" borderId="0" xfId="0" applyNumberFormat="1" applyFont="1" applyFill="1" applyAlignment="1">
      <alignment vertical="center"/>
    </xf>
    <xf numFmtId="164" fontId="0" fillId="68" borderId="0" xfId="1" applyFont="1" applyFill="1"/>
    <xf numFmtId="0" fontId="8" fillId="18" borderId="0" xfId="0" applyFont="1" applyFill="1"/>
    <xf numFmtId="4" fontId="0" fillId="10" borderId="0" xfId="0" applyNumberFormat="1" applyFill="1"/>
    <xf numFmtId="164" fontId="0" fillId="69" borderId="0" xfId="1" applyFont="1" applyFill="1"/>
    <xf numFmtId="164" fontId="0" fillId="70" borderId="0" xfId="1" applyFont="1" applyFill="1"/>
    <xf numFmtId="4" fontId="7" fillId="10" borderId="0" xfId="0" applyNumberFormat="1" applyFont="1" applyFill="1" applyAlignment="1">
      <alignment vertical="center"/>
    </xf>
    <xf numFmtId="0" fontId="7" fillId="10" borderId="0" xfId="0" applyFont="1" applyFill="1" applyAlignment="1">
      <alignment vertical="center"/>
    </xf>
    <xf numFmtId="164" fontId="0" fillId="71" borderId="0" xfId="1" applyFont="1" applyFill="1"/>
    <xf numFmtId="164" fontId="0" fillId="72" borderId="0" xfId="1" applyFont="1" applyFill="1"/>
    <xf numFmtId="4" fontId="7" fillId="72" borderId="0" xfId="0" applyNumberFormat="1" applyFont="1" applyFill="1" applyAlignment="1">
      <alignment vertical="center"/>
    </xf>
    <xf numFmtId="164" fontId="0" fillId="73" borderId="0" xfId="1" applyFont="1" applyFill="1"/>
    <xf numFmtId="164" fontId="0" fillId="74" borderId="0" xfId="1" applyFont="1" applyFill="1"/>
    <xf numFmtId="164" fontId="0" fillId="75" borderId="0" xfId="1" applyFont="1" applyFill="1"/>
    <xf numFmtId="164" fontId="0" fillId="76" borderId="0" xfId="1" applyFont="1" applyFill="1"/>
    <xf numFmtId="4" fontId="7" fillId="18" borderId="0" xfId="0" applyNumberFormat="1" applyFont="1" applyFill="1" applyAlignment="1">
      <alignment vertical="center"/>
    </xf>
    <xf numFmtId="164" fontId="0" fillId="77" borderId="0" xfId="1" applyFont="1" applyFill="1"/>
    <xf numFmtId="164" fontId="0" fillId="78" borderId="0" xfId="1" applyFont="1" applyFill="1"/>
    <xf numFmtId="164" fontId="0" fillId="79" borderId="0" xfId="1" applyFont="1" applyFill="1"/>
    <xf numFmtId="4" fontId="9" fillId="34" borderId="0" xfId="0" applyNumberFormat="1" applyFont="1" applyFill="1" applyAlignment="1">
      <alignment vertical="center"/>
    </xf>
    <xf numFmtId="0" fontId="9" fillId="34" borderId="0" xfId="0" applyFont="1" applyFill="1" applyAlignment="1">
      <alignment vertical="center"/>
    </xf>
    <xf numFmtId="164" fontId="0" fillId="80" borderId="0" xfId="1" applyFont="1" applyFill="1"/>
    <xf numFmtId="164" fontId="0" fillId="81" borderId="0" xfId="1" applyFont="1" applyFill="1"/>
    <xf numFmtId="164" fontId="0" fillId="82" borderId="0" xfId="1" applyFont="1" applyFill="1"/>
    <xf numFmtId="0" fontId="7" fillId="72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164" fontId="0" fillId="83" borderId="0" xfId="1" applyFont="1" applyFill="1"/>
    <xf numFmtId="4" fontId="0" fillId="20" borderId="0" xfId="0" applyNumberFormat="1" applyFill="1"/>
    <xf numFmtId="0" fontId="0" fillId="20" borderId="0" xfId="0" applyFill="1"/>
    <xf numFmtId="0" fontId="9" fillId="80" borderId="0" xfId="0" applyFont="1" applyFill="1" applyAlignment="1">
      <alignment vertical="center"/>
    </xf>
    <xf numFmtId="0" fontId="0" fillId="75" borderId="0" xfId="1" applyNumberFormat="1" applyFont="1" applyFill="1"/>
    <xf numFmtId="164" fontId="0" fillId="84" borderId="0" xfId="1" applyFont="1" applyFill="1"/>
    <xf numFmtId="164" fontId="12" fillId="20" borderId="0" xfId="1" applyFont="1" applyFill="1"/>
    <xf numFmtId="164" fontId="0" fillId="85" borderId="0" xfId="1" applyFont="1" applyFill="1"/>
    <xf numFmtId="164" fontId="0" fillId="86" borderId="0" xfId="1" applyFont="1" applyFill="1"/>
    <xf numFmtId="0" fontId="13" fillId="69" borderId="0" xfId="0" applyFont="1" applyFill="1"/>
    <xf numFmtId="0" fontId="0" fillId="22" borderId="0" xfId="0" applyFill="1"/>
    <xf numFmtId="4" fontId="0" fillId="22" borderId="0" xfId="0" applyNumberFormat="1" applyFill="1"/>
    <xf numFmtId="4" fontId="0" fillId="17" borderId="0" xfId="0" applyNumberFormat="1" applyFill="1"/>
    <xf numFmtId="4" fontId="0" fillId="15" borderId="0" xfId="0" applyNumberFormat="1" applyFill="1"/>
    <xf numFmtId="164" fontId="0" fillId="87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  <color rgb="FFCCCC00"/>
      <color rgb="FFFF00FF"/>
      <color rgb="FF0099FF"/>
      <color rgb="FF00FF00"/>
      <color rgb="FFCC9900"/>
      <color rgb="FFAE78D6"/>
      <color rgb="FFFF7C80"/>
      <color rgb="FF00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49"/>
  <sheetViews>
    <sheetView tabSelected="1" topLeftCell="U738" zoomScale="85" zoomScaleNormal="85" workbookViewId="0">
      <pane ySplit="1" topLeftCell="A739" activePane="bottomLeft" state="frozen"/>
      <selection activeCell="A738" sqref="A738"/>
      <selection pane="bottomLeft" activeCell="AB741" sqref="AB741"/>
    </sheetView>
  </sheetViews>
  <sheetFormatPr defaultColWidth="20.85546875" defaultRowHeight="15" x14ac:dyDescent="0.25"/>
  <cols>
    <col min="1" max="1" width="12.42578125" bestFit="1" customWidth="1"/>
    <col min="2" max="2" width="20.85546875" style="1"/>
    <col min="3" max="3" width="11.5703125" style="1" bestFit="1" customWidth="1"/>
    <col min="4" max="5" width="20.85546875" style="1"/>
    <col min="6" max="6" width="15.42578125" style="1" bestFit="1" customWidth="1"/>
    <col min="7" max="7" width="18.140625" style="1" customWidth="1"/>
    <col min="8" max="8" width="13.85546875" style="1" customWidth="1"/>
    <col min="9" max="12" width="20.85546875" style="1"/>
    <col min="13" max="13" width="17.5703125" style="1" customWidth="1"/>
    <col min="14" max="14" width="15.85546875" style="1" customWidth="1"/>
    <col min="15" max="15" width="20.85546875" style="1"/>
    <col min="16" max="16" width="18.7109375" style="1" customWidth="1"/>
    <col min="17" max="17" width="16.85546875" style="1" customWidth="1"/>
    <col min="18" max="19" width="20.85546875" style="1"/>
    <col min="20" max="20" width="20.28515625" style="1" bestFit="1" customWidth="1"/>
    <col min="21" max="27" width="20.85546875" style="1"/>
  </cols>
  <sheetData>
    <row r="1" spans="15:27" x14ac:dyDescent="0.25">
      <c r="AA1"/>
    </row>
    <row r="2" spans="15:27" x14ac:dyDescent="0.25">
      <c r="O2" s="1" t="s">
        <v>0</v>
      </c>
      <c r="Q2" s="1" t="s">
        <v>1</v>
      </c>
      <c r="R2" s="1" t="s">
        <v>2</v>
      </c>
      <c r="S2" s="1" t="s">
        <v>3</v>
      </c>
      <c r="T2" s="1" t="s">
        <v>2</v>
      </c>
      <c r="U2" s="1" t="s">
        <v>4</v>
      </c>
      <c r="V2" s="1" t="s">
        <v>2</v>
      </c>
      <c r="W2" s="1" t="s">
        <v>2</v>
      </c>
      <c r="AA2"/>
    </row>
    <row r="3" spans="15:27" x14ac:dyDescent="0.25">
      <c r="Q3" s="1" t="s">
        <v>5</v>
      </c>
      <c r="R3" s="1" t="s">
        <v>6</v>
      </c>
      <c r="S3" s="1" t="s">
        <v>5</v>
      </c>
      <c r="T3" s="1" t="s">
        <v>6</v>
      </c>
      <c r="U3" s="1" t="s">
        <v>5</v>
      </c>
      <c r="V3" s="1" t="s">
        <v>6</v>
      </c>
      <c r="W3" s="1" t="s">
        <v>6</v>
      </c>
      <c r="AA3"/>
    </row>
    <row r="4" spans="15:27" x14ac:dyDescent="0.25">
      <c r="O4" s="1">
        <v>1</v>
      </c>
      <c r="Q4" s="1">
        <v>0</v>
      </c>
      <c r="R4" s="1" t="s">
        <v>6</v>
      </c>
      <c r="S4" s="1">
        <v>12186872</v>
      </c>
      <c r="T4" s="1" t="s">
        <v>7</v>
      </c>
      <c r="U4" s="1">
        <v>12186872</v>
      </c>
      <c r="V4" s="1" t="s">
        <v>7</v>
      </c>
      <c r="W4" s="1" t="s">
        <v>7</v>
      </c>
      <c r="AA4"/>
    </row>
    <row r="5" spans="15:27" x14ac:dyDescent="0.25">
      <c r="O5" s="1">
        <v>2</v>
      </c>
      <c r="Q5" s="1">
        <v>0</v>
      </c>
      <c r="R5" s="1" t="s">
        <v>6</v>
      </c>
      <c r="S5" s="1">
        <v>794734.87</v>
      </c>
      <c r="T5" s="1" t="s">
        <v>7</v>
      </c>
      <c r="U5" s="1">
        <v>794734.87</v>
      </c>
      <c r="V5" s="1" t="s">
        <v>7</v>
      </c>
      <c r="W5" s="1" t="s">
        <v>7</v>
      </c>
      <c r="AA5"/>
    </row>
    <row r="6" spans="15:27" x14ac:dyDescent="0.25">
      <c r="O6" s="1">
        <v>3</v>
      </c>
      <c r="Q6" s="1">
        <v>92017.01</v>
      </c>
      <c r="R6" s="1" t="s">
        <v>6</v>
      </c>
      <c r="S6" s="1">
        <v>0</v>
      </c>
      <c r="T6" s="1" t="s">
        <v>6</v>
      </c>
      <c r="U6" s="1">
        <v>92017.01</v>
      </c>
      <c r="V6" s="1" t="s">
        <v>6</v>
      </c>
      <c r="W6" s="1" t="s">
        <v>6</v>
      </c>
      <c r="Z6" s="1">
        <f>U4+U5-U6</f>
        <v>12889589.859999999</v>
      </c>
      <c r="AA6"/>
    </row>
    <row r="7" spans="15:27" x14ac:dyDescent="0.25">
      <c r="AA7"/>
    </row>
    <row r="8" spans="15:27" x14ac:dyDescent="0.25">
      <c r="AA8"/>
    </row>
    <row r="9" spans="15:27" x14ac:dyDescent="0.25">
      <c r="O9" s="1" t="s">
        <v>0</v>
      </c>
      <c r="Q9" s="1" t="s">
        <v>1</v>
      </c>
      <c r="R9" s="1" t="s">
        <v>2</v>
      </c>
      <c r="S9" s="1" t="s">
        <v>3</v>
      </c>
      <c r="T9" s="1" t="s">
        <v>2</v>
      </c>
      <c r="U9" s="1" t="s">
        <v>4</v>
      </c>
      <c r="V9" s="1" t="s">
        <v>2</v>
      </c>
      <c r="W9" s="1" t="s">
        <v>2</v>
      </c>
      <c r="AA9"/>
    </row>
    <row r="10" spans="15:27" x14ac:dyDescent="0.25">
      <c r="Q10" s="1" t="s">
        <v>5</v>
      </c>
      <c r="R10" s="1" t="s">
        <v>6</v>
      </c>
      <c r="S10" s="1" t="s">
        <v>5</v>
      </c>
      <c r="T10" s="1" t="s">
        <v>6</v>
      </c>
      <c r="U10" s="1" t="s">
        <v>5</v>
      </c>
      <c r="V10" s="1" t="s">
        <v>6</v>
      </c>
      <c r="W10" s="1" t="s">
        <v>6</v>
      </c>
      <c r="AA10"/>
    </row>
    <row r="11" spans="15:27" x14ac:dyDescent="0.25">
      <c r="O11" s="1">
        <v>1</v>
      </c>
      <c r="Q11" s="1">
        <v>0</v>
      </c>
      <c r="R11" s="1" t="s">
        <v>6</v>
      </c>
      <c r="S11" s="1">
        <v>12685727.48</v>
      </c>
      <c r="T11" s="1" t="s">
        <v>7</v>
      </c>
      <c r="U11" s="1">
        <v>12685727.48</v>
      </c>
      <c r="V11" s="1" t="s">
        <v>7</v>
      </c>
      <c r="W11" s="1" t="s">
        <v>7</v>
      </c>
      <c r="AA11"/>
    </row>
    <row r="12" spans="15:27" x14ac:dyDescent="0.25">
      <c r="O12" s="1">
        <v>2</v>
      </c>
      <c r="Q12" s="1">
        <v>0</v>
      </c>
      <c r="R12" s="1" t="s">
        <v>6</v>
      </c>
      <c r="S12" s="1">
        <v>171500.07</v>
      </c>
      <c r="T12" s="1" t="s">
        <v>7</v>
      </c>
      <c r="U12" s="1">
        <v>171500.07</v>
      </c>
      <c r="V12" s="1" t="s">
        <v>7</v>
      </c>
      <c r="W12" s="1" t="s">
        <v>7</v>
      </c>
      <c r="AA12"/>
    </row>
    <row r="13" spans="15:27" x14ac:dyDescent="0.25">
      <c r="O13" s="1">
        <v>3</v>
      </c>
      <c r="Q13" s="1">
        <v>210340.57</v>
      </c>
      <c r="R13" s="1" t="s">
        <v>6</v>
      </c>
      <c r="S13" s="1">
        <v>0</v>
      </c>
      <c r="T13" s="1" t="s">
        <v>6</v>
      </c>
      <c r="U13" s="1">
        <v>210340.57</v>
      </c>
      <c r="V13" s="1" t="s">
        <v>6</v>
      </c>
      <c r="W13" s="1" t="s">
        <v>6</v>
      </c>
      <c r="Z13" s="1">
        <f>U11+U12-U13</f>
        <v>12646886.98</v>
      </c>
      <c r="AA13"/>
    </row>
    <row r="14" spans="15:27" x14ac:dyDescent="0.25">
      <c r="AA14"/>
    </row>
    <row r="15" spans="15:27" x14ac:dyDescent="0.25">
      <c r="Z15" s="2">
        <f>Z6-Z13</f>
        <v>242702.87999999896</v>
      </c>
      <c r="AA15"/>
    </row>
    <row r="16" spans="15:27" x14ac:dyDescent="0.25">
      <c r="O16" s="1" t="s">
        <v>0</v>
      </c>
      <c r="Q16" s="1" t="s">
        <v>1</v>
      </c>
      <c r="R16" s="1" t="s">
        <v>2</v>
      </c>
      <c r="S16" s="1" t="s">
        <v>3</v>
      </c>
      <c r="T16" s="1" t="s">
        <v>2</v>
      </c>
      <c r="U16" s="1" t="s">
        <v>4</v>
      </c>
      <c r="V16" s="1" t="s">
        <v>2</v>
      </c>
      <c r="W16" s="1" t="s">
        <v>2</v>
      </c>
      <c r="AA16"/>
    </row>
    <row r="17" spans="15:27" x14ac:dyDescent="0.25">
      <c r="Q17" s="1" t="s">
        <v>5</v>
      </c>
      <c r="R17" s="1" t="s">
        <v>6</v>
      </c>
      <c r="S17" s="1" t="s">
        <v>5</v>
      </c>
      <c r="T17" s="1" t="s">
        <v>6</v>
      </c>
      <c r="U17" s="1" t="s">
        <v>5</v>
      </c>
      <c r="V17" s="1" t="s">
        <v>6</v>
      </c>
      <c r="W17" s="1" t="s">
        <v>6</v>
      </c>
      <c r="AA17"/>
    </row>
    <row r="18" spans="15:27" x14ac:dyDescent="0.25">
      <c r="O18" s="1">
        <v>1</v>
      </c>
      <c r="Q18" s="1">
        <v>0</v>
      </c>
      <c r="R18" s="1" t="s">
        <v>6</v>
      </c>
      <c r="S18" s="1">
        <v>20000</v>
      </c>
      <c r="T18" s="1" t="s">
        <v>7</v>
      </c>
      <c r="U18" s="1">
        <v>20000</v>
      </c>
      <c r="V18" s="1" t="s">
        <v>7</v>
      </c>
      <c r="W18" s="1" t="s">
        <v>7</v>
      </c>
      <c r="AA18"/>
    </row>
    <row r="19" spans="15:27" x14ac:dyDescent="0.25">
      <c r="O19" s="1">
        <v>2</v>
      </c>
      <c r="Q19" s="1">
        <v>0</v>
      </c>
      <c r="R19" s="1" t="s">
        <v>6</v>
      </c>
      <c r="S19" s="1">
        <v>36871.33</v>
      </c>
      <c r="T19" s="1" t="s">
        <v>7</v>
      </c>
      <c r="U19" s="1">
        <v>36871.33</v>
      </c>
      <c r="V19" s="1" t="s">
        <v>7</v>
      </c>
      <c r="W19" s="1" t="s">
        <v>7</v>
      </c>
      <c r="AA19"/>
    </row>
    <row r="20" spans="15:27" x14ac:dyDescent="0.25">
      <c r="O20" s="1">
        <v>3</v>
      </c>
      <c r="Q20" s="1">
        <v>0</v>
      </c>
      <c r="R20" s="1" t="s">
        <v>6</v>
      </c>
      <c r="S20" s="1">
        <v>386868.89</v>
      </c>
      <c r="T20" s="1" t="s">
        <v>7</v>
      </c>
      <c r="U20" s="1">
        <v>386868.89</v>
      </c>
      <c r="V20" s="1" t="s">
        <v>7</v>
      </c>
      <c r="W20" s="1" t="s">
        <v>7</v>
      </c>
      <c r="AA20"/>
    </row>
    <row r="21" spans="15:27" x14ac:dyDescent="0.25">
      <c r="O21" s="1">
        <v>4</v>
      </c>
      <c r="Q21" s="1">
        <v>376035.25</v>
      </c>
      <c r="R21" s="1" t="s">
        <v>6</v>
      </c>
      <c r="S21" s="1">
        <v>0</v>
      </c>
      <c r="T21" s="1" t="s">
        <v>6</v>
      </c>
      <c r="U21" s="1">
        <v>376035.25</v>
      </c>
      <c r="V21" s="1" t="s">
        <v>6</v>
      </c>
      <c r="W21" s="1" t="s">
        <v>6</v>
      </c>
      <c r="Z21" s="1">
        <f>U18+U19+U20-U21</f>
        <v>67704.97000000003</v>
      </c>
      <c r="AA21"/>
    </row>
    <row r="22" spans="15:27" x14ac:dyDescent="0.25">
      <c r="AA22"/>
    </row>
    <row r="23" spans="15:27" x14ac:dyDescent="0.25">
      <c r="Z23" s="2">
        <f>Z13-Z21</f>
        <v>12579182.01</v>
      </c>
      <c r="AA23"/>
    </row>
    <row r="24" spans="15:27" x14ac:dyDescent="0.25">
      <c r="O24" s="1" t="s">
        <v>0</v>
      </c>
      <c r="Q24" s="1" t="s">
        <v>1</v>
      </c>
      <c r="R24" s="1" t="s">
        <v>2</v>
      </c>
      <c r="S24" s="1" t="s">
        <v>3</v>
      </c>
      <c r="T24" s="1" t="s">
        <v>2</v>
      </c>
      <c r="U24" s="1" t="s">
        <v>4</v>
      </c>
      <c r="V24" s="1" t="s">
        <v>2</v>
      </c>
      <c r="W24" s="1" t="s">
        <v>2</v>
      </c>
      <c r="AA24"/>
    </row>
    <row r="25" spans="15:27" x14ac:dyDescent="0.25">
      <c r="Q25" s="1" t="s">
        <v>5</v>
      </c>
      <c r="R25" s="1" t="s">
        <v>6</v>
      </c>
      <c r="S25" s="1" t="s">
        <v>5</v>
      </c>
      <c r="T25" s="1" t="s">
        <v>6</v>
      </c>
      <c r="U25" s="1" t="s">
        <v>5</v>
      </c>
      <c r="V25" s="1" t="s">
        <v>6</v>
      </c>
      <c r="W25" s="1" t="s">
        <v>6</v>
      </c>
      <c r="AA25"/>
    </row>
    <row r="26" spans="15:27" x14ac:dyDescent="0.25">
      <c r="O26" s="1">
        <v>1</v>
      </c>
      <c r="Q26" s="1">
        <v>0</v>
      </c>
      <c r="R26" s="1" t="s">
        <v>6</v>
      </c>
      <c r="S26" s="1">
        <v>2957717.6</v>
      </c>
      <c r="T26" s="1" t="s">
        <v>7</v>
      </c>
      <c r="U26" s="1">
        <v>2957717.6</v>
      </c>
      <c r="V26" s="1" t="s">
        <v>7</v>
      </c>
      <c r="W26" s="1" t="s">
        <v>7</v>
      </c>
      <c r="AA26"/>
    </row>
    <row r="27" spans="15:27" x14ac:dyDescent="0.25">
      <c r="O27" s="1">
        <v>2</v>
      </c>
      <c r="Q27" s="1">
        <v>0</v>
      </c>
      <c r="R27" s="1" t="s">
        <v>6</v>
      </c>
      <c r="S27" s="1">
        <v>970371.31</v>
      </c>
      <c r="T27" s="1" t="s">
        <v>7</v>
      </c>
      <c r="U27" s="1">
        <v>970371.31</v>
      </c>
      <c r="V27" s="1" t="s">
        <v>7</v>
      </c>
      <c r="W27" s="1" t="s">
        <v>7</v>
      </c>
      <c r="AA27"/>
    </row>
    <row r="28" spans="15:27" x14ac:dyDescent="0.25">
      <c r="O28" s="1">
        <v>3</v>
      </c>
      <c r="Q28" s="1">
        <v>0</v>
      </c>
      <c r="R28" s="1" t="s">
        <v>6</v>
      </c>
      <c r="S28" s="1">
        <v>267664.45</v>
      </c>
      <c r="T28" s="1" t="s">
        <v>7</v>
      </c>
      <c r="U28" s="1">
        <v>267664.45</v>
      </c>
      <c r="V28" s="1" t="s">
        <v>7</v>
      </c>
      <c r="W28" s="1" t="s">
        <v>7</v>
      </c>
      <c r="AA28"/>
    </row>
    <row r="29" spans="15:27" x14ac:dyDescent="0.25">
      <c r="O29" s="1">
        <v>4</v>
      </c>
      <c r="Q29" s="1">
        <v>54976.03</v>
      </c>
      <c r="R29" s="1" t="s">
        <v>6</v>
      </c>
      <c r="S29" s="1">
        <v>0</v>
      </c>
      <c r="T29" s="1" t="s">
        <v>6</v>
      </c>
      <c r="U29" s="1">
        <v>54976.03</v>
      </c>
      <c r="V29" s="1" t="s">
        <v>6</v>
      </c>
      <c r="W29" s="1" t="s">
        <v>6</v>
      </c>
      <c r="Z29" s="1">
        <f>U26+U27+U28-U29</f>
        <v>4140777.3300000005</v>
      </c>
      <c r="AA29"/>
    </row>
    <row r="30" spans="15:27" x14ac:dyDescent="0.25">
      <c r="AA30"/>
    </row>
    <row r="31" spans="15:27" x14ac:dyDescent="0.25">
      <c r="Z31" s="2">
        <f>Z21-Z29</f>
        <v>-4073072.3600000003</v>
      </c>
      <c r="AA31"/>
    </row>
    <row r="32" spans="15:27" x14ac:dyDescent="0.25">
      <c r="AA32"/>
    </row>
    <row r="33" spans="15:27" x14ac:dyDescent="0.25">
      <c r="O33" s="1" t="s">
        <v>0</v>
      </c>
      <c r="Q33" s="1" t="s">
        <v>1</v>
      </c>
      <c r="R33" s="1" t="s">
        <v>2</v>
      </c>
      <c r="S33" s="1" t="s">
        <v>3</v>
      </c>
      <c r="T33" s="1" t="s">
        <v>2</v>
      </c>
      <c r="U33" s="1" t="s">
        <v>4</v>
      </c>
      <c r="V33" s="1" t="s">
        <v>2</v>
      </c>
      <c r="W33" s="1" t="s">
        <v>2</v>
      </c>
      <c r="AA33"/>
    </row>
    <row r="34" spans="15:27" x14ac:dyDescent="0.25">
      <c r="Q34" s="1" t="s">
        <v>5</v>
      </c>
      <c r="R34" s="1" t="s">
        <v>6</v>
      </c>
      <c r="S34" s="1" t="s">
        <v>5</v>
      </c>
      <c r="T34" s="1" t="s">
        <v>6</v>
      </c>
      <c r="U34" s="1" t="s">
        <v>5</v>
      </c>
      <c r="V34" s="1" t="s">
        <v>6</v>
      </c>
      <c r="W34" s="1" t="s">
        <v>6</v>
      </c>
      <c r="AA34"/>
    </row>
    <row r="35" spans="15:27" x14ac:dyDescent="0.25">
      <c r="O35" s="1">
        <v>1</v>
      </c>
      <c r="Q35" s="1">
        <v>0</v>
      </c>
      <c r="R35" s="1" t="s">
        <v>6</v>
      </c>
      <c r="S35" s="1">
        <v>1598701.71</v>
      </c>
      <c r="T35" s="1" t="s">
        <v>7</v>
      </c>
      <c r="U35" s="1">
        <v>1598701.71</v>
      </c>
      <c r="V35" s="1" t="s">
        <v>7</v>
      </c>
      <c r="W35" s="1" t="s">
        <v>7</v>
      </c>
      <c r="AA35"/>
    </row>
    <row r="36" spans="15:27" x14ac:dyDescent="0.25">
      <c r="O36" s="1">
        <v>2</v>
      </c>
      <c r="Q36" s="1">
        <v>97290.6</v>
      </c>
      <c r="R36" s="1" t="s">
        <v>6</v>
      </c>
      <c r="S36" s="1">
        <v>0</v>
      </c>
      <c r="T36" s="1" t="s">
        <v>6</v>
      </c>
      <c r="U36" s="1">
        <v>97290.6</v>
      </c>
      <c r="V36" s="1" t="s">
        <v>6</v>
      </c>
      <c r="W36" s="1" t="s">
        <v>6</v>
      </c>
      <c r="Z36" s="1">
        <f>U35-U36</f>
        <v>1501411.1099999999</v>
      </c>
      <c r="AA36"/>
    </row>
    <row r="37" spans="15:27" x14ac:dyDescent="0.25">
      <c r="AA37"/>
    </row>
    <row r="38" spans="15:27" x14ac:dyDescent="0.25">
      <c r="Z38" s="2">
        <f>Z29-Z36</f>
        <v>2639366.2200000007</v>
      </c>
      <c r="AA38"/>
    </row>
    <row r="39" spans="15:27" x14ac:dyDescent="0.25">
      <c r="AA39"/>
    </row>
    <row r="40" spans="15:27" x14ac:dyDescent="0.25">
      <c r="AA40"/>
    </row>
    <row r="41" spans="15:27" x14ac:dyDescent="0.25">
      <c r="O41" s="1" t="s">
        <v>0</v>
      </c>
      <c r="Q41" s="1" t="s">
        <v>1</v>
      </c>
      <c r="R41" s="1" t="s">
        <v>2</v>
      </c>
      <c r="S41" s="1" t="s">
        <v>3</v>
      </c>
      <c r="T41" s="1" t="s">
        <v>2</v>
      </c>
      <c r="U41" s="1" t="s">
        <v>4</v>
      </c>
      <c r="V41" s="1" t="s">
        <v>2</v>
      </c>
      <c r="W41" s="1" t="s">
        <v>2</v>
      </c>
      <c r="AA41"/>
    </row>
    <row r="42" spans="15:27" x14ac:dyDescent="0.25">
      <c r="Q42" s="1" t="s">
        <v>5</v>
      </c>
      <c r="R42" s="1" t="s">
        <v>6</v>
      </c>
      <c r="S42" s="1" t="s">
        <v>5</v>
      </c>
      <c r="T42" s="1" t="s">
        <v>6</v>
      </c>
      <c r="U42" s="1" t="s">
        <v>5</v>
      </c>
      <c r="V42" s="1" t="s">
        <v>6</v>
      </c>
      <c r="W42" s="1" t="s">
        <v>6</v>
      </c>
      <c r="AA42"/>
    </row>
    <row r="43" spans="15:27" x14ac:dyDescent="0.25">
      <c r="O43" s="1">
        <v>1</v>
      </c>
      <c r="Q43" s="1">
        <v>0</v>
      </c>
      <c r="R43" s="1" t="s">
        <v>6</v>
      </c>
      <c r="S43" s="1">
        <v>10809322.140000001</v>
      </c>
      <c r="T43" s="1" t="s">
        <v>7</v>
      </c>
      <c r="U43" s="1">
        <v>10809322.140000001</v>
      </c>
      <c r="V43" s="1" t="s">
        <v>7</v>
      </c>
      <c r="W43" s="1" t="s">
        <v>7</v>
      </c>
      <c r="AA43"/>
    </row>
    <row r="44" spans="15:27" x14ac:dyDescent="0.25">
      <c r="O44" s="1">
        <v>2</v>
      </c>
      <c r="Q44" s="1">
        <v>0</v>
      </c>
      <c r="R44" s="1" t="s">
        <v>6</v>
      </c>
      <c r="S44" s="1">
        <v>937330.51</v>
      </c>
      <c r="T44" s="1" t="s">
        <v>7</v>
      </c>
      <c r="U44" s="1">
        <v>937330.51</v>
      </c>
      <c r="V44" s="1" t="s">
        <v>7</v>
      </c>
      <c r="W44" s="1" t="s">
        <v>7</v>
      </c>
      <c r="Z44" s="1">
        <f>U43+U44</f>
        <v>11746652.65</v>
      </c>
      <c r="AA44"/>
    </row>
    <row r="45" spans="15:27" x14ac:dyDescent="0.25">
      <c r="AA45"/>
    </row>
    <row r="46" spans="15:27" x14ac:dyDescent="0.25">
      <c r="Z46" s="2">
        <f>Z36-Z44</f>
        <v>-10245241.540000001</v>
      </c>
      <c r="AA46"/>
    </row>
    <row r="47" spans="15:27" x14ac:dyDescent="0.25">
      <c r="O47" s="1" t="s">
        <v>0</v>
      </c>
      <c r="Q47" s="1" t="s">
        <v>1</v>
      </c>
      <c r="R47" s="1" t="s">
        <v>2</v>
      </c>
      <c r="S47" s="1" t="s">
        <v>3</v>
      </c>
      <c r="T47" s="1" t="s">
        <v>2</v>
      </c>
      <c r="U47" s="1" t="s">
        <v>4</v>
      </c>
      <c r="V47" s="1" t="s">
        <v>2</v>
      </c>
      <c r="W47" s="1" t="s">
        <v>2</v>
      </c>
      <c r="AA47"/>
    </row>
    <row r="48" spans="15:27" x14ac:dyDescent="0.25">
      <c r="Q48" s="1" t="s">
        <v>5</v>
      </c>
      <c r="R48" s="1" t="s">
        <v>6</v>
      </c>
      <c r="S48" s="1" t="s">
        <v>5</v>
      </c>
      <c r="T48" s="1" t="s">
        <v>6</v>
      </c>
      <c r="U48" s="1" t="s">
        <v>5</v>
      </c>
      <c r="V48" s="1" t="s">
        <v>6</v>
      </c>
      <c r="W48" s="1" t="s">
        <v>6</v>
      </c>
      <c r="AA48"/>
    </row>
    <row r="49" spans="15:27" x14ac:dyDescent="0.25">
      <c r="O49" s="1">
        <v>1</v>
      </c>
      <c r="Q49" s="1">
        <v>0</v>
      </c>
      <c r="R49" s="1" t="s">
        <v>6</v>
      </c>
      <c r="S49" s="1">
        <v>6278315.4800000004</v>
      </c>
      <c r="T49" s="1" t="s">
        <v>7</v>
      </c>
      <c r="U49" s="1">
        <v>6278315.4800000004</v>
      </c>
      <c r="V49" s="1" t="s">
        <v>7</v>
      </c>
      <c r="W49" s="1" t="s">
        <v>7</v>
      </c>
      <c r="AA49"/>
    </row>
    <row r="50" spans="15:27" x14ac:dyDescent="0.25">
      <c r="O50" s="1">
        <v>2</v>
      </c>
      <c r="Q50" s="1">
        <v>0</v>
      </c>
      <c r="R50" s="1" t="s">
        <v>6</v>
      </c>
      <c r="S50" s="1">
        <v>313302.31</v>
      </c>
      <c r="T50" s="1" t="s">
        <v>7</v>
      </c>
      <c r="U50" s="1">
        <v>313302.31</v>
      </c>
      <c r="V50" s="1" t="s">
        <v>7</v>
      </c>
      <c r="W50" s="1" t="s">
        <v>7</v>
      </c>
      <c r="AA50"/>
    </row>
    <row r="51" spans="15:27" x14ac:dyDescent="0.25">
      <c r="O51" s="1">
        <v>3</v>
      </c>
      <c r="Q51" s="1">
        <v>0</v>
      </c>
      <c r="R51" s="1" t="s">
        <v>6</v>
      </c>
      <c r="S51" s="1">
        <v>79345.740000000005</v>
      </c>
      <c r="T51" s="1" t="s">
        <v>7</v>
      </c>
      <c r="U51" s="1">
        <v>79345.740000000005</v>
      </c>
      <c r="V51" s="1" t="s">
        <v>7</v>
      </c>
      <c r="W51" s="1" t="s">
        <v>7</v>
      </c>
      <c r="AA51"/>
    </row>
    <row r="52" spans="15:27" x14ac:dyDescent="0.25">
      <c r="O52" s="1">
        <v>4</v>
      </c>
      <c r="Q52" s="1">
        <v>146611.26</v>
      </c>
      <c r="R52" s="1" t="s">
        <v>6</v>
      </c>
      <c r="S52" s="1">
        <v>0</v>
      </c>
      <c r="T52" s="1" t="s">
        <v>6</v>
      </c>
      <c r="U52" s="1">
        <v>146611.26</v>
      </c>
      <c r="V52" s="1" t="s">
        <v>6</v>
      </c>
      <c r="W52" s="1" t="s">
        <v>6</v>
      </c>
      <c r="Z52" s="1">
        <f>U49+U50+U51-U52</f>
        <v>6524352.2700000005</v>
      </c>
      <c r="AA52"/>
    </row>
    <row r="53" spans="15:27" x14ac:dyDescent="0.25">
      <c r="AA53"/>
    </row>
    <row r="54" spans="15:27" x14ac:dyDescent="0.25">
      <c r="Z54" s="9">
        <f>Z44-Z52</f>
        <v>5222300.38</v>
      </c>
      <c r="AA54"/>
    </row>
    <row r="55" spans="15:27" x14ac:dyDescent="0.25">
      <c r="O55" s="1" t="s">
        <v>0</v>
      </c>
      <c r="Q55" s="1" t="s">
        <v>1</v>
      </c>
      <c r="R55" s="1" t="s">
        <v>2</v>
      </c>
      <c r="S55" s="1" t="s">
        <v>3</v>
      </c>
      <c r="T55" s="1" t="s">
        <v>2</v>
      </c>
      <c r="U55" s="1" t="s">
        <v>4</v>
      </c>
      <c r="V55" s="1" t="s">
        <v>2</v>
      </c>
      <c r="W55" s="1" t="s">
        <v>2</v>
      </c>
      <c r="AA55"/>
    </row>
    <row r="56" spans="15:27" x14ac:dyDescent="0.25">
      <c r="Q56" s="1" t="s">
        <v>5</v>
      </c>
      <c r="R56" s="1" t="s">
        <v>6</v>
      </c>
      <c r="S56" s="1" t="s">
        <v>5</v>
      </c>
      <c r="T56" s="1" t="s">
        <v>6</v>
      </c>
      <c r="U56" s="1" t="s">
        <v>5</v>
      </c>
      <c r="V56" s="1" t="s">
        <v>6</v>
      </c>
      <c r="W56" s="1" t="s">
        <v>6</v>
      </c>
      <c r="AA56"/>
    </row>
    <row r="57" spans="15:27" x14ac:dyDescent="0.25">
      <c r="O57" s="1">
        <v>1</v>
      </c>
      <c r="Q57" s="1">
        <v>0</v>
      </c>
      <c r="R57" s="1" t="s">
        <v>6</v>
      </c>
      <c r="S57" s="1">
        <v>7420402.4699999997</v>
      </c>
      <c r="T57" s="1" t="s">
        <v>7</v>
      </c>
      <c r="U57" s="1">
        <v>7420402.4699999997</v>
      </c>
      <c r="V57" s="1" t="s">
        <v>7</v>
      </c>
      <c r="W57" s="1" t="s">
        <v>7</v>
      </c>
      <c r="AA57"/>
    </row>
    <row r="58" spans="15:27" x14ac:dyDescent="0.25">
      <c r="O58" s="1">
        <v>2</v>
      </c>
      <c r="Q58" s="1">
        <v>0</v>
      </c>
      <c r="R58" s="1" t="s">
        <v>6</v>
      </c>
      <c r="S58" s="1">
        <v>31928</v>
      </c>
      <c r="T58" s="1" t="s">
        <v>7</v>
      </c>
      <c r="U58" s="1">
        <v>31928</v>
      </c>
      <c r="V58" s="1" t="s">
        <v>7</v>
      </c>
      <c r="W58" s="1" t="s">
        <v>7</v>
      </c>
      <c r="AA58"/>
    </row>
    <row r="59" spans="15:27" x14ac:dyDescent="0.25">
      <c r="O59" s="1">
        <v>3</v>
      </c>
      <c r="Q59" s="1">
        <v>0</v>
      </c>
      <c r="R59" s="1" t="s">
        <v>6</v>
      </c>
      <c r="S59" s="1">
        <v>2532965.7400000002</v>
      </c>
      <c r="T59" s="1" t="s">
        <v>7</v>
      </c>
      <c r="U59" s="1">
        <v>2532965.7400000002</v>
      </c>
      <c r="V59" s="1" t="s">
        <v>7</v>
      </c>
      <c r="W59" s="1" t="s">
        <v>7</v>
      </c>
      <c r="AA59"/>
    </row>
    <row r="60" spans="15:27" x14ac:dyDescent="0.25">
      <c r="O60" s="1">
        <v>4</v>
      </c>
      <c r="Q60" s="1">
        <v>4190.54</v>
      </c>
      <c r="R60" s="1" t="s">
        <v>6</v>
      </c>
      <c r="S60" s="1">
        <v>0</v>
      </c>
      <c r="T60" s="1" t="s">
        <v>6</v>
      </c>
      <c r="U60" s="1">
        <v>4190.54</v>
      </c>
      <c r="V60" s="1" t="s">
        <v>6</v>
      </c>
      <c r="W60" s="1" t="s">
        <v>6</v>
      </c>
      <c r="Z60" s="1">
        <f>U57+U58+U59-U60</f>
        <v>9981105.6700000018</v>
      </c>
      <c r="AA60"/>
    </row>
    <row r="61" spans="15:27" x14ac:dyDescent="0.25">
      <c r="AA61"/>
    </row>
    <row r="62" spans="15:27" x14ac:dyDescent="0.25">
      <c r="Z62" s="9">
        <f>Z52-Z60</f>
        <v>-3456753.4000000013</v>
      </c>
      <c r="AA62"/>
    </row>
    <row r="63" spans="15:27" x14ac:dyDescent="0.25">
      <c r="AA63"/>
    </row>
    <row r="64" spans="15:27" x14ac:dyDescent="0.25">
      <c r="O64" s="1" t="s">
        <v>0</v>
      </c>
      <c r="Q64" s="1" t="s">
        <v>1</v>
      </c>
      <c r="R64" s="1" t="s">
        <v>2</v>
      </c>
      <c r="S64" s="1" t="s">
        <v>3</v>
      </c>
      <c r="T64" s="1" t="s">
        <v>2</v>
      </c>
      <c r="U64" s="1" t="s">
        <v>4</v>
      </c>
      <c r="V64" s="1" t="s">
        <v>2</v>
      </c>
      <c r="W64" s="1" t="s">
        <v>2</v>
      </c>
      <c r="AA64"/>
    </row>
    <row r="65" spans="15:27" x14ac:dyDescent="0.25">
      <c r="Q65" s="1" t="s">
        <v>5</v>
      </c>
      <c r="R65" s="1" t="s">
        <v>6</v>
      </c>
      <c r="S65" s="1" t="s">
        <v>5</v>
      </c>
      <c r="T65" s="1" t="s">
        <v>6</v>
      </c>
      <c r="U65" s="1" t="s">
        <v>5</v>
      </c>
      <c r="V65" s="1" t="s">
        <v>6</v>
      </c>
      <c r="W65" s="1" t="s">
        <v>6</v>
      </c>
      <c r="AA65"/>
    </row>
    <row r="66" spans="15:27" x14ac:dyDescent="0.25">
      <c r="O66" s="1">
        <v>1</v>
      </c>
      <c r="Q66" s="1">
        <v>0</v>
      </c>
      <c r="R66" s="1" t="s">
        <v>6</v>
      </c>
      <c r="S66" s="1">
        <v>83759.14</v>
      </c>
      <c r="T66" s="1" t="s">
        <v>7</v>
      </c>
      <c r="U66" s="1">
        <v>83759.14</v>
      </c>
      <c r="V66" s="1" t="s">
        <v>7</v>
      </c>
      <c r="W66" s="1" t="s">
        <v>7</v>
      </c>
      <c r="AA66"/>
    </row>
    <row r="67" spans="15:27" x14ac:dyDescent="0.25">
      <c r="O67" s="1">
        <v>2</v>
      </c>
      <c r="Q67" s="1">
        <v>0</v>
      </c>
      <c r="R67" s="1" t="s">
        <v>6</v>
      </c>
      <c r="S67" s="1">
        <v>33410.629999999997</v>
      </c>
      <c r="T67" s="1" t="s">
        <v>7</v>
      </c>
      <c r="U67" s="1">
        <v>33410.629999999997</v>
      </c>
      <c r="V67" s="1" t="s">
        <v>7</v>
      </c>
      <c r="W67" s="1" t="s">
        <v>7</v>
      </c>
      <c r="AA67"/>
    </row>
    <row r="68" spans="15:27" x14ac:dyDescent="0.25">
      <c r="O68" s="1">
        <v>3</v>
      </c>
      <c r="Q68" s="1">
        <v>0</v>
      </c>
      <c r="R68" s="1" t="s">
        <v>6</v>
      </c>
      <c r="S68" s="1">
        <v>201332.6</v>
      </c>
      <c r="T68" s="1" t="s">
        <v>7</v>
      </c>
      <c r="U68" s="1">
        <v>201332.6</v>
      </c>
      <c r="V68" s="1" t="s">
        <v>7</v>
      </c>
      <c r="W68" s="1" t="s">
        <v>7</v>
      </c>
      <c r="AA68"/>
    </row>
    <row r="69" spans="15:27" x14ac:dyDescent="0.25">
      <c r="O69" s="1">
        <v>4</v>
      </c>
      <c r="Q69" s="1">
        <v>81067.179999999993</v>
      </c>
      <c r="R69" s="1" t="s">
        <v>6</v>
      </c>
      <c r="S69" s="1">
        <v>0</v>
      </c>
      <c r="T69" s="1" t="s">
        <v>6</v>
      </c>
      <c r="U69" s="1">
        <v>81067.179999999993</v>
      </c>
      <c r="V69" s="1" t="s">
        <v>6</v>
      </c>
      <c r="W69" s="1" t="s">
        <v>6</v>
      </c>
      <c r="Z69" s="1">
        <f>U66+U67+U68-U69</f>
        <v>237435.19</v>
      </c>
      <c r="AA69"/>
    </row>
    <row r="70" spans="15:27" x14ac:dyDescent="0.25">
      <c r="AA70"/>
    </row>
    <row r="71" spans="15:27" x14ac:dyDescent="0.25">
      <c r="Z71" s="9">
        <f>Z60-Z69</f>
        <v>9743670.4800000023</v>
      </c>
      <c r="AA71"/>
    </row>
    <row r="72" spans="15:27" x14ac:dyDescent="0.25">
      <c r="O72" s="1" t="s">
        <v>0</v>
      </c>
      <c r="Q72" s="1" t="s">
        <v>1</v>
      </c>
      <c r="R72" s="1" t="s">
        <v>2</v>
      </c>
      <c r="S72" s="1" t="s">
        <v>3</v>
      </c>
      <c r="T72" s="1" t="s">
        <v>2</v>
      </c>
      <c r="U72" s="1" t="s">
        <v>4</v>
      </c>
      <c r="V72" s="1" t="s">
        <v>2</v>
      </c>
      <c r="W72" s="1" t="s">
        <v>2</v>
      </c>
      <c r="AA72"/>
    </row>
    <row r="73" spans="15:27" x14ac:dyDescent="0.25">
      <c r="Q73" s="1" t="s">
        <v>5</v>
      </c>
      <c r="R73" s="1" t="s">
        <v>6</v>
      </c>
      <c r="S73" s="1" t="s">
        <v>5</v>
      </c>
      <c r="T73" s="1" t="s">
        <v>6</v>
      </c>
      <c r="U73" s="1" t="s">
        <v>5</v>
      </c>
      <c r="V73" s="1" t="s">
        <v>6</v>
      </c>
      <c r="W73" s="1" t="s">
        <v>6</v>
      </c>
      <c r="AA73"/>
    </row>
    <row r="74" spans="15:27" x14ac:dyDescent="0.25">
      <c r="O74" s="1">
        <v>1</v>
      </c>
      <c r="Q74" s="1">
        <v>0</v>
      </c>
      <c r="R74" s="1" t="s">
        <v>6</v>
      </c>
      <c r="S74" s="1">
        <v>489935.76</v>
      </c>
      <c r="T74" s="1" t="s">
        <v>7</v>
      </c>
      <c r="U74" s="1">
        <v>489935.76</v>
      </c>
      <c r="V74" s="1" t="s">
        <v>7</v>
      </c>
      <c r="W74" s="1" t="s">
        <v>7</v>
      </c>
      <c r="AA74"/>
    </row>
    <row r="75" spans="15:27" x14ac:dyDescent="0.25">
      <c r="O75" s="1">
        <v>2</v>
      </c>
      <c r="Q75" s="1">
        <v>0</v>
      </c>
      <c r="R75" s="1" t="s">
        <v>6</v>
      </c>
      <c r="S75" s="1">
        <v>21210215.760000002</v>
      </c>
      <c r="T75" s="1" t="s">
        <v>7</v>
      </c>
      <c r="U75" s="1">
        <v>21210215.760000002</v>
      </c>
      <c r="V75" s="1" t="s">
        <v>7</v>
      </c>
      <c r="W75" s="1" t="s">
        <v>7</v>
      </c>
      <c r="AA75"/>
    </row>
    <row r="76" spans="15:27" x14ac:dyDescent="0.25">
      <c r="O76" s="1">
        <v>3</v>
      </c>
      <c r="Q76" s="1">
        <v>89459.7</v>
      </c>
      <c r="R76" s="1" t="s">
        <v>6</v>
      </c>
      <c r="S76" s="1">
        <v>0</v>
      </c>
      <c r="T76" s="1" t="s">
        <v>6</v>
      </c>
      <c r="U76" s="1">
        <v>89459.7</v>
      </c>
      <c r="V76" s="1" t="s">
        <v>6</v>
      </c>
      <c r="W76" s="1" t="s">
        <v>6</v>
      </c>
      <c r="Z76" s="1">
        <f>U74+U75-U76</f>
        <v>21610691.820000004</v>
      </c>
      <c r="AA76"/>
    </row>
    <row r="77" spans="15:27" x14ac:dyDescent="0.25">
      <c r="AA77"/>
    </row>
    <row r="78" spans="15:27" x14ac:dyDescent="0.25">
      <c r="Z78" s="2">
        <f>Z69-Z76</f>
        <v>-21373256.630000003</v>
      </c>
      <c r="AA78"/>
    </row>
    <row r="79" spans="15:27" x14ac:dyDescent="0.25">
      <c r="O79" s="1" t="s">
        <v>0</v>
      </c>
      <c r="Q79" s="1" t="s">
        <v>1</v>
      </c>
      <c r="R79" s="1" t="s">
        <v>2</v>
      </c>
      <c r="S79" s="1" t="s">
        <v>3</v>
      </c>
      <c r="T79" s="1" t="s">
        <v>2</v>
      </c>
      <c r="U79" s="1" t="s">
        <v>4</v>
      </c>
      <c r="V79" s="1" t="s">
        <v>2</v>
      </c>
      <c r="W79" s="1" t="s">
        <v>2</v>
      </c>
      <c r="AA79"/>
    </row>
    <row r="80" spans="15:27" x14ac:dyDescent="0.25">
      <c r="Q80" s="1" t="s">
        <v>5</v>
      </c>
      <c r="R80" s="1" t="s">
        <v>6</v>
      </c>
      <c r="S80" s="1" t="s">
        <v>5</v>
      </c>
      <c r="T80" s="1" t="s">
        <v>6</v>
      </c>
      <c r="U80" s="1" t="s">
        <v>5</v>
      </c>
      <c r="V80" s="1" t="s">
        <v>6</v>
      </c>
      <c r="W80" s="1" t="s">
        <v>6</v>
      </c>
      <c r="AA80"/>
    </row>
    <row r="81" spans="15:27" x14ac:dyDescent="0.25">
      <c r="O81" s="1">
        <v>1</v>
      </c>
      <c r="Q81" s="1">
        <v>0</v>
      </c>
      <c r="R81" s="1" t="s">
        <v>6</v>
      </c>
      <c r="S81" s="1">
        <v>6653563.7999999998</v>
      </c>
      <c r="T81" s="1" t="s">
        <v>7</v>
      </c>
      <c r="U81" s="1">
        <v>6653563.7999999998</v>
      </c>
      <c r="V81" s="1" t="s">
        <v>7</v>
      </c>
      <c r="W81" s="1" t="s">
        <v>7</v>
      </c>
      <c r="AA81"/>
    </row>
    <row r="82" spans="15:27" x14ac:dyDescent="0.25">
      <c r="O82" s="1">
        <v>2</v>
      </c>
      <c r="Q82" s="1">
        <v>599275.73</v>
      </c>
      <c r="R82" s="1" t="s">
        <v>6</v>
      </c>
      <c r="S82" s="1">
        <v>0</v>
      </c>
      <c r="T82" s="1" t="s">
        <v>6</v>
      </c>
      <c r="U82" s="1">
        <v>599275.73</v>
      </c>
      <c r="V82" s="1" t="s">
        <v>6</v>
      </c>
      <c r="W82" s="1" t="s">
        <v>6</v>
      </c>
      <c r="Z82" s="1">
        <f>U81-U82</f>
        <v>6054288.0700000003</v>
      </c>
      <c r="AA82"/>
    </row>
    <row r="83" spans="15:27" x14ac:dyDescent="0.25">
      <c r="AA83"/>
    </row>
    <row r="84" spans="15:27" x14ac:dyDescent="0.25">
      <c r="Z84" s="2">
        <f>Z76-Z82</f>
        <v>15556403.750000004</v>
      </c>
      <c r="AA84"/>
    </row>
    <row r="85" spans="15:27" x14ac:dyDescent="0.25">
      <c r="O85" s="1" t="s">
        <v>0</v>
      </c>
      <c r="Q85" s="1" t="s">
        <v>1</v>
      </c>
      <c r="R85" s="1" t="s">
        <v>2</v>
      </c>
      <c r="S85" s="1" t="s">
        <v>3</v>
      </c>
      <c r="T85" s="1" t="s">
        <v>2</v>
      </c>
      <c r="U85" s="1" t="s">
        <v>4</v>
      </c>
      <c r="V85" s="1" t="s">
        <v>2</v>
      </c>
      <c r="W85" s="1" t="s">
        <v>2</v>
      </c>
      <c r="AA85"/>
    </row>
    <row r="86" spans="15:27" x14ac:dyDescent="0.25">
      <c r="Q86" s="1" t="s">
        <v>5</v>
      </c>
      <c r="R86" s="1" t="s">
        <v>6</v>
      </c>
      <c r="S86" s="1" t="s">
        <v>5</v>
      </c>
      <c r="T86" s="1" t="s">
        <v>6</v>
      </c>
      <c r="U86" s="1" t="s">
        <v>5</v>
      </c>
      <c r="V86" s="1" t="s">
        <v>6</v>
      </c>
      <c r="W86" s="1" t="s">
        <v>6</v>
      </c>
      <c r="AA86"/>
    </row>
    <row r="87" spans="15:27" x14ac:dyDescent="0.25">
      <c r="O87" s="1">
        <v>1</v>
      </c>
      <c r="Q87" s="1">
        <v>0</v>
      </c>
      <c r="R87" s="1" t="s">
        <v>6</v>
      </c>
      <c r="S87" s="1">
        <v>9034416.9299999997</v>
      </c>
      <c r="T87" s="1" t="s">
        <v>7</v>
      </c>
      <c r="U87" s="1">
        <v>9034416.9299999997</v>
      </c>
      <c r="V87" s="1" t="s">
        <v>7</v>
      </c>
      <c r="W87" s="1" t="s">
        <v>7</v>
      </c>
      <c r="AA87"/>
    </row>
    <row r="88" spans="15:27" x14ac:dyDescent="0.25">
      <c r="O88" s="1">
        <v>2</v>
      </c>
      <c r="Q88" s="1">
        <v>0</v>
      </c>
      <c r="R88" s="1" t="s">
        <v>6</v>
      </c>
      <c r="S88" s="1">
        <v>469881.85</v>
      </c>
      <c r="T88" s="1" t="s">
        <v>7</v>
      </c>
      <c r="U88" s="1">
        <v>469881.85</v>
      </c>
      <c r="V88" s="1" t="s">
        <v>7</v>
      </c>
      <c r="W88" s="1" t="s">
        <v>7</v>
      </c>
      <c r="AA88"/>
    </row>
    <row r="89" spans="15:27" x14ac:dyDescent="0.25">
      <c r="O89" s="1">
        <v>3</v>
      </c>
      <c r="Q89" s="1">
        <v>0</v>
      </c>
      <c r="R89" s="1" t="s">
        <v>6</v>
      </c>
      <c r="S89" s="1">
        <v>446370.72</v>
      </c>
      <c r="T89" s="1" t="s">
        <v>7</v>
      </c>
      <c r="U89" s="1">
        <v>446370.72</v>
      </c>
      <c r="V89" s="1" t="s">
        <v>7</v>
      </c>
      <c r="W89" s="1" t="s">
        <v>7</v>
      </c>
      <c r="AA89"/>
    </row>
    <row r="90" spans="15:27" x14ac:dyDescent="0.25">
      <c r="O90" s="1">
        <v>4</v>
      </c>
      <c r="Q90" s="1">
        <v>390323.94</v>
      </c>
      <c r="R90" s="1" t="s">
        <v>6</v>
      </c>
      <c r="S90" s="1">
        <v>0</v>
      </c>
      <c r="T90" s="1" t="s">
        <v>6</v>
      </c>
      <c r="U90" s="1">
        <v>390323.94</v>
      </c>
      <c r="V90" s="1" t="s">
        <v>6</v>
      </c>
      <c r="W90" s="1" t="s">
        <v>6</v>
      </c>
      <c r="Z90" s="1">
        <f>U87+U88+U89-U90</f>
        <v>9560345.5600000005</v>
      </c>
      <c r="AA90"/>
    </row>
    <row r="91" spans="15:27" x14ac:dyDescent="0.25">
      <c r="AA91"/>
    </row>
    <row r="92" spans="15:27" x14ac:dyDescent="0.25">
      <c r="Z92" s="2">
        <f>Z82-Z90</f>
        <v>-3506057.49</v>
      </c>
      <c r="AA92"/>
    </row>
    <row r="93" spans="15:27" x14ac:dyDescent="0.25">
      <c r="AA93"/>
    </row>
    <row r="94" spans="15:27" x14ac:dyDescent="0.25">
      <c r="O94" s="1" t="s">
        <v>0</v>
      </c>
      <c r="Q94" s="1" t="s">
        <v>1</v>
      </c>
      <c r="R94" s="1" t="s">
        <v>2</v>
      </c>
      <c r="S94" s="1" t="s">
        <v>3</v>
      </c>
      <c r="T94" s="1" t="s">
        <v>2</v>
      </c>
      <c r="U94" s="1" t="s">
        <v>4</v>
      </c>
      <c r="V94" s="1" t="s">
        <v>2</v>
      </c>
      <c r="W94" s="1" t="s">
        <v>2</v>
      </c>
      <c r="AA94"/>
    </row>
    <row r="95" spans="15:27" x14ac:dyDescent="0.25">
      <c r="Q95" s="1" t="s">
        <v>5</v>
      </c>
      <c r="R95" s="1" t="s">
        <v>6</v>
      </c>
      <c r="S95" s="1" t="s">
        <v>5</v>
      </c>
      <c r="T95" s="1" t="s">
        <v>6</v>
      </c>
      <c r="U95" s="1" t="s">
        <v>5</v>
      </c>
      <c r="V95" s="1" t="s">
        <v>6</v>
      </c>
      <c r="W95" s="1" t="s">
        <v>6</v>
      </c>
      <c r="AA95"/>
    </row>
    <row r="96" spans="15:27" x14ac:dyDescent="0.25">
      <c r="O96" s="1">
        <v>1</v>
      </c>
      <c r="Q96" s="1">
        <v>0</v>
      </c>
      <c r="R96" s="1" t="s">
        <v>6</v>
      </c>
      <c r="S96" s="1">
        <v>7223388.2800000003</v>
      </c>
      <c r="T96" s="1" t="s">
        <v>7</v>
      </c>
      <c r="U96" s="1">
        <v>7223388.2800000003</v>
      </c>
      <c r="V96" s="1" t="s">
        <v>7</v>
      </c>
      <c r="W96" s="1" t="s">
        <v>7</v>
      </c>
      <c r="AA96"/>
    </row>
    <row r="97" spans="15:27" x14ac:dyDescent="0.25">
      <c r="O97" s="1">
        <v>2</v>
      </c>
      <c r="Q97" s="1">
        <v>0</v>
      </c>
      <c r="R97" s="1" t="s">
        <v>6</v>
      </c>
      <c r="S97" s="1">
        <v>185997.25</v>
      </c>
      <c r="T97" s="1" t="s">
        <v>7</v>
      </c>
      <c r="U97" s="1">
        <v>185997.25</v>
      </c>
      <c r="V97" s="1" t="s">
        <v>7</v>
      </c>
      <c r="W97" s="1" t="s">
        <v>7</v>
      </c>
      <c r="AA97"/>
    </row>
    <row r="98" spans="15:27" x14ac:dyDescent="0.25">
      <c r="O98" s="1">
        <v>3</v>
      </c>
      <c r="Q98" s="1">
        <v>0</v>
      </c>
      <c r="R98" s="1" t="s">
        <v>6</v>
      </c>
      <c r="S98" s="1">
        <v>563430.11</v>
      </c>
      <c r="T98" s="1" t="s">
        <v>7</v>
      </c>
      <c r="U98" s="1">
        <v>563430.11</v>
      </c>
      <c r="V98" s="1" t="s">
        <v>7</v>
      </c>
      <c r="W98" s="1" t="s">
        <v>7</v>
      </c>
      <c r="AA98"/>
    </row>
    <row r="99" spans="15:27" x14ac:dyDescent="0.25">
      <c r="O99" s="1">
        <v>4</v>
      </c>
      <c r="Q99" s="1">
        <v>710649.03</v>
      </c>
      <c r="R99" s="1" t="s">
        <v>6</v>
      </c>
      <c r="S99" s="1">
        <v>0</v>
      </c>
      <c r="T99" s="1" t="s">
        <v>6</v>
      </c>
      <c r="U99" s="1">
        <v>710649.03</v>
      </c>
      <c r="V99" s="1" t="s">
        <v>6</v>
      </c>
      <c r="W99" s="1" t="s">
        <v>6</v>
      </c>
      <c r="Z99" s="1">
        <f>U96+U97+U98-U99</f>
        <v>7262166.6100000003</v>
      </c>
      <c r="AA99"/>
    </row>
    <row r="100" spans="15:27" x14ac:dyDescent="0.25">
      <c r="AA100"/>
    </row>
    <row r="101" spans="15:27" x14ac:dyDescent="0.25">
      <c r="Z101" s="2">
        <f>Z90-Z99</f>
        <v>2298178.9500000002</v>
      </c>
      <c r="AA101"/>
    </row>
    <row r="102" spans="15:27" x14ac:dyDescent="0.25">
      <c r="AA102"/>
    </row>
    <row r="103" spans="15:27" x14ac:dyDescent="0.25">
      <c r="AA103"/>
    </row>
    <row r="104" spans="15:27" x14ac:dyDescent="0.25">
      <c r="O104" s="1" t="s">
        <v>0</v>
      </c>
      <c r="Q104" s="1" t="s">
        <v>1</v>
      </c>
      <c r="R104" s="1" t="s">
        <v>2</v>
      </c>
      <c r="S104" s="1" t="s">
        <v>3</v>
      </c>
      <c r="T104" s="1" t="s">
        <v>2</v>
      </c>
      <c r="U104" s="1" t="s">
        <v>4</v>
      </c>
      <c r="V104" s="1" t="s">
        <v>2</v>
      </c>
      <c r="W104" s="1" t="s">
        <v>2</v>
      </c>
      <c r="AA104"/>
    </row>
    <row r="105" spans="15:27" x14ac:dyDescent="0.25">
      <c r="Q105" s="1" t="s">
        <v>5</v>
      </c>
      <c r="R105" s="1" t="s">
        <v>6</v>
      </c>
      <c r="S105" s="1" t="s">
        <v>5</v>
      </c>
      <c r="T105" s="1" t="s">
        <v>6</v>
      </c>
      <c r="U105" s="1" t="s">
        <v>5</v>
      </c>
      <c r="V105" s="1" t="s">
        <v>6</v>
      </c>
      <c r="W105" s="1" t="s">
        <v>6</v>
      </c>
      <c r="AA105"/>
    </row>
    <row r="106" spans="15:27" x14ac:dyDescent="0.25">
      <c r="O106" s="1">
        <v>1</v>
      </c>
      <c r="Q106" s="1">
        <v>0</v>
      </c>
      <c r="R106" s="1" t="s">
        <v>6</v>
      </c>
      <c r="S106" s="1">
        <v>96447.6</v>
      </c>
      <c r="T106" s="1" t="s">
        <v>7</v>
      </c>
      <c r="U106" s="1">
        <v>96447.6</v>
      </c>
      <c r="V106" s="1" t="s">
        <v>7</v>
      </c>
      <c r="W106" s="1" t="s">
        <v>7</v>
      </c>
      <c r="AA106"/>
    </row>
    <row r="107" spans="15:27" x14ac:dyDescent="0.25">
      <c r="O107" s="1">
        <v>2</v>
      </c>
      <c r="Q107" s="1">
        <v>0</v>
      </c>
      <c r="R107" s="1" t="s">
        <v>6</v>
      </c>
      <c r="S107" s="1">
        <v>1938489.67</v>
      </c>
      <c r="T107" s="1" t="s">
        <v>7</v>
      </c>
      <c r="U107" s="1">
        <v>1938489.67</v>
      </c>
      <c r="V107" s="1" t="s">
        <v>7</v>
      </c>
      <c r="W107" s="1" t="s">
        <v>7</v>
      </c>
      <c r="AA107"/>
    </row>
    <row r="108" spans="15:27" x14ac:dyDescent="0.25">
      <c r="O108" s="1">
        <v>3</v>
      </c>
      <c r="Q108" s="1">
        <v>2494.37</v>
      </c>
      <c r="R108" s="1" t="s">
        <v>6</v>
      </c>
      <c r="S108" s="1">
        <v>0</v>
      </c>
      <c r="T108" s="1" t="s">
        <v>6</v>
      </c>
      <c r="U108" s="1">
        <v>2494.37</v>
      </c>
      <c r="V108" s="1" t="s">
        <v>6</v>
      </c>
      <c r="W108" s="1" t="s">
        <v>6</v>
      </c>
      <c r="Z108" s="1">
        <f>U106+U107-U108</f>
        <v>2032442.9</v>
      </c>
      <c r="AA108"/>
    </row>
    <row r="109" spans="15:27" x14ac:dyDescent="0.25">
      <c r="AA109"/>
    </row>
    <row r="110" spans="15:27" x14ac:dyDescent="0.25">
      <c r="Z110" s="2">
        <f>Z99-Z108</f>
        <v>5229723.7100000009</v>
      </c>
      <c r="AA110"/>
    </row>
    <row r="111" spans="15:27" x14ac:dyDescent="0.25">
      <c r="AA111"/>
    </row>
    <row r="112" spans="15:27" x14ac:dyDescent="0.25">
      <c r="O112" s="1" t="s">
        <v>0</v>
      </c>
      <c r="Q112" s="1" t="s">
        <v>1</v>
      </c>
      <c r="R112" s="1" t="s">
        <v>2</v>
      </c>
      <c r="S112" s="1" t="s">
        <v>3</v>
      </c>
      <c r="T112" s="1" t="s">
        <v>2</v>
      </c>
      <c r="U112" s="1" t="s">
        <v>4</v>
      </c>
      <c r="V112" s="1" t="s">
        <v>2</v>
      </c>
      <c r="W112" s="1" t="s">
        <v>2</v>
      </c>
      <c r="AA112"/>
    </row>
    <row r="113" spans="15:27" x14ac:dyDescent="0.25">
      <c r="Q113" s="1" t="s">
        <v>5</v>
      </c>
      <c r="R113" s="1" t="s">
        <v>6</v>
      </c>
      <c r="S113" s="1" t="s">
        <v>5</v>
      </c>
      <c r="T113" s="1" t="s">
        <v>6</v>
      </c>
      <c r="U113" s="1" t="s">
        <v>5</v>
      </c>
      <c r="V113" s="1" t="s">
        <v>6</v>
      </c>
      <c r="W113" s="1" t="s">
        <v>6</v>
      </c>
      <c r="AA113"/>
    </row>
    <row r="114" spans="15:27" x14ac:dyDescent="0.25">
      <c r="O114" s="1">
        <v>1</v>
      </c>
      <c r="Q114" s="1">
        <v>0</v>
      </c>
      <c r="R114" s="1" t="s">
        <v>6</v>
      </c>
      <c r="S114" s="1">
        <v>40000</v>
      </c>
      <c r="T114" s="1" t="s">
        <v>7</v>
      </c>
      <c r="U114" s="1">
        <v>40000</v>
      </c>
      <c r="V114" s="1" t="s">
        <v>7</v>
      </c>
      <c r="W114" s="1" t="s">
        <v>7</v>
      </c>
      <c r="AA114"/>
    </row>
    <row r="115" spans="15:27" x14ac:dyDescent="0.25">
      <c r="O115" s="1">
        <v>2</v>
      </c>
      <c r="Q115" s="1">
        <v>0</v>
      </c>
      <c r="R115" s="1" t="s">
        <v>6</v>
      </c>
      <c r="S115" s="1">
        <v>918718.68</v>
      </c>
      <c r="T115" s="1" t="s">
        <v>7</v>
      </c>
      <c r="U115" s="1">
        <v>918718.68</v>
      </c>
      <c r="V115" s="1" t="s">
        <v>7</v>
      </c>
      <c r="W115" s="1" t="s">
        <v>7</v>
      </c>
      <c r="AA115"/>
    </row>
    <row r="116" spans="15:27" x14ac:dyDescent="0.25">
      <c r="O116" s="1">
        <v>3</v>
      </c>
      <c r="Q116" s="1">
        <v>0</v>
      </c>
      <c r="R116" s="1" t="s">
        <v>6</v>
      </c>
      <c r="S116" s="1">
        <v>25009102.039999999</v>
      </c>
      <c r="T116" s="1" t="s">
        <v>7</v>
      </c>
      <c r="U116" s="1">
        <v>25009102.039999999</v>
      </c>
      <c r="V116" s="1" t="s">
        <v>7</v>
      </c>
      <c r="W116" s="1" t="s">
        <v>7</v>
      </c>
      <c r="AA116"/>
    </row>
    <row r="117" spans="15:27" x14ac:dyDescent="0.25">
      <c r="O117" s="1">
        <v>4</v>
      </c>
      <c r="Q117" s="1">
        <v>461776.23</v>
      </c>
      <c r="R117" s="1" t="s">
        <v>6</v>
      </c>
      <c r="S117" s="1">
        <v>0</v>
      </c>
      <c r="T117" s="1" t="s">
        <v>6</v>
      </c>
      <c r="U117" s="1">
        <v>461776.23</v>
      </c>
      <c r="V117" s="1" t="s">
        <v>6</v>
      </c>
      <c r="W117" s="1" t="s">
        <v>6</v>
      </c>
      <c r="Z117" s="1">
        <f>U114+U115+U116-U117</f>
        <v>25506044.489999998</v>
      </c>
      <c r="AA117"/>
    </row>
    <row r="118" spans="15:27" x14ac:dyDescent="0.25">
      <c r="AA118"/>
    </row>
    <row r="119" spans="15:27" x14ac:dyDescent="0.25">
      <c r="Z119" s="2">
        <f>Z108-Z117</f>
        <v>-23473601.59</v>
      </c>
      <c r="AA119"/>
    </row>
    <row r="120" spans="15:27" x14ac:dyDescent="0.25">
      <c r="O120" s="1" t="s">
        <v>0</v>
      </c>
      <c r="Q120" s="1" t="s">
        <v>1</v>
      </c>
      <c r="R120" s="1" t="s">
        <v>2</v>
      </c>
      <c r="S120" s="1" t="s">
        <v>3</v>
      </c>
      <c r="T120" s="1" t="s">
        <v>2</v>
      </c>
      <c r="U120" s="1" t="s">
        <v>4</v>
      </c>
      <c r="V120" s="1" t="s">
        <v>2</v>
      </c>
      <c r="W120" s="1" t="s">
        <v>2</v>
      </c>
      <c r="AA120"/>
    </row>
    <row r="121" spans="15:27" x14ac:dyDescent="0.25">
      <c r="Q121" s="1" t="s">
        <v>5</v>
      </c>
      <c r="R121" s="1" t="s">
        <v>6</v>
      </c>
      <c r="S121" s="1" t="s">
        <v>5</v>
      </c>
      <c r="T121" s="1" t="s">
        <v>6</v>
      </c>
      <c r="U121" s="1" t="s">
        <v>5</v>
      </c>
      <c r="V121" s="1" t="s">
        <v>6</v>
      </c>
      <c r="W121" s="1" t="s">
        <v>6</v>
      </c>
      <c r="AA121"/>
    </row>
    <row r="122" spans="15:27" x14ac:dyDescent="0.25">
      <c r="O122" s="1">
        <v>1</v>
      </c>
      <c r="Q122" s="1">
        <v>0</v>
      </c>
      <c r="R122" s="1" t="s">
        <v>6</v>
      </c>
      <c r="S122" s="1">
        <v>9378855.3900000006</v>
      </c>
      <c r="T122" s="1" t="s">
        <v>7</v>
      </c>
      <c r="U122" s="1">
        <v>9378855.3900000006</v>
      </c>
      <c r="V122" s="1" t="s">
        <v>7</v>
      </c>
      <c r="W122" s="1" t="s">
        <v>7</v>
      </c>
      <c r="AA122"/>
    </row>
    <row r="123" spans="15:27" x14ac:dyDescent="0.25">
      <c r="O123" s="1">
        <v>2</v>
      </c>
      <c r="Q123" s="1">
        <v>0</v>
      </c>
      <c r="R123" s="1" t="s">
        <v>6</v>
      </c>
      <c r="S123" s="1">
        <v>9425.7000000000007</v>
      </c>
      <c r="T123" s="1" t="s">
        <v>7</v>
      </c>
      <c r="U123" s="1">
        <v>9425.7000000000007</v>
      </c>
      <c r="V123" s="1" t="s">
        <v>7</v>
      </c>
      <c r="W123" s="1" t="s">
        <v>7</v>
      </c>
      <c r="AA123"/>
    </row>
    <row r="124" spans="15:27" x14ac:dyDescent="0.25">
      <c r="O124" s="1">
        <v>3</v>
      </c>
      <c r="Q124" s="1">
        <v>0</v>
      </c>
      <c r="R124" s="1" t="s">
        <v>6</v>
      </c>
      <c r="S124" s="1">
        <v>762721.96</v>
      </c>
      <c r="T124" s="1" t="s">
        <v>7</v>
      </c>
      <c r="U124" s="1">
        <v>762721.96</v>
      </c>
      <c r="V124" s="1" t="s">
        <v>7</v>
      </c>
      <c r="W124" s="1" t="s">
        <v>7</v>
      </c>
      <c r="AA124"/>
    </row>
    <row r="125" spans="15:27" x14ac:dyDescent="0.25">
      <c r="O125" s="1">
        <v>4</v>
      </c>
      <c r="Q125" s="1">
        <v>179169.09</v>
      </c>
      <c r="R125" s="1" t="s">
        <v>6</v>
      </c>
      <c r="S125" s="1">
        <v>0</v>
      </c>
      <c r="T125" s="1" t="s">
        <v>6</v>
      </c>
      <c r="U125" s="1">
        <v>179169.09</v>
      </c>
      <c r="V125" s="1" t="s">
        <v>6</v>
      </c>
      <c r="W125" s="1" t="s">
        <v>6</v>
      </c>
      <c r="Z125" s="1">
        <f>U122+U123+U124-U125</f>
        <v>9971833.9600000009</v>
      </c>
      <c r="AA125"/>
    </row>
    <row r="126" spans="15:27" x14ac:dyDescent="0.25">
      <c r="AA126"/>
    </row>
    <row r="127" spans="15:27" x14ac:dyDescent="0.25">
      <c r="Z127" s="2">
        <f>Z117-Z125</f>
        <v>15534210.529999997</v>
      </c>
      <c r="AA127"/>
    </row>
    <row r="128" spans="15:27" x14ac:dyDescent="0.25">
      <c r="O128" s="1" t="s">
        <v>0</v>
      </c>
      <c r="Q128" s="1" t="s">
        <v>1</v>
      </c>
      <c r="R128" s="1" t="s">
        <v>2</v>
      </c>
      <c r="S128" s="1" t="s">
        <v>3</v>
      </c>
      <c r="T128" s="1" t="s">
        <v>2</v>
      </c>
      <c r="U128" s="1" t="s">
        <v>4</v>
      </c>
      <c r="V128" s="1" t="s">
        <v>2</v>
      </c>
      <c r="W128" s="1" t="s">
        <v>2</v>
      </c>
      <c r="AA128"/>
    </row>
    <row r="129" spans="15:27" x14ac:dyDescent="0.25">
      <c r="Q129" s="1" t="s">
        <v>5</v>
      </c>
      <c r="R129" s="1" t="s">
        <v>6</v>
      </c>
      <c r="S129" s="1" t="s">
        <v>5</v>
      </c>
      <c r="T129" s="1" t="s">
        <v>6</v>
      </c>
      <c r="U129" s="1" t="s">
        <v>5</v>
      </c>
      <c r="V129" s="1" t="s">
        <v>6</v>
      </c>
      <c r="W129" s="1" t="s">
        <v>6</v>
      </c>
      <c r="AA129"/>
    </row>
    <row r="130" spans="15:27" x14ac:dyDescent="0.25">
      <c r="O130" s="1">
        <v>1</v>
      </c>
      <c r="Q130" s="1">
        <v>0</v>
      </c>
      <c r="R130" s="1" t="s">
        <v>6</v>
      </c>
      <c r="S130" s="1">
        <v>9552607.9800000004</v>
      </c>
      <c r="T130" s="1" t="s">
        <v>7</v>
      </c>
      <c r="U130" s="1">
        <v>9552607.9800000004</v>
      </c>
      <c r="V130" s="1" t="s">
        <v>7</v>
      </c>
      <c r="W130" s="1" t="s">
        <v>7</v>
      </c>
      <c r="AA130"/>
    </row>
    <row r="131" spans="15:27" x14ac:dyDescent="0.25">
      <c r="O131" s="1">
        <v>2</v>
      </c>
      <c r="Q131" s="1">
        <v>0</v>
      </c>
      <c r="R131" s="1" t="s">
        <v>6</v>
      </c>
      <c r="S131" s="1">
        <v>86429.33</v>
      </c>
      <c r="T131" s="1" t="s">
        <v>7</v>
      </c>
      <c r="U131" s="1">
        <v>86429.33</v>
      </c>
      <c r="V131" s="1" t="s">
        <v>7</v>
      </c>
      <c r="W131" s="1" t="s">
        <v>7</v>
      </c>
      <c r="AA131"/>
    </row>
    <row r="132" spans="15:27" x14ac:dyDescent="0.25">
      <c r="O132" s="1">
        <v>3</v>
      </c>
      <c r="Q132" s="1">
        <v>341618.14</v>
      </c>
      <c r="R132" s="1" t="s">
        <v>6</v>
      </c>
      <c r="S132" s="1">
        <v>0</v>
      </c>
      <c r="T132" s="1" t="s">
        <v>6</v>
      </c>
      <c r="U132" s="1">
        <v>341618.14</v>
      </c>
      <c r="V132" s="1" t="s">
        <v>6</v>
      </c>
      <c r="W132" s="1" t="s">
        <v>6</v>
      </c>
      <c r="Z132" s="1">
        <f>U130+U131-U132</f>
        <v>9297419.1699999999</v>
      </c>
      <c r="AA132"/>
    </row>
    <row r="133" spans="15:27" x14ac:dyDescent="0.25">
      <c r="AA133"/>
    </row>
    <row r="134" spans="15:27" x14ac:dyDescent="0.25">
      <c r="Z134" s="2">
        <f>Z125-Z132</f>
        <v>674414.79000000097</v>
      </c>
      <c r="AA134"/>
    </row>
    <row r="135" spans="15:27" x14ac:dyDescent="0.25">
      <c r="O135" s="1" t="s">
        <v>0</v>
      </c>
      <c r="Q135" s="1" t="s">
        <v>1</v>
      </c>
      <c r="R135" s="1" t="s">
        <v>2</v>
      </c>
      <c r="S135" s="1" t="s">
        <v>3</v>
      </c>
      <c r="T135" s="1" t="s">
        <v>2</v>
      </c>
      <c r="U135" s="1" t="s">
        <v>4</v>
      </c>
      <c r="V135" s="1" t="s">
        <v>2</v>
      </c>
      <c r="W135" s="1" t="s">
        <v>2</v>
      </c>
      <c r="AA135"/>
    </row>
    <row r="136" spans="15:27" x14ac:dyDescent="0.25">
      <c r="Q136" s="1" t="s">
        <v>5</v>
      </c>
      <c r="R136" s="1" t="s">
        <v>6</v>
      </c>
      <c r="S136" s="1" t="s">
        <v>5</v>
      </c>
      <c r="T136" s="1" t="s">
        <v>6</v>
      </c>
      <c r="U136" s="1" t="s">
        <v>5</v>
      </c>
      <c r="V136" s="1" t="s">
        <v>6</v>
      </c>
      <c r="W136" s="1" t="s">
        <v>6</v>
      </c>
      <c r="AA136"/>
    </row>
    <row r="137" spans="15:27" x14ac:dyDescent="0.25">
      <c r="O137" s="1">
        <v>1</v>
      </c>
      <c r="Q137" s="1">
        <v>0</v>
      </c>
      <c r="R137" s="1" t="s">
        <v>6</v>
      </c>
      <c r="S137" s="1">
        <v>11713434.640000001</v>
      </c>
      <c r="T137" s="1" t="s">
        <v>7</v>
      </c>
      <c r="U137" s="1">
        <v>11713434.640000001</v>
      </c>
      <c r="V137" s="1" t="s">
        <v>7</v>
      </c>
      <c r="W137" s="1" t="s">
        <v>7</v>
      </c>
      <c r="AA137"/>
    </row>
    <row r="138" spans="15:27" x14ac:dyDescent="0.25">
      <c r="O138" s="1">
        <v>2</v>
      </c>
      <c r="Q138" s="1">
        <v>0</v>
      </c>
      <c r="R138" s="1" t="s">
        <v>6</v>
      </c>
      <c r="S138" s="1">
        <v>652961.42000000004</v>
      </c>
      <c r="T138" s="1" t="s">
        <v>7</v>
      </c>
      <c r="U138" s="1">
        <v>652961.42000000004</v>
      </c>
      <c r="V138" s="1" t="s">
        <v>7</v>
      </c>
      <c r="W138" s="1" t="s">
        <v>7</v>
      </c>
      <c r="AA138"/>
    </row>
    <row r="139" spans="15:27" x14ac:dyDescent="0.25">
      <c r="O139" s="1">
        <v>3</v>
      </c>
      <c r="Q139" s="1">
        <v>0</v>
      </c>
      <c r="R139" s="1" t="s">
        <v>6</v>
      </c>
      <c r="S139" s="1">
        <v>1585261.3</v>
      </c>
      <c r="T139" s="1" t="s">
        <v>7</v>
      </c>
      <c r="U139" s="1">
        <v>1585261.3</v>
      </c>
      <c r="V139" s="1" t="s">
        <v>7</v>
      </c>
      <c r="W139" s="1" t="s">
        <v>7</v>
      </c>
      <c r="AA139"/>
    </row>
    <row r="140" spans="15:27" x14ac:dyDescent="0.25">
      <c r="O140" s="1">
        <v>4</v>
      </c>
      <c r="Q140" s="1">
        <v>406156.98</v>
      </c>
      <c r="R140" s="1" t="s">
        <v>6</v>
      </c>
      <c r="S140" s="1">
        <v>0</v>
      </c>
      <c r="T140" s="1" t="s">
        <v>6</v>
      </c>
      <c r="U140" s="1">
        <v>406156.98</v>
      </c>
      <c r="V140" s="1" t="s">
        <v>6</v>
      </c>
      <c r="W140" s="1" t="s">
        <v>6</v>
      </c>
      <c r="Z140" s="1">
        <f>U137+U138+U139-U140</f>
        <v>13545500.380000001</v>
      </c>
      <c r="AA140"/>
    </row>
    <row r="141" spans="15:27" x14ac:dyDescent="0.25">
      <c r="AA141"/>
    </row>
    <row r="142" spans="15:27" x14ac:dyDescent="0.25">
      <c r="Z142" s="2">
        <f>Z132-Z140</f>
        <v>-4248081.2100000009</v>
      </c>
      <c r="AA142"/>
    </row>
    <row r="143" spans="15:27" x14ac:dyDescent="0.25">
      <c r="O143" s="1" t="s">
        <v>0</v>
      </c>
      <c r="Q143" s="1" t="s">
        <v>1</v>
      </c>
      <c r="R143" s="1" t="s">
        <v>2</v>
      </c>
      <c r="S143" s="1" t="s">
        <v>3</v>
      </c>
      <c r="T143" s="1" t="s">
        <v>2</v>
      </c>
      <c r="U143" s="1" t="s">
        <v>4</v>
      </c>
      <c r="V143" s="1" t="s">
        <v>2</v>
      </c>
      <c r="W143" s="1" t="s">
        <v>2</v>
      </c>
      <c r="AA143"/>
    </row>
    <row r="144" spans="15:27" x14ac:dyDescent="0.25">
      <c r="Q144" s="1" t="s">
        <v>5</v>
      </c>
      <c r="R144" s="1" t="s">
        <v>6</v>
      </c>
      <c r="S144" s="1" t="s">
        <v>5</v>
      </c>
      <c r="T144" s="1" t="s">
        <v>6</v>
      </c>
      <c r="U144" s="1" t="s">
        <v>5</v>
      </c>
      <c r="V144" s="1" t="s">
        <v>6</v>
      </c>
      <c r="W144" s="1" t="s">
        <v>6</v>
      </c>
      <c r="AA144"/>
    </row>
    <row r="145" spans="15:27" x14ac:dyDescent="0.25">
      <c r="O145" s="1">
        <v>1</v>
      </c>
      <c r="Q145" s="1">
        <v>0</v>
      </c>
      <c r="R145" s="1" t="s">
        <v>6</v>
      </c>
      <c r="S145" s="1">
        <v>319481.59000000003</v>
      </c>
      <c r="T145" s="1" t="s">
        <v>7</v>
      </c>
      <c r="U145" s="1">
        <v>319481.59000000003</v>
      </c>
      <c r="V145" s="1" t="s">
        <v>7</v>
      </c>
      <c r="W145" s="1" t="s">
        <v>7</v>
      </c>
      <c r="AA145"/>
    </row>
    <row r="146" spans="15:27" x14ac:dyDescent="0.25">
      <c r="O146" s="1">
        <v>2</v>
      </c>
      <c r="Q146" s="1">
        <v>0</v>
      </c>
      <c r="R146" s="1" t="s">
        <v>6</v>
      </c>
      <c r="S146" s="1">
        <v>371029.94</v>
      </c>
      <c r="T146" s="1" t="s">
        <v>7</v>
      </c>
      <c r="U146" s="1">
        <v>371029.94</v>
      </c>
      <c r="V146" s="1" t="s">
        <v>7</v>
      </c>
      <c r="W146" s="1" t="s">
        <v>7</v>
      </c>
      <c r="Z146" s="1">
        <f>U145+U146</f>
        <v>690511.53</v>
      </c>
      <c r="AA146"/>
    </row>
    <row r="147" spans="15:27" x14ac:dyDescent="0.25">
      <c r="AA147"/>
    </row>
    <row r="148" spans="15:27" x14ac:dyDescent="0.25">
      <c r="Z148" s="2">
        <f>Z140-Z146</f>
        <v>12854988.850000001</v>
      </c>
      <c r="AA148"/>
    </row>
    <row r="149" spans="15:27" x14ac:dyDescent="0.25">
      <c r="O149" s="1" t="s">
        <v>0</v>
      </c>
      <c r="Q149" s="1" t="s">
        <v>1</v>
      </c>
      <c r="R149" s="1" t="s">
        <v>2</v>
      </c>
      <c r="S149" s="1" t="s">
        <v>3</v>
      </c>
      <c r="T149" s="1" t="s">
        <v>2</v>
      </c>
      <c r="U149" s="1" t="s">
        <v>4</v>
      </c>
      <c r="V149" s="1" t="s">
        <v>2</v>
      </c>
      <c r="W149" s="1" t="s">
        <v>2</v>
      </c>
      <c r="AA149"/>
    </row>
    <row r="150" spans="15:27" x14ac:dyDescent="0.25">
      <c r="Q150" s="1" t="s">
        <v>5</v>
      </c>
      <c r="R150" s="1" t="s">
        <v>6</v>
      </c>
      <c r="S150" s="1" t="s">
        <v>5</v>
      </c>
      <c r="T150" s="1" t="s">
        <v>6</v>
      </c>
      <c r="U150" s="1" t="s">
        <v>5</v>
      </c>
      <c r="V150" s="1" t="s">
        <v>6</v>
      </c>
      <c r="W150" s="1" t="s">
        <v>6</v>
      </c>
      <c r="AA150"/>
    </row>
    <row r="151" spans="15:27" x14ac:dyDescent="0.25">
      <c r="O151" s="1">
        <v>1</v>
      </c>
      <c r="Q151" s="1">
        <v>0</v>
      </c>
      <c r="R151" s="1" t="s">
        <v>6</v>
      </c>
      <c r="S151" s="1">
        <v>17711784.77</v>
      </c>
      <c r="T151" s="1" t="s">
        <v>7</v>
      </c>
      <c r="U151" s="1">
        <v>17711784.77</v>
      </c>
      <c r="V151" s="1" t="s">
        <v>7</v>
      </c>
      <c r="W151" s="1" t="s">
        <v>7</v>
      </c>
      <c r="AA151"/>
    </row>
    <row r="152" spans="15:27" x14ac:dyDescent="0.25">
      <c r="O152" s="1">
        <v>2</v>
      </c>
      <c r="Q152" s="1">
        <v>0</v>
      </c>
      <c r="R152" s="1" t="s">
        <v>6</v>
      </c>
      <c r="S152" s="1">
        <v>103774.29</v>
      </c>
      <c r="T152" s="1" t="s">
        <v>7</v>
      </c>
      <c r="U152" s="1">
        <v>103774.29</v>
      </c>
      <c r="V152" s="1" t="s">
        <v>7</v>
      </c>
      <c r="W152" s="1" t="s">
        <v>7</v>
      </c>
      <c r="AA152"/>
    </row>
    <row r="153" spans="15:27" x14ac:dyDescent="0.25">
      <c r="O153" s="1">
        <v>3</v>
      </c>
      <c r="Q153" s="1">
        <v>0</v>
      </c>
      <c r="R153" s="1" t="s">
        <v>6</v>
      </c>
      <c r="S153" s="1">
        <v>634726.18000000005</v>
      </c>
      <c r="T153" s="1" t="s">
        <v>7</v>
      </c>
      <c r="U153" s="1">
        <v>634726.18000000005</v>
      </c>
      <c r="V153" s="1" t="s">
        <v>7</v>
      </c>
      <c r="W153" s="1" t="s">
        <v>7</v>
      </c>
      <c r="AA153"/>
    </row>
    <row r="154" spans="15:27" x14ac:dyDescent="0.25">
      <c r="O154" s="1">
        <v>4</v>
      </c>
      <c r="Q154" s="1">
        <v>249254.2</v>
      </c>
      <c r="R154" s="1" t="s">
        <v>6</v>
      </c>
      <c r="S154" s="1">
        <v>0</v>
      </c>
      <c r="T154" s="1" t="s">
        <v>6</v>
      </c>
      <c r="U154" s="1">
        <v>249254.2</v>
      </c>
      <c r="V154" s="1" t="s">
        <v>6</v>
      </c>
      <c r="W154" s="1" t="s">
        <v>6</v>
      </c>
      <c r="Z154" s="1">
        <f>U151+U152+U153-U154</f>
        <v>18201031.039999999</v>
      </c>
      <c r="AA154"/>
    </row>
    <row r="155" spans="15:27" x14ac:dyDescent="0.25">
      <c r="AA155"/>
    </row>
    <row r="156" spans="15:27" x14ac:dyDescent="0.25">
      <c r="Z156" s="2">
        <f>Z146-Z154</f>
        <v>-17510519.509999998</v>
      </c>
      <c r="AA156"/>
    </row>
    <row r="157" spans="15:27" x14ac:dyDescent="0.25">
      <c r="O157" s="1" t="s">
        <v>0</v>
      </c>
      <c r="Q157" s="1" t="s">
        <v>1</v>
      </c>
      <c r="R157" s="1" t="s">
        <v>2</v>
      </c>
      <c r="S157" s="1" t="s">
        <v>3</v>
      </c>
      <c r="T157" s="1" t="s">
        <v>2</v>
      </c>
      <c r="U157" s="1" t="s">
        <v>4</v>
      </c>
      <c r="V157" s="1" t="s">
        <v>2</v>
      </c>
      <c r="W157" s="1" t="s">
        <v>2</v>
      </c>
      <c r="AA157"/>
    </row>
    <row r="158" spans="15:27" x14ac:dyDescent="0.25">
      <c r="Q158" s="1" t="s">
        <v>5</v>
      </c>
      <c r="R158" s="1" t="s">
        <v>6</v>
      </c>
      <c r="S158" s="1" t="s">
        <v>5</v>
      </c>
      <c r="T158" s="1" t="s">
        <v>6</v>
      </c>
      <c r="U158" s="1" t="s">
        <v>5</v>
      </c>
      <c r="V158" s="1" t="s">
        <v>6</v>
      </c>
      <c r="W158" s="1" t="s">
        <v>6</v>
      </c>
      <c r="AA158"/>
    </row>
    <row r="159" spans="15:27" x14ac:dyDescent="0.25">
      <c r="O159" s="1">
        <v>1</v>
      </c>
      <c r="Q159" s="1">
        <v>0</v>
      </c>
      <c r="R159" s="1" t="s">
        <v>6</v>
      </c>
      <c r="S159" s="1">
        <v>9232609.4100000001</v>
      </c>
      <c r="T159" s="1" t="s">
        <v>7</v>
      </c>
      <c r="U159" s="1">
        <v>9232609.4100000001</v>
      </c>
      <c r="V159" s="1" t="s">
        <v>7</v>
      </c>
      <c r="W159" s="1" t="s">
        <v>7</v>
      </c>
      <c r="AA159"/>
    </row>
    <row r="160" spans="15:27" x14ac:dyDescent="0.25">
      <c r="O160" s="1">
        <v>2</v>
      </c>
      <c r="Q160" s="1">
        <v>0</v>
      </c>
      <c r="R160" s="1" t="s">
        <v>6</v>
      </c>
      <c r="S160" s="1">
        <v>102740.63</v>
      </c>
      <c r="T160" s="1" t="s">
        <v>7</v>
      </c>
      <c r="U160" s="1">
        <v>102740.63</v>
      </c>
      <c r="V160" s="1" t="s">
        <v>7</v>
      </c>
      <c r="W160" s="1" t="s">
        <v>7</v>
      </c>
      <c r="AA160"/>
    </row>
    <row r="161" spans="15:27" x14ac:dyDescent="0.25">
      <c r="O161" s="1">
        <v>3</v>
      </c>
      <c r="Q161" s="1">
        <v>630345.4</v>
      </c>
      <c r="R161" s="1" t="s">
        <v>6</v>
      </c>
      <c r="S161" s="1">
        <v>0</v>
      </c>
      <c r="T161" s="1" t="s">
        <v>6</v>
      </c>
      <c r="U161" s="1">
        <v>630345.4</v>
      </c>
      <c r="V161" s="1" t="s">
        <v>6</v>
      </c>
      <c r="W161" s="1" t="s">
        <v>6</v>
      </c>
      <c r="Z161" s="1">
        <f>U159+U160-U161</f>
        <v>8705004.6400000006</v>
      </c>
      <c r="AA161"/>
    </row>
    <row r="162" spans="15:27" x14ac:dyDescent="0.25">
      <c r="AA162"/>
    </row>
    <row r="163" spans="15:27" x14ac:dyDescent="0.25">
      <c r="Z163" s="2">
        <f>Z154-Z161</f>
        <v>9496026.3999999985</v>
      </c>
      <c r="AA163"/>
    </row>
    <row r="164" spans="15:27" x14ac:dyDescent="0.25">
      <c r="O164" s="1" t="s">
        <v>0</v>
      </c>
      <c r="Q164" s="1" t="s">
        <v>1</v>
      </c>
      <c r="R164" s="1" t="s">
        <v>2</v>
      </c>
      <c r="S164" s="1" t="s">
        <v>3</v>
      </c>
      <c r="T164" s="1" t="s">
        <v>2</v>
      </c>
      <c r="U164" s="1" t="s">
        <v>4</v>
      </c>
      <c r="V164" s="1" t="s">
        <v>2</v>
      </c>
      <c r="W164" s="1" t="s">
        <v>2</v>
      </c>
      <c r="AA164"/>
    </row>
    <row r="165" spans="15:27" x14ac:dyDescent="0.25">
      <c r="Q165" s="1" t="s">
        <v>5</v>
      </c>
      <c r="R165" s="1" t="s">
        <v>6</v>
      </c>
      <c r="S165" s="1" t="s">
        <v>5</v>
      </c>
      <c r="T165" s="1" t="s">
        <v>6</v>
      </c>
      <c r="U165" s="1" t="s">
        <v>5</v>
      </c>
      <c r="V165" s="1" t="s">
        <v>6</v>
      </c>
      <c r="W165" s="1" t="s">
        <v>6</v>
      </c>
      <c r="AA165"/>
    </row>
    <row r="166" spans="15:27" x14ac:dyDescent="0.25">
      <c r="O166" s="1">
        <v>1</v>
      </c>
      <c r="Q166" s="1">
        <v>0</v>
      </c>
      <c r="R166" s="1" t="s">
        <v>6</v>
      </c>
      <c r="S166" s="1">
        <v>221298.47</v>
      </c>
      <c r="T166" s="1" t="s">
        <v>7</v>
      </c>
      <c r="U166" s="1">
        <v>221298.47</v>
      </c>
      <c r="V166" s="1" t="s">
        <v>7</v>
      </c>
      <c r="W166" s="1" t="s">
        <v>7</v>
      </c>
      <c r="AA166"/>
    </row>
    <row r="167" spans="15:27" x14ac:dyDescent="0.25">
      <c r="O167" s="1">
        <v>2</v>
      </c>
      <c r="Q167" s="1">
        <v>0</v>
      </c>
      <c r="R167" s="1" t="s">
        <v>6</v>
      </c>
      <c r="S167" s="1">
        <v>244833.24</v>
      </c>
      <c r="T167" s="1" t="s">
        <v>7</v>
      </c>
      <c r="U167" s="1">
        <v>244833.24</v>
      </c>
      <c r="V167" s="1" t="s">
        <v>7</v>
      </c>
      <c r="W167" s="1" t="s">
        <v>7</v>
      </c>
      <c r="AA167"/>
    </row>
    <row r="168" spans="15:27" x14ac:dyDescent="0.25">
      <c r="O168" s="1">
        <v>3</v>
      </c>
      <c r="Q168" s="1">
        <v>0</v>
      </c>
      <c r="R168" s="1" t="s">
        <v>6</v>
      </c>
      <c r="S168" s="1">
        <v>181362.09</v>
      </c>
      <c r="T168" s="1" t="s">
        <v>7</v>
      </c>
      <c r="U168" s="1">
        <v>181362.09</v>
      </c>
      <c r="V168" s="1" t="s">
        <v>7</v>
      </c>
      <c r="W168" s="1" t="s">
        <v>7</v>
      </c>
      <c r="AA168"/>
    </row>
    <row r="169" spans="15:27" x14ac:dyDescent="0.25">
      <c r="O169" s="1">
        <v>4</v>
      </c>
      <c r="Q169" s="1">
        <v>196292.85</v>
      </c>
      <c r="R169" s="1" t="s">
        <v>6</v>
      </c>
      <c r="S169" s="1">
        <v>0</v>
      </c>
      <c r="T169" s="1" t="s">
        <v>6</v>
      </c>
      <c r="U169" s="1">
        <v>196292.85</v>
      </c>
      <c r="V169" s="1" t="s">
        <v>6</v>
      </c>
      <c r="W169" s="1" t="s">
        <v>6</v>
      </c>
      <c r="Z169" s="1">
        <f>U166+U167+U168-U169</f>
        <v>451200.94999999995</v>
      </c>
      <c r="AA169"/>
    </row>
    <row r="170" spans="15:27" x14ac:dyDescent="0.25">
      <c r="AA170"/>
    </row>
    <row r="171" spans="15:27" x14ac:dyDescent="0.25">
      <c r="Z171" s="2">
        <f>Z161-Z169</f>
        <v>8253803.6900000004</v>
      </c>
      <c r="AA171"/>
    </row>
    <row r="172" spans="15:27" x14ac:dyDescent="0.25">
      <c r="O172" s="1" t="s">
        <v>0</v>
      </c>
      <c r="Q172" s="1" t="s">
        <v>1</v>
      </c>
      <c r="R172" s="1" t="s">
        <v>2</v>
      </c>
      <c r="S172" s="1" t="s">
        <v>3</v>
      </c>
      <c r="T172" s="1" t="s">
        <v>2</v>
      </c>
      <c r="U172" s="1" t="s">
        <v>4</v>
      </c>
      <c r="V172" s="1" t="s">
        <v>2</v>
      </c>
      <c r="W172" s="1" t="s">
        <v>2</v>
      </c>
      <c r="AA172"/>
    </row>
    <row r="173" spans="15:27" x14ac:dyDescent="0.25">
      <c r="Q173" s="1" t="s">
        <v>5</v>
      </c>
      <c r="R173" s="1" t="s">
        <v>6</v>
      </c>
      <c r="S173" s="1" t="s">
        <v>5</v>
      </c>
      <c r="T173" s="1" t="s">
        <v>6</v>
      </c>
      <c r="U173" s="1" t="s">
        <v>5</v>
      </c>
      <c r="V173" s="1" t="s">
        <v>6</v>
      </c>
      <c r="W173" s="1" t="s">
        <v>6</v>
      </c>
      <c r="AA173"/>
    </row>
    <row r="174" spans="15:27" x14ac:dyDescent="0.25">
      <c r="O174" s="1">
        <v>1</v>
      </c>
      <c r="Q174" s="1">
        <v>0</v>
      </c>
      <c r="R174" s="1" t="s">
        <v>6</v>
      </c>
      <c r="S174" s="1">
        <v>10263743.75</v>
      </c>
      <c r="T174" s="1" t="s">
        <v>7</v>
      </c>
      <c r="U174" s="1">
        <v>10263743.75</v>
      </c>
      <c r="V174" s="1" t="s">
        <v>7</v>
      </c>
      <c r="W174" s="1" t="s">
        <v>7</v>
      </c>
      <c r="AA174"/>
    </row>
    <row r="175" spans="15:27" x14ac:dyDescent="0.25">
      <c r="O175" s="1">
        <v>2</v>
      </c>
      <c r="Q175" s="1">
        <v>0</v>
      </c>
      <c r="R175" s="1" t="s">
        <v>6</v>
      </c>
      <c r="S175" s="1">
        <v>17460.62</v>
      </c>
      <c r="T175" s="1" t="s">
        <v>7</v>
      </c>
      <c r="U175" s="1">
        <v>17460.62</v>
      </c>
      <c r="V175" s="1" t="s">
        <v>7</v>
      </c>
      <c r="W175" s="1" t="s">
        <v>7</v>
      </c>
      <c r="AA175"/>
    </row>
    <row r="176" spans="15:27" x14ac:dyDescent="0.25">
      <c r="O176" s="1">
        <v>3</v>
      </c>
      <c r="Q176" s="1">
        <v>0</v>
      </c>
      <c r="R176" s="1" t="s">
        <v>6</v>
      </c>
      <c r="S176" s="1">
        <v>168917.02</v>
      </c>
      <c r="T176" s="1" t="s">
        <v>7</v>
      </c>
      <c r="U176" s="1">
        <v>168917.02</v>
      </c>
      <c r="V176" s="1" t="s">
        <v>7</v>
      </c>
      <c r="W176" s="1" t="s">
        <v>7</v>
      </c>
      <c r="AA176"/>
    </row>
    <row r="177" spans="2:27" x14ac:dyDescent="0.25">
      <c r="O177" s="1">
        <v>4</v>
      </c>
      <c r="Q177" s="1">
        <v>719495.89</v>
      </c>
      <c r="R177" s="1" t="s">
        <v>6</v>
      </c>
      <c r="S177" s="1">
        <v>0</v>
      </c>
      <c r="T177" s="1" t="s">
        <v>6</v>
      </c>
      <c r="U177" s="1">
        <v>719495.89</v>
      </c>
      <c r="V177" s="1" t="s">
        <v>6</v>
      </c>
      <c r="W177" s="1" t="s">
        <v>6</v>
      </c>
      <c r="Z177" s="1">
        <f>U174+U175+U176-U177</f>
        <v>9730625.4999999981</v>
      </c>
      <c r="AA177"/>
    </row>
    <row r="178" spans="2:27" x14ac:dyDescent="0.25">
      <c r="AA178"/>
    </row>
    <row r="179" spans="2:27" x14ac:dyDescent="0.25">
      <c r="Z179" s="2">
        <f>Z169-Z177</f>
        <v>-9279424.5499999989</v>
      </c>
      <c r="AA179"/>
    </row>
    <row r="180" spans="2:27" x14ac:dyDescent="0.25">
      <c r="AA180"/>
    </row>
    <row r="181" spans="2:27" x14ac:dyDescent="0.25">
      <c r="O181" s="1" t="s">
        <v>0</v>
      </c>
      <c r="Q181" s="1" t="s">
        <v>1</v>
      </c>
      <c r="R181" s="1" t="s">
        <v>2</v>
      </c>
      <c r="S181" s="1" t="s">
        <v>3</v>
      </c>
      <c r="T181" s="1" t="s">
        <v>2</v>
      </c>
      <c r="U181" s="1" t="s">
        <v>4</v>
      </c>
      <c r="V181" s="1" t="s">
        <v>2</v>
      </c>
      <c r="W181" s="1" t="s">
        <v>2</v>
      </c>
      <c r="AA181"/>
    </row>
    <row r="182" spans="2:27" x14ac:dyDescent="0.25">
      <c r="Q182" s="1" t="s">
        <v>5</v>
      </c>
      <c r="R182" s="1" t="s">
        <v>6</v>
      </c>
      <c r="S182" s="1" t="s">
        <v>5</v>
      </c>
      <c r="T182" s="1" t="s">
        <v>6</v>
      </c>
      <c r="U182" s="1" t="s">
        <v>5</v>
      </c>
      <c r="V182" s="1" t="s">
        <v>6</v>
      </c>
      <c r="W182" s="1" t="s">
        <v>6</v>
      </c>
      <c r="AA182"/>
    </row>
    <row r="183" spans="2:27" x14ac:dyDescent="0.25">
      <c r="O183" s="1">
        <v>1</v>
      </c>
      <c r="Q183" s="1">
        <v>0</v>
      </c>
      <c r="R183" s="1" t="s">
        <v>6</v>
      </c>
      <c r="S183" s="1">
        <v>5806.88</v>
      </c>
      <c r="T183" s="1" t="s">
        <v>7</v>
      </c>
      <c r="U183" s="1">
        <v>5806.88</v>
      </c>
      <c r="V183" s="1" t="s">
        <v>7</v>
      </c>
      <c r="W183" s="1" t="s">
        <v>7</v>
      </c>
      <c r="AA183"/>
    </row>
    <row r="184" spans="2:27" x14ac:dyDescent="0.25">
      <c r="O184" s="1">
        <v>2</v>
      </c>
      <c r="Q184" s="1">
        <v>0</v>
      </c>
      <c r="R184" s="1" t="s">
        <v>6</v>
      </c>
      <c r="S184" s="1">
        <v>983773.02</v>
      </c>
      <c r="T184" s="1" t="s">
        <v>7</v>
      </c>
      <c r="U184" s="1">
        <v>983773.02</v>
      </c>
      <c r="V184" s="1" t="s">
        <v>7</v>
      </c>
      <c r="W184" s="1" t="s">
        <v>7</v>
      </c>
      <c r="Z184" s="1">
        <f>U183+U184</f>
        <v>989579.9</v>
      </c>
      <c r="AA184"/>
    </row>
    <row r="185" spans="2:27" x14ac:dyDescent="0.25">
      <c r="AA185"/>
    </row>
    <row r="186" spans="2:27" x14ac:dyDescent="0.25">
      <c r="Z186" s="2">
        <f>Z177-Z184</f>
        <v>8741045.5999999978</v>
      </c>
      <c r="AA186"/>
    </row>
    <row r="187" spans="2:27" x14ac:dyDescent="0.25">
      <c r="B187" s="1" t="s">
        <v>8</v>
      </c>
      <c r="O187" s="1" t="s">
        <v>0</v>
      </c>
      <c r="Q187" s="1" t="s">
        <v>1</v>
      </c>
      <c r="R187" s="1" t="s">
        <v>2</v>
      </c>
      <c r="S187" s="1" t="s">
        <v>3</v>
      </c>
      <c r="T187" s="1" t="s">
        <v>2</v>
      </c>
      <c r="U187" s="1" t="s">
        <v>4</v>
      </c>
      <c r="V187" s="1" t="s">
        <v>2</v>
      </c>
      <c r="W187" s="1" t="s">
        <v>2</v>
      </c>
      <c r="AA187"/>
    </row>
    <row r="188" spans="2:27" x14ac:dyDescent="0.25">
      <c r="B188" s="1" t="s">
        <v>9</v>
      </c>
      <c r="Q188" s="1" t="s">
        <v>5</v>
      </c>
      <c r="R188" s="1" t="s">
        <v>6</v>
      </c>
      <c r="S188" s="1" t="s">
        <v>5</v>
      </c>
      <c r="T188" s="1" t="s">
        <v>6</v>
      </c>
      <c r="U188" s="1" t="s">
        <v>5</v>
      </c>
      <c r="V188" s="1" t="s">
        <v>6</v>
      </c>
      <c r="W188" s="1" t="s">
        <v>6</v>
      </c>
      <c r="AA188"/>
    </row>
    <row r="189" spans="2:27" x14ac:dyDescent="0.25">
      <c r="B189" s="1" t="s">
        <v>10</v>
      </c>
      <c r="O189" s="1">
        <v>1</v>
      </c>
      <c r="Q189" s="1">
        <v>0</v>
      </c>
      <c r="R189" s="1" t="s">
        <v>6</v>
      </c>
      <c r="S189" s="1">
        <v>16991833.559999999</v>
      </c>
      <c r="T189" s="1" t="s">
        <v>7</v>
      </c>
      <c r="U189" s="1">
        <v>16991833.559999999</v>
      </c>
      <c r="V189" s="1" t="s">
        <v>7</v>
      </c>
      <c r="W189" s="1" t="s">
        <v>7</v>
      </c>
      <c r="AA189"/>
    </row>
    <row r="190" spans="2:27" x14ac:dyDescent="0.25">
      <c r="B190" s="1" t="s">
        <v>11</v>
      </c>
      <c r="O190" s="1">
        <v>2</v>
      </c>
      <c r="Q190" s="1">
        <v>0</v>
      </c>
      <c r="R190" s="1" t="s">
        <v>6</v>
      </c>
      <c r="S190" s="1">
        <v>960026.65</v>
      </c>
      <c r="T190" s="1" t="s">
        <v>7</v>
      </c>
      <c r="U190" s="1">
        <v>960026.65</v>
      </c>
      <c r="V190" s="1" t="s">
        <v>7</v>
      </c>
      <c r="W190" s="1" t="s">
        <v>7</v>
      </c>
      <c r="AA190"/>
    </row>
    <row r="191" spans="2:27" x14ac:dyDescent="0.25">
      <c r="B191" s="1" t="s">
        <v>12</v>
      </c>
      <c r="O191" s="1">
        <v>3</v>
      </c>
      <c r="Q191" s="1">
        <v>80145.61</v>
      </c>
      <c r="R191" s="1" t="s">
        <v>6</v>
      </c>
      <c r="S191" s="1">
        <v>0</v>
      </c>
      <c r="T191" s="1" t="s">
        <v>6</v>
      </c>
      <c r="U191" s="1">
        <v>80145.61</v>
      </c>
      <c r="V191" s="1" t="s">
        <v>6</v>
      </c>
      <c r="W191" s="1" t="s">
        <v>6</v>
      </c>
      <c r="Z191" s="1">
        <f>U189+U190-U191</f>
        <v>17871714.599999998</v>
      </c>
      <c r="AA191"/>
    </row>
    <row r="192" spans="2:27" x14ac:dyDescent="0.25">
      <c r="AA192"/>
    </row>
    <row r="193" spans="15:27" x14ac:dyDescent="0.25">
      <c r="Z193" s="2">
        <f>Z184-Z191</f>
        <v>-16882134.699999999</v>
      </c>
      <c r="AA193"/>
    </row>
    <row r="194" spans="15:27" x14ac:dyDescent="0.25">
      <c r="O194" s="1" t="s">
        <v>0</v>
      </c>
      <c r="Q194" s="1" t="s">
        <v>1</v>
      </c>
      <c r="R194" s="1" t="s">
        <v>2</v>
      </c>
      <c r="S194" s="1" t="s">
        <v>3</v>
      </c>
      <c r="T194" s="1" t="s">
        <v>2</v>
      </c>
      <c r="U194" s="1" t="s">
        <v>4</v>
      </c>
      <c r="V194" s="1" t="s">
        <v>2</v>
      </c>
      <c r="W194" s="1" t="s">
        <v>2</v>
      </c>
      <c r="AA194"/>
    </row>
    <row r="195" spans="15:27" x14ac:dyDescent="0.25">
      <c r="Q195" s="1" t="s">
        <v>5</v>
      </c>
      <c r="R195" s="1" t="s">
        <v>6</v>
      </c>
      <c r="S195" s="1" t="s">
        <v>5</v>
      </c>
      <c r="T195" s="1" t="s">
        <v>6</v>
      </c>
      <c r="U195" s="1" t="s">
        <v>5</v>
      </c>
      <c r="V195" s="1" t="s">
        <v>6</v>
      </c>
      <c r="W195" s="1" t="s">
        <v>6</v>
      </c>
      <c r="AA195"/>
    </row>
    <row r="196" spans="15:27" x14ac:dyDescent="0.25">
      <c r="O196" s="1">
        <v>1</v>
      </c>
      <c r="Q196" s="1">
        <v>0</v>
      </c>
      <c r="R196" s="1" t="s">
        <v>6</v>
      </c>
      <c r="S196" s="1">
        <v>15244044.68</v>
      </c>
      <c r="T196" s="1" t="s">
        <v>7</v>
      </c>
      <c r="U196" s="1">
        <v>15244044.68</v>
      </c>
      <c r="V196" s="1" t="s">
        <v>7</v>
      </c>
      <c r="W196" s="1" t="s">
        <v>7</v>
      </c>
      <c r="AA196"/>
    </row>
    <row r="197" spans="15:27" x14ac:dyDescent="0.25">
      <c r="O197" s="1">
        <v>2</v>
      </c>
      <c r="Q197" s="1">
        <v>0</v>
      </c>
      <c r="R197" s="1" t="s">
        <v>6</v>
      </c>
      <c r="S197" s="1">
        <v>683989.53</v>
      </c>
      <c r="T197" s="1" t="s">
        <v>7</v>
      </c>
      <c r="U197" s="1">
        <v>683989.53</v>
      </c>
      <c r="V197" s="1" t="s">
        <v>7</v>
      </c>
      <c r="W197" s="1" t="s">
        <v>7</v>
      </c>
      <c r="AA197"/>
    </row>
    <row r="198" spans="15:27" x14ac:dyDescent="0.25">
      <c r="O198" s="1">
        <v>3</v>
      </c>
      <c r="Q198" s="1">
        <v>0</v>
      </c>
      <c r="R198" s="1" t="s">
        <v>6</v>
      </c>
      <c r="S198" s="1">
        <v>26002.06</v>
      </c>
      <c r="T198" s="1" t="s">
        <v>7</v>
      </c>
      <c r="U198" s="1">
        <v>26002.06</v>
      </c>
      <c r="V198" s="1" t="s">
        <v>7</v>
      </c>
      <c r="W198" s="1" t="s">
        <v>7</v>
      </c>
      <c r="AA198"/>
    </row>
    <row r="199" spans="15:27" x14ac:dyDescent="0.25">
      <c r="O199" s="1">
        <v>4</v>
      </c>
      <c r="Q199" s="1">
        <v>231699.92</v>
      </c>
      <c r="R199" s="1" t="s">
        <v>6</v>
      </c>
      <c r="S199" s="1">
        <v>0</v>
      </c>
      <c r="T199" s="1" t="s">
        <v>6</v>
      </c>
      <c r="U199" s="1">
        <v>231699.92</v>
      </c>
      <c r="V199" s="1" t="s">
        <v>6</v>
      </c>
      <c r="W199" s="1" t="s">
        <v>6</v>
      </c>
      <c r="Z199" s="1">
        <f>U196+U197+U198-U199</f>
        <v>15722336.35</v>
      </c>
      <c r="AA199"/>
    </row>
    <row r="200" spans="15:27" x14ac:dyDescent="0.25">
      <c r="AA200"/>
    </row>
    <row r="201" spans="15:27" x14ac:dyDescent="0.25">
      <c r="Z201" s="2">
        <f>Z191-Z199</f>
        <v>2149378.2499999981</v>
      </c>
      <c r="AA201"/>
    </row>
    <row r="202" spans="15:27" x14ac:dyDescent="0.25">
      <c r="O202" s="1" t="s">
        <v>0</v>
      </c>
      <c r="Q202" s="1" t="s">
        <v>1</v>
      </c>
      <c r="R202" s="1" t="s">
        <v>2</v>
      </c>
      <c r="S202" s="1" t="s">
        <v>3</v>
      </c>
      <c r="T202" s="1" t="s">
        <v>2</v>
      </c>
      <c r="U202" s="1" t="s">
        <v>4</v>
      </c>
      <c r="V202" s="1" t="s">
        <v>2</v>
      </c>
      <c r="W202" s="1" t="s">
        <v>2</v>
      </c>
      <c r="AA202"/>
    </row>
    <row r="203" spans="15:27" x14ac:dyDescent="0.25">
      <c r="Q203" s="1" t="s">
        <v>5</v>
      </c>
      <c r="R203" s="1" t="s">
        <v>6</v>
      </c>
      <c r="S203" s="1" t="s">
        <v>5</v>
      </c>
      <c r="T203" s="1" t="s">
        <v>6</v>
      </c>
      <c r="U203" s="1" t="s">
        <v>5</v>
      </c>
      <c r="V203" s="1" t="s">
        <v>6</v>
      </c>
      <c r="W203" s="1" t="s">
        <v>6</v>
      </c>
      <c r="AA203"/>
    </row>
    <row r="204" spans="15:27" x14ac:dyDescent="0.25">
      <c r="O204" s="1">
        <v>1</v>
      </c>
      <c r="Q204" s="1">
        <v>0</v>
      </c>
      <c r="R204" s="1" t="s">
        <v>6</v>
      </c>
      <c r="S204" s="1">
        <v>62442.52</v>
      </c>
      <c r="T204" s="1" t="s">
        <v>7</v>
      </c>
      <c r="U204" s="1">
        <v>62442.52</v>
      </c>
      <c r="V204" s="1" t="s">
        <v>7</v>
      </c>
      <c r="W204" s="1" t="s">
        <v>7</v>
      </c>
      <c r="AA204"/>
    </row>
    <row r="205" spans="15:27" x14ac:dyDescent="0.25">
      <c r="O205" s="1">
        <v>2</v>
      </c>
      <c r="Q205" s="1">
        <v>0</v>
      </c>
      <c r="R205" s="1" t="s">
        <v>6</v>
      </c>
      <c r="S205" s="1">
        <v>219460.7</v>
      </c>
      <c r="T205" s="1" t="s">
        <v>7</v>
      </c>
      <c r="U205" s="1">
        <v>219460.7</v>
      </c>
      <c r="V205" s="1" t="s">
        <v>7</v>
      </c>
      <c r="W205" s="1" t="s">
        <v>7</v>
      </c>
      <c r="AA205"/>
    </row>
    <row r="206" spans="15:27" x14ac:dyDescent="0.25">
      <c r="O206" s="1">
        <v>3</v>
      </c>
      <c r="Q206" s="1">
        <v>226921.96</v>
      </c>
      <c r="R206" s="1" t="s">
        <v>6</v>
      </c>
      <c r="S206" s="1">
        <v>0</v>
      </c>
      <c r="T206" s="1" t="s">
        <v>6</v>
      </c>
      <c r="U206" s="1">
        <v>226921.96</v>
      </c>
      <c r="V206" s="1" t="s">
        <v>6</v>
      </c>
      <c r="W206" s="1" t="s">
        <v>6</v>
      </c>
      <c r="Z206" s="1">
        <f>U204+U205-U206</f>
        <v>54981.260000000038</v>
      </c>
      <c r="AA206"/>
    </row>
    <row r="207" spans="15:27" x14ac:dyDescent="0.25">
      <c r="AA207"/>
    </row>
    <row r="208" spans="15:27" x14ac:dyDescent="0.25">
      <c r="Z208" s="2">
        <f>Z199-Z206</f>
        <v>15667355.09</v>
      </c>
      <c r="AA208"/>
    </row>
    <row r="209" spans="2:27" x14ac:dyDescent="0.25">
      <c r="AA209"/>
    </row>
    <row r="210" spans="2:27" x14ac:dyDescent="0.25">
      <c r="O210" s="1" t="s">
        <v>0</v>
      </c>
      <c r="Q210" s="1" t="s">
        <v>1</v>
      </c>
      <c r="R210" s="1" t="s">
        <v>2</v>
      </c>
      <c r="S210" s="1" t="s">
        <v>3</v>
      </c>
      <c r="T210" s="1" t="s">
        <v>2</v>
      </c>
      <c r="U210" s="1" t="s">
        <v>4</v>
      </c>
      <c r="V210" s="1" t="s">
        <v>2</v>
      </c>
      <c r="W210" s="1" t="s">
        <v>2</v>
      </c>
      <c r="AA210"/>
    </row>
    <row r="211" spans="2:27" x14ac:dyDescent="0.25">
      <c r="Q211" s="1" t="s">
        <v>5</v>
      </c>
      <c r="R211" s="1" t="s">
        <v>6</v>
      </c>
      <c r="S211" s="1" t="s">
        <v>5</v>
      </c>
      <c r="T211" s="1" t="s">
        <v>6</v>
      </c>
      <c r="U211" s="1" t="s">
        <v>5</v>
      </c>
      <c r="V211" s="1" t="s">
        <v>6</v>
      </c>
      <c r="W211" s="1" t="s">
        <v>6</v>
      </c>
      <c r="AA211"/>
    </row>
    <row r="212" spans="2:27" x14ac:dyDescent="0.25">
      <c r="O212" s="1">
        <v>1</v>
      </c>
      <c r="Q212" s="1">
        <v>0</v>
      </c>
      <c r="R212" s="1" t="s">
        <v>6</v>
      </c>
      <c r="S212" s="1">
        <v>30551.09</v>
      </c>
      <c r="T212" s="1" t="s">
        <v>7</v>
      </c>
      <c r="U212" s="1">
        <v>30551.09</v>
      </c>
      <c r="V212" s="1" t="s">
        <v>7</v>
      </c>
      <c r="W212" s="1" t="s">
        <v>7</v>
      </c>
      <c r="AA212"/>
    </row>
    <row r="213" spans="2:27" x14ac:dyDescent="0.25">
      <c r="O213" s="1">
        <v>2</v>
      </c>
      <c r="Q213" s="1">
        <v>0</v>
      </c>
      <c r="R213" s="1" t="s">
        <v>6</v>
      </c>
      <c r="S213" s="1">
        <v>10696.62</v>
      </c>
      <c r="T213" s="1" t="s">
        <v>7</v>
      </c>
      <c r="U213" s="1">
        <v>10696.62</v>
      </c>
      <c r="V213" s="1" t="s">
        <v>7</v>
      </c>
      <c r="W213" s="1" t="s">
        <v>7</v>
      </c>
      <c r="AA213"/>
    </row>
    <row r="214" spans="2:27" x14ac:dyDescent="0.25">
      <c r="O214" s="1">
        <v>3</v>
      </c>
      <c r="Q214" s="1">
        <v>0</v>
      </c>
      <c r="R214" s="1" t="s">
        <v>6</v>
      </c>
      <c r="S214" s="1">
        <v>29234.06</v>
      </c>
      <c r="T214" s="1" t="s">
        <v>7</v>
      </c>
      <c r="U214" s="1">
        <v>29234.06</v>
      </c>
      <c r="V214" s="1" t="s">
        <v>7</v>
      </c>
      <c r="W214" s="1" t="s">
        <v>7</v>
      </c>
      <c r="AA214"/>
    </row>
    <row r="215" spans="2:27" x14ac:dyDescent="0.25">
      <c r="O215" s="1">
        <v>4</v>
      </c>
      <c r="Q215" s="1">
        <v>101621.63</v>
      </c>
      <c r="R215" s="1" t="s">
        <v>6</v>
      </c>
      <c r="S215" s="1">
        <v>0</v>
      </c>
      <c r="T215" s="1" t="s">
        <v>6</v>
      </c>
      <c r="U215" s="1">
        <v>101621.63</v>
      </c>
      <c r="V215" s="1" t="s">
        <v>6</v>
      </c>
      <c r="W215" s="1" t="s">
        <v>6</v>
      </c>
      <c r="Z215" s="1">
        <f>U212+U213+U214-U215</f>
        <v>-31139.86</v>
      </c>
      <c r="AA215"/>
    </row>
    <row r="216" spans="2:27" x14ac:dyDescent="0.25">
      <c r="AA216"/>
    </row>
    <row r="217" spans="2:27" x14ac:dyDescent="0.25">
      <c r="Z217" s="9">
        <f>Z206-Z215</f>
        <v>86121.120000000039</v>
      </c>
      <c r="AA217"/>
    </row>
    <row r="218" spans="2:27" x14ac:dyDescent="0.25">
      <c r="AA218"/>
    </row>
    <row r="219" spans="2:27" x14ac:dyDescent="0.25">
      <c r="B219" s="1" t="s">
        <v>8</v>
      </c>
      <c r="O219" s="1" t="s">
        <v>0</v>
      </c>
      <c r="Q219" s="1" t="s">
        <v>2</v>
      </c>
      <c r="R219" s="1" t="s">
        <v>1</v>
      </c>
      <c r="S219" s="1" t="s">
        <v>3</v>
      </c>
      <c r="T219" s="1" t="s">
        <v>2</v>
      </c>
      <c r="U219" s="1" t="s">
        <v>4</v>
      </c>
      <c r="V219" s="1" t="s">
        <v>2</v>
      </c>
      <c r="W219" s="1" t="s">
        <v>2</v>
      </c>
      <c r="AA219"/>
    </row>
    <row r="220" spans="2:27" x14ac:dyDescent="0.25">
      <c r="B220" s="1" t="s">
        <v>9</v>
      </c>
      <c r="Q220" s="1" t="s">
        <v>6</v>
      </c>
      <c r="R220" s="1" t="s">
        <v>5</v>
      </c>
      <c r="S220" s="1" t="s">
        <v>5</v>
      </c>
      <c r="T220" s="1" t="s">
        <v>6</v>
      </c>
      <c r="U220" s="1" t="s">
        <v>5</v>
      </c>
      <c r="V220" s="1" t="s">
        <v>6</v>
      </c>
      <c r="W220" s="1" t="s">
        <v>6</v>
      </c>
      <c r="AA220"/>
    </row>
    <row r="221" spans="2:27" x14ac:dyDescent="0.25">
      <c r="B221" s="1" t="s">
        <v>13</v>
      </c>
      <c r="O221" s="1">
        <v>1</v>
      </c>
      <c r="Q221" s="1" t="s">
        <v>6</v>
      </c>
      <c r="R221" s="1">
        <v>0</v>
      </c>
      <c r="S221" s="1">
        <v>8330607.9900000002</v>
      </c>
      <c r="T221" s="1" t="s">
        <v>7</v>
      </c>
      <c r="U221" s="1">
        <v>8330607.9900000002</v>
      </c>
      <c r="V221" s="1" t="s">
        <v>7</v>
      </c>
      <c r="W221" s="1" t="s">
        <v>7</v>
      </c>
      <c r="AA221"/>
    </row>
    <row r="222" spans="2:27" x14ac:dyDescent="0.25">
      <c r="B222" s="1" t="s">
        <v>14</v>
      </c>
      <c r="O222" s="1">
        <v>2</v>
      </c>
      <c r="Q222" s="1" t="s">
        <v>6</v>
      </c>
      <c r="R222" s="1">
        <v>0</v>
      </c>
      <c r="S222" s="1">
        <v>1132620.97</v>
      </c>
      <c r="T222" s="1" t="s">
        <v>7</v>
      </c>
      <c r="U222" s="1">
        <v>1132620.97</v>
      </c>
      <c r="V222" s="1" t="s">
        <v>7</v>
      </c>
      <c r="W222" s="1" t="s">
        <v>7</v>
      </c>
      <c r="AA222"/>
    </row>
    <row r="223" spans="2:27" x14ac:dyDescent="0.25">
      <c r="B223" s="1" t="s">
        <v>15</v>
      </c>
      <c r="O223" s="1">
        <v>3</v>
      </c>
      <c r="Q223" s="1" t="s">
        <v>6</v>
      </c>
      <c r="R223" s="1">
        <v>0</v>
      </c>
      <c r="S223" s="1">
        <v>76603.39</v>
      </c>
      <c r="T223" s="1" t="s">
        <v>7</v>
      </c>
      <c r="U223" s="1">
        <v>76603.39</v>
      </c>
      <c r="V223" s="1" t="s">
        <v>7</v>
      </c>
      <c r="W223" s="1" t="s">
        <v>7</v>
      </c>
      <c r="Z223" s="1">
        <f>U221+U222+U223</f>
        <v>9539832.3500000015</v>
      </c>
      <c r="AA223"/>
    </row>
    <row r="224" spans="2:27" x14ac:dyDescent="0.25">
      <c r="AA224"/>
    </row>
    <row r="225" spans="15:27" x14ac:dyDescent="0.25">
      <c r="Z225" s="9">
        <f>Z215-Z223</f>
        <v>-9570972.2100000009</v>
      </c>
      <c r="AA225"/>
    </row>
    <row r="226" spans="15:27" x14ac:dyDescent="0.25">
      <c r="O226" s="1" t="s">
        <v>0</v>
      </c>
      <c r="Q226" s="1" t="s">
        <v>2</v>
      </c>
      <c r="R226" s="1" t="s">
        <v>1</v>
      </c>
      <c r="S226" s="1" t="s">
        <v>3</v>
      </c>
      <c r="T226" s="1" t="s">
        <v>2</v>
      </c>
      <c r="U226" s="1" t="s">
        <v>4</v>
      </c>
      <c r="V226" s="1" t="s">
        <v>2</v>
      </c>
      <c r="W226" s="1" t="s">
        <v>2</v>
      </c>
      <c r="AA226"/>
    </row>
    <row r="227" spans="15:27" x14ac:dyDescent="0.25">
      <c r="Q227" s="1" t="s">
        <v>6</v>
      </c>
      <c r="R227" s="1" t="s">
        <v>5</v>
      </c>
      <c r="S227" s="1" t="s">
        <v>5</v>
      </c>
      <c r="T227" s="1" t="s">
        <v>6</v>
      </c>
      <c r="U227" s="1" t="s">
        <v>5</v>
      </c>
      <c r="V227" s="1" t="s">
        <v>6</v>
      </c>
      <c r="W227" s="1" t="s">
        <v>6</v>
      </c>
      <c r="AA227"/>
    </row>
    <row r="228" spans="15:27" x14ac:dyDescent="0.25">
      <c r="O228" s="1">
        <v>1</v>
      </c>
      <c r="Q228" s="1" t="s">
        <v>6</v>
      </c>
      <c r="R228" s="1">
        <v>0</v>
      </c>
      <c r="S228" s="1">
        <v>7882.22</v>
      </c>
      <c r="T228" s="1" t="s">
        <v>7</v>
      </c>
      <c r="U228" s="1">
        <v>7882.22</v>
      </c>
      <c r="V228" s="1" t="s">
        <v>7</v>
      </c>
      <c r="W228" s="1" t="s">
        <v>7</v>
      </c>
      <c r="AA228"/>
    </row>
    <row r="229" spans="15:27" x14ac:dyDescent="0.25">
      <c r="O229" s="1">
        <v>2</v>
      </c>
      <c r="Q229" s="1" t="s">
        <v>6</v>
      </c>
      <c r="R229" s="1">
        <v>0</v>
      </c>
      <c r="S229" s="1">
        <v>752159.84</v>
      </c>
      <c r="T229" s="1" t="s">
        <v>7</v>
      </c>
      <c r="U229" s="1">
        <v>752159.84</v>
      </c>
      <c r="V229" s="1" t="s">
        <v>7</v>
      </c>
      <c r="W229" s="1" t="s">
        <v>7</v>
      </c>
      <c r="AA229"/>
    </row>
    <row r="230" spans="15:27" x14ac:dyDescent="0.25">
      <c r="O230" s="1">
        <v>3</v>
      </c>
      <c r="Q230" s="1" t="s">
        <v>6</v>
      </c>
      <c r="R230" s="1">
        <v>179180.59</v>
      </c>
      <c r="S230" s="1">
        <v>0</v>
      </c>
      <c r="T230" s="1" t="s">
        <v>6</v>
      </c>
      <c r="U230" s="1">
        <v>179180.59</v>
      </c>
      <c r="V230" s="1" t="s">
        <v>6</v>
      </c>
      <c r="W230" s="1" t="s">
        <v>6</v>
      </c>
      <c r="Z230" s="1">
        <f>U228+U229-U230</f>
        <v>580861.47</v>
      </c>
      <c r="AA230"/>
    </row>
    <row r="231" spans="15:27" x14ac:dyDescent="0.25">
      <c r="AA231"/>
    </row>
    <row r="232" spans="15:27" x14ac:dyDescent="0.25">
      <c r="Z232" s="2">
        <f>Z223-Z230</f>
        <v>8958970.8800000008</v>
      </c>
      <c r="AA232"/>
    </row>
    <row r="233" spans="15:27" x14ac:dyDescent="0.25">
      <c r="O233" s="1" t="s">
        <v>0</v>
      </c>
      <c r="Q233" s="1" t="s">
        <v>2</v>
      </c>
      <c r="R233" s="1" t="s">
        <v>1</v>
      </c>
      <c r="S233" s="1" t="s">
        <v>3</v>
      </c>
      <c r="T233" s="1" t="s">
        <v>2</v>
      </c>
      <c r="U233" s="1" t="s">
        <v>4</v>
      </c>
      <c r="V233" s="1" t="s">
        <v>2</v>
      </c>
      <c r="W233" s="1" t="s">
        <v>2</v>
      </c>
      <c r="AA233"/>
    </row>
    <row r="234" spans="15:27" x14ac:dyDescent="0.25">
      <c r="Q234" s="1" t="s">
        <v>6</v>
      </c>
      <c r="R234" s="1" t="s">
        <v>5</v>
      </c>
      <c r="S234" s="1" t="s">
        <v>5</v>
      </c>
      <c r="T234" s="1" t="s">
        <v>6</v>
      </c>
      <c r="U234" s="1" t="s">
        <v>5</v>
      </c>
      <c r="V234" s="1" t="s">
        <v>6</v>
      </c>
      <c r="W234" s="1" t="s">
        <v>6</v>
      </c>
      <c r="AA234"/>
    </row>
    <row r="235" spans="15:27" x14ac:dyDescent="0.25">
      <c r="O235" s="1">
        <v>1</v>
      </c>
      <c r="Q235" s="1" t="s">
        <v>6</v>
      </c>
      <c r="R235" s="1">
        <v>0</v>
      </c>
      <c r="S235" s="1">
        <v>11126.91</v>
      </c>
      <c r="T235" s="1" t="s">
        <v>7</v>
      </c>
      <c r="U235" s="1">
        <v>11126.91</v>
      </c>
      <c r="V235" s="1" t="s">
        <v>7</v>
      </c>
      <c r="W235" s="1" t="s">
        <v>7</v>
      </c>
      <c r="AA235"/>
    </row>
    <row r="236" spans="15:27" x14ac:dyDescent="0.25">
      <c r="O236" s="1">
        <v>2</v>
      </c>
      <c r="Q236" s="1" t="s">
        <v>6</v>
      </c>
      <c r="R236" s="1">
        <v>0</v>
      </c>
      <c r="S236" s="1">
        <v>633772.93999999994</v>
      </c>
      <c r="T236" s="1" t="s">
        <v>7</v>
      </c>
      <c r="U236" s="1">
        <v>633772.93999999994</v>
      </c>
      <c r="V236" s="1" t="s">
        <v>7</v>
      </c>
      <c r="W236" s="1" t="s">
        <v>7</v>
      </c>
      <c r="AA236"/>
    </row>
    <row r="237" spans="15:27" x14ac:dyDescent="0.25">
      <c r="O237" s="1">
        <v>3</v>
      </c>
      <c r="Q237" s="1" t="s">
        <v>6</v>
      </c>
      <c r="R237" s="1">
        <v>0</v>
      </c>
      <c r="S237" s="1">
        <v>912614.92</v>
      </c>
      <c r="T237" s="1" t="s">
        <v>7</v>
      </c>
      <c r="U237" s="1">
        <v>912614.92</v>
      </c>
      <c r="V237" s="1" t="s">
        <v>7</v>
      </c>
      <c r="W237" s="1" t="s">
        <v>7</v>
      </c>
      <c r="AA237"/>
    </row>
    <row r="238" spans="15:27" x14ac:dyDescent="0.25">
      <c r="O238" s="1">
        <v>4</v>
      </c>
      <c r="Q238" s="1" t="s">
        <v>6</v>
      </c>
      <c r="R238" s="1">
        <v>171049.56</v>
      </c>
      <c r="S238" s="1">
        <v>0</v>
      </c>
      <c r="T238" s="1" t="s">
        <v>6</v>
      </c>
      <c r="U238" s="1">
        <v>171049.56</v>
      </c>
      <c r="V238" s="1" t="s">
        <v>6</v>
      </c>
      <c r="W238" s="1" t="s">
        <v>6</v>
      </c>
      <c r="Z238" s="1">
        <f>U235+U236+U237-U238</f>
        <v>1386465.21</v>
      </c>
      <c r="AA238"/>
    </row>
    <row r="239" spans="15:27" x14ac:dyDescent="0.25">
      <c r="AA239"/>
    </row>
    <row r="240" spans="15:27" x14ac:dyDescent="0.25">
      <c r="Z240" s="2">
        <f>Z230-Z238</f>
        <v>-805603.74</v>
      </c>
      <c r="AA240"/>
    </row>
    <row r="241" spans="2:27" x14ac:dyDescent="0.25">
      <c r="O241" t="s">
        <v>0</v>
      </c>
      <c r="P241"/>
      <c r="Q241" s="1" t="s">
        <v>2</v>
      </c>
      <c r="R241" s="1" t="s">
        <v>1</v>
      </c>
      <c r="S241" s="1" t="s">
        <v>3</v>
      </c>
      <c r="T241" s="1" t="s">
        <v>2</v>
      </c>
      <c r="U241" s="1" t="s">
        <v>4</v>
      </c>
      <c r="V241" s="1" t="s">
        <v>2</v>
      </c>
      <c r="W241" s="1" t="s">
        <v>2</v>
      </c>
      <c r="Z241"/>
      <c r="AA241"/>
    </row>
    <row r="242" spans="2:27" x14ac:dyDescent="0.25">
      <c r="Q242" s="1" t="s">
        <v>6</v>
      </c>
      <c r="R242" s="1" t="s">
        <v>5</v>
      </c>
      <c r="S242" s="1" t="s">
        <v>5</v>
      </c>
      <c r="T242" s="1" t="s">
        <v>6</v>
      </c>
      <c r="U242" s="1" t="s">
        <v>5</v>
      </c>
      <c r="V242" s="1" t="s">
        <v>6</v>
      </c>
      <c r="W242" s="1" t="s">
        <v>6</v>
      </c>
      <c r="Z242"/>
      <c r="AA242"/>
    </row>
    <row r="243" spans="2:27" x14ac:dyDescent="0.25">
      <c r="O243" s="1">
        <v>1</v>
      </c>
      <c r="Q243" s="1" t="s">
        <v>6</v>
      </c>
      <c r="R243" s="1">
        <v>0</v>
      </c>
      <c r="S243" s="1">
        <v>55998.7</v>
      </c>
      <c r="T243" s="1" t="s">
        <v>7</v>
      </c>
      <c r="U243" s="1">
        <v>55998.7</v>
      </c>
      <c r="V243" s="1" t="s">
        <v>7</v>
      </c>
      <c r="W243" s="1" t="s">
        <v>7</v>
      </c>
      <c r="Z243"/>
      <c r="AA243"/>
    </row>
    <row r="244" spans="2:27" x14ac:dyDescent="0.25">
      <c r="O244" s="1">
        <v>2</v>
      </c>
      <c r="Q244" s="1" t="s">
        <v>6</v>
      </c>
      <c r="R244" s="1">
        <v>0</v>
      </c>
      <c r="S244" s="1">
        <v>655689.68000000005</v>
      </c>
      <c r="T244" s="1" t="s">
        <v>7</v>
      </c>
      <c r="U244" s="1">
        <v>655689.68000000005</v>
      </c>
      <c r="V244" s="1" t="s">
        <v>7</v>
      </c>
      <c r="W244" s="1" t="s">
        <v>7</v>
      </c>
      <c r="Z244"/>
      <c r="AA244"/>
    </row>
    <row r="245" spans="2:27" x14ac:dyDescent="0.25">
      <c r="O245" s="1">
        <v>3</v>
      </c>
      <c r="Q245" s="1" t="s">
        <v>6</v>
      </c>
      <c r="R245" s="1">
        <v>147816.64000000001</v>
      </c>
      <c r="S245" s="1">
        <v>0</v>
      </c>
      <c r="T245" s="1" t="s">
        <v>6</v>
      </c>
      <c r="U245" s="1">
        <v>147816.64000000001</v>
      </c>
      <c r="V245" s="1" t="s">
        <v>6</v>
      </c>
      <c r="W245" s="1" t="s">
        <v>6</v>
      </c>
      <c r="Z245" s="12">
        <f>U243+U244-U245</f>
        <v>563871.74</v>
      </c>
      <c r="AA245"/>
    </row>
    <row r="246" spans="2:27" x14ac:dyDescent="0.25">
      <c r="Z246"/>
      <c r="AA246"/>
    </row>
    <row r="247" spans="2:27" x14ac:dyDescent="0.25">
      <c r="Z247" s="18">
        <f>Z238-Z245</f>
        <v>822593.47</v>
      </c>
      <c r="AA247"/>
    </row>
    <row r="248" spans="2:27" x14ac:dyDescent="0.25">
      <c r="B248" s="1" t="s">
        <v>8</v>
      </c>
      <c r="O248" s="1" t="s">
        <v>0</v>
      </c>
      <c r="Q248" s="1" t="s">
        <v>2</v>
      </c>
      <c r="R248" s="1" t="s">
        <v>1</v>
      </c>
      <c r="S248" s="1" t="s">
        <v>3</v>
      </c>
      <c r="T248" s="1" t="s">
        <v>2</v>
      </c>
      <c r="U248" s="1" t="s">
        <v>4</v>
      </c>
      <c r="V248" s="1" t="s">
        <v>2</v>
      </c>
      <c r="W248" s="1" t="s">
        <v>2</v>
      </c>
      <c r="Z248"/>
      <c r="AA248"/>
    </row>
    <row r="249" spans="2:27" x14ac:dyDescent="0.25">
      <c r="B249" s="1" t="s">
        <v>9</v>
      </c>
      <c r="Q249" s="1" t="s">
        <v>6</v>
      </c>
      <c r="R249" s="1" t="s">
        <v>5</v>
      </c>
      <c r="S249" s="1" t="s">
        <v>5</v>
      </c>
      <c r="T249" s="1" t="s">
        <v>6</v>
      </c>
      <c r="U249" s="1" t="s">
        <v>5</v>
      </c>
      <c r="V249" s="1" t="s">
        <v>6</v>
      </c>
      <c r="W249" s="1" t="s">
        <v>6</v>
      </c>
      <c r="Z249"/>
      <c r="AA249"/>
    </row>
    <row r="250" spans="2:27" x14ac:dyDescent="0.25">
      <c r="B250" s="1" t="s">
        <v>16</v>
      </c>
      <c r="O250" s="1">
        <v>1</v>
      </c>
      <c r="Q250" s="1" t="s">
        <v>6</v>
      </c>
      <c r="R250" s="1">
        <v>0</v>
      </c>
      <c r="S250" s="1">
        <v>16875.47</v>
      </c>
      <c r="T250" s="1" t="s">
        <v>7</v>
      </c>
      <c r="U250" s="1">
        <v>16875.47</v>
      </c>
      <c r="V250" s="1" t="s">
        <v>7</v>
      </c>
      <c r="W250" s="1" t="s">
        <v>7</v>
      </c>
      <c r="Z250"/>
      <c r="AA250"/>
    </row>
    <row r="251" spans="2:27" x14ac:dyDescent="0.25">
      <c r="B251" s="1" t="s">
        <v>17</v>
      </c>
      <c r="O251" s="1">
        <v>2</v>
      </c>
      <c r="Q251" s="1" t="s">
        <v>6</v>
      </c>
      <c r="R251" s="1">
        <v>0</v>
      </c>
      <c r="S251" s="1">
        <v>529728.16</v>
      </c>
      <c r="T251" s="1" t="s">
        <v>7</v>
      </c>
      <c r="U251" s="1">
        <v>529728.16</v>
      </c>
      <c r="V251" s="1" t="s">
        <v>7</v>
      </c>
      <c r="W251" s="1" t="s">
        <v>7</v>
      </c>
      <c r="Z251"/>
      <c r="AA251"/>
    </row>
    <row r="252" spans="2:27" x14ac:dyDescent="0.25">
      <c r="B252" s="1" t="s">
        <v>18</v>
      </c>
      <c r="O252" s="1">
        <v>3</v>
      </c>
      <c r="Q252" s="1" t="s">
        <v>6</v>
      </c>
      <c r="R252" s="1">
        <v>0</v>
      </c>
      <c r="S252" s="1">
        <v>2512504.52</v>
      </c>
      <c r="T252" s="1" t="s">
        <v>7</v>
      </c>
      <c r="U252" s="1">
        <v>2512504.52</v>
      </c>
      <c r="V252" s="1" t="s">
        <v>7</v>
      </c>
      <c r="W252" s="1" t="s">
        <v>7</v>
      </c>
      <c r="Z252"/>
      <c r="AA252"/>
    </row>
    <row r="253" spans="2:27" x14ac:dyDescent="0.25">
      <c r="B253" s="1" t="s">
        <v>19</v>
      </c>
      <c r="O253" s="1">
        <v>4</v>
      </c>
      <c r="Q253" s="1" t="s">
        <v>6</v>
      </c>
      <c r="R253" s="1">
        <v>76223.7</v>
      </c>
      <c r="S253" s="1">
        <v>0</v>
      </c>
      <c r="T253" s="1" t="s">
        <v>6</v>
      </c>
      <c r="U253" s="1">
        <v>76223.7</v>
      </c>
      <c r="V253" s="1" t="s">
        <v>6</v>
      </c>
      <c r="W253" s="1" t="s">
        <v>6</v>
      </c>
      <c r="Z253" s="12">
        <f>U250+U251+U252-U253</f>
        <v>2982884.4499999997</v>
      </c>
      <c r="AA253"/>
    </row>
    <row r="254" spans="2:27" x14ac:dyDescent="0.25">
      <c r="Z254"/>
      <c r="AA254"/>
    </row>
    <row r="255" spans="2:27" x14ac:dyDescent="0.25">
      <c r="Z255" s="18">
        <f>Z245-Z253</f>
        <v>-2419012.71</v>
      </c>
      <c r="AA255"/>
    </row>
    <row r="256" spans="2:27" x14ac:dyDescent="0.25">
      <c r="Z256"/>
      <c r="AA256"/>
    </row>
    <row r="257" spans="2:27" x14ac:dyDescent="0.25">
      <c r="Z257"/>
      <c r="AA257"/>
    </row>
    <row r="258" spans="2:27" x14ac:dyDescent="0.25">
      <c r="B258" s="1" t="s">
        <v>8</v>
      </c>
      <c r="O258" s="1" t="s">
        <v>0</v>
      </c>
      <c r="Q258" s="1" t="s">
        <v>1</v>
      </c>
      <c r="R258" s="1" t="s">
        <v>2</v>
      </c>
      <c r="S258" s="1" t="s">
        <v>3</v>
      </c>
      <c r="T258" s="1" t="s">
        <v>2</v>
      </c>
      <c r="U258" s="1" t="s">
        <v>4</v>
      </c>
      <c r="V258" s="1" t="s">
        <v>2</v>
      </c>
      <c r="W258" s="1" t="s">
        <v>2</v>
      </c>
      <c r="AA258"/>
    </row>
    <row r="259" spans="2:27" x14ac:dyDescent="0.25">
      <c r="B259" s="1" t="s">
        <v>9</v>
      </c>
      <c r="Q259" s="1" t="s">
        <v>5</v>
      </c>
      <c r="R259" s="1" t="s">
        <v>6</v>
      </c>
      <c r="S259" s="1" t="s">
        <v>5</v>
      </c>
      <c r="T259" s="1" t="s">
        <v>6</v>
      </c>
      <c r="U259" s="1" t="s">
        <v>5</v>
      </c>
      <c r="V259" s="1" t="s">
        <v>6</v>
      </c>
      <c r="W259" s="1" t="s">
        <v>6</v>
      </c>
      <c r="AA259"/>
    </row>
    <row r="260" spans="2:27" x14ac:dyDescent="0.25">
      <c r="B260" s="1" t="s">
        <v>20</v>
      </c>
      <c r="O260" s="1">
        <v>1</v>
      </c>
      <c r="Q260" s="1">
        <v>0</v>
      </c>
      <c r="R260" s="1" t="s">
        <v>6</v>
      </c>
      <c r="S260" s="1">
        <v>1061920.49</v>
      </c>
      <c r="T260" s="1" t="s">
        <v>7</v>
      </c>
      <c r="U260" s="1">
        <v>1061920.49</v>
      </c>
      <c r="V260" s="1" t="s">
        <v>7</v>
      </c>
      <c r="W260" s="1" t="s">
        <v>7</v>
      </c>
      <c r="AA260"/>
    </row>
    <row r="261" spans="2:27" x14ac:dyDescent="0.25">
      <c r="B261" s="1" t="s">
        <v>21</v>
      </c>
      <c r="O261" s="1">
        <v>2</v>
      </c>
      <c r="Q261" s="1">
        <v>0</v>
      </c>
      <c r="R261" s="1" t="s">
        <v>6</v>
      </c>
      <c r="S261" s="1">
        <v>1168562.95</v>
      </c>
      <c r="T261" s="1" t="s">
        <v>7</v>
      </c>
      <c r="U261" s="1">
        <v>1168562.95</v>
      </c>
      <c r="V261" s="1" t="s">
        <v>7</v>
      </c>
      <c r="W261" s="1" t="s">
        <v>7</v>
      </c>
      <c r="AA261"/>
    </row>
    <row r="262" spans="2:27" x14ac:dyDescent="0.25">
      <c r="B262" s="1" t="s">
        <v>22</v>
      </c>
      <c r="O262" s="1">
        <v>3</v>
      </c>
      <c r="Q262" s="1">
        <v>0</v>
      </c>
      <c r="R262" s="1" t="s">
        <v>6</v>
      </c>
      <c r="S262" s="1">
        <v>2070244.22</v>
      </c>
      <c r="T262" s="1" t="s">
        <v>7</v>
      </c>
      <c r="U262" s="1">
        <v>2070244.22</v>
      </c>
      <c r="V262" s="1" t="s">
        <v>7</v>
      </c>
      <c r="W262" s="1" t="s">
        <v>7</v>
      </c>
      <c r="Z262" s="1">
        <f>U260+U261+U262</f>
        <v>4300727.66</v>
      </c>
      <c r="AA262"/>
    </row>
    <row r="263" spans="2:27" x14ac:dyDescent="0.25">
      <c r="AA263"/>
    </row>
    <row r="264" spans="2:27" x14ac:dyDescent="0.25">
      <c r="Z264" s="2">
        <f>Z253-Z262</f>
        <v>-1317843.2100000004</v>
      </c>
      <c r="AA264"/>
    </row>
    <row r="265" spans="2:27" x14ac:dyDescent="0.25">
      <c r="O265" s="1" t="s">
        <v>0</v>
      </c>
      <c r="Q265" s="1" t="s">
        <v>1</v>
      </c>
      <c r="R265" s="1" t="s">
        <v>2</v>
      </c>
      <c r="S265" s="1" t="s">
        <v>3</v>
      </c>
      <c r="T265" s="1" t="s">
        <v>2</v>
      </c>
      <c r="U265" s="1" t="s">
        <v>4</v>
      </c>
      <c r="V265" s="1" t="s">
        <v>2</v>
      </c>
      <c r="W265" s="1" t="s">
        <v>2</v>
      </c>
      <c r="AA265"/>
    </row>
    <row r="266" spans="2:27" x14ac:dyDescent="0.25">
      <c r="Q266" s="1" t="s">
        <v>5</v>
      </c>
      <c r="R266" s="1" t="s">
        <v>6</v>
      </c>
      <c r="S266" s="1" t="s">
        <v>5</v>
      </c>
      <c r="T266" s="1" t="s">
        <v>6</v>
      </c>
      <c r="U266" s="1" t="s">
        <v>5</v>
      </c>
      <c r="V266" s="1" t="s">
        <v>6</v>
      </c>
      <c r="W266" s="1" t="s">
        <v>6</v>
      </c>
      <c r="AA266"/>
    </row>
    <row r="267" spans="2:27" x14ac:dyDescent="0.25">
      <c r="O267" s="1">
        <v>1</v>
      </c>
      <c r="Q267" s="1">
        <v>0</v>
      </c>
      <c r="R267" s="1" t="s">
        <v>6</v>
      </c>
      <c r="S267" s="1">
        <v>6557955.3899999997</v>
      </c>
      <c r="T267" s="1" t="s">
        <v>7</v>
      </c>
      <c r="U267" s="1">
        <v>6557955.3899999997</v>
      </c>
      <c r="V267" s="1" t="s">
        <v>7</v>
      </c>
      <c r="W267" s="1" t="s">
        <v>7</v>
      </c>
      <c r="AA267"/>
    </row>
    <row r="268" spans="2:27" x14ac:dyDescent="0.25">
      <c r="O268" s="1">
        <v>2</v>
      </c>
      <c r="Q268" s="1">
        <v>0</v>
      </c>
      <c r="R268" s="1" t="s">
        <v>6</v>
      </c>
      <c r="S268" s="1">
        <v>1318405.94</v>
      </c>
      <c r="T268" s="1" t="s">
        <v>7</v>
      </c>
      <c r="U268" s="1">
        <v>1318405.94</v>
      </c>
      <c r="V268" s="1" t="s">
        <v>7</v>
      </c>
      <c r="W268" s="1" t="s">
        <v>7</v>
      </c>
      <c r="AA268"/>
    </row>
    <row r="269" spans="2:27" x14ac:dyDescent="0.25">
      <c r="O269" s="1">
        <v>3</v>
      </c>
      <c r="Q269" s="1">
        <v>0</v>
      </c>
      <c r="R269" s="1" t="s">
        <v>6</v>
      </c>
      <c r="S269" s="1">
        <v>2453689.64</v>
      </c>
      <c r="T269" s="1" t="s">
        <v>7</v>
      </c>
      <c r="U269" s="1">
        <v>2453689.64</v>
      </c>
      <c r="V269" s="1" t="s">
        <v>7</v>
      </c>
      <c r="W269" s="1" t="s">
        <v>7</v>
      </c>
      <c r="AA269"/>
    </row>
    <row r="270" spans="2:27" x14ac:dyDescent="0.25">
      <c r="O270" s="1">
        <v>4</v>
      </c>
      <c r="Q270" s="1">
        <v>884305.12</v>
      </c>
      <c r="R270" s="1" t="s">
        <v>6</v>
      </c>
      <c r="S270" s="1">
        <v>0</v>
      </c>
      <c r="T270" s="1" t="s">
        <v>6</v>
      </c>
      <c r="U270" s="1">
        <v>884305.12</v>
      </c>
      <c r="V270" s="1" t="s">
        <v>6</v>
      </c>
      <c r="W270" s="1" t="s">
        <v>6</v>
      </c>
      <c r="Z270" s="1">
        <f>U267+U268+U269-U270</f>
        <v>9445745.8500000015</v>
      </c>
      <c r="AA270"/>
    </row>
    <row r="271" spans="2:27" x14ac:dyDescent="0.25">
      <c r="AA271"/>
    </row>
    <row r="272" spans="2:27" x14ac:dyDescent="0.25">
      <c r="Z272" s="2">
        <f>Z262-Z270</f>
        <v>-5145018.1900000013</v>
      </c>
      <c r="AA272"/>
    </row>
    <row r="273" spans="15:27" x14ac:dyDescent="0.25">
      <c r="O273" s="1" t="s">
        <v>0</v>
      </c>
      <c r="Q273" s="1" t="s">
        <v>1</v>
      </c>
      <c r="R273" s="1" t="s">
        <v>2</v>
      </c>
      <c r="S273" s="1" t="s">
        <v>3</v>
      </c>
      <c r="T273" s="1" t="s">
        <v>2</v>
      </c>
      <c r="U273" s="1" t="s">
        <v>4</v>
      </c>
      <c r="V273" s="1" t="s">
        <v>2</v>
      </c>
      <c r="W273" s="1" t="s">
        <v>2</v>
      </c>
      <c r="AA273"/>
    </row>
    <row r="274" spans="15:27" x14ac:dyDescent="0.25">
      <c r="Q274" s="1" t="s">
        <v>5</v>
      </c>
      <c r="R274" s="1" t="s">
        <v>6</v>
      </c>
      <c r="S274" s="1" t="s">
        <v>5</v>
      </c>
      <c r="T274" s="1" t="s">
        <v>6</v>
      </c>
      <c r="U274" s="1" t="s">
        <v>5</v>
      </c>
      <c r="V274" s="1" t="s">
        <v>6</v>
      </c>
      <c r="W274" s="1" t="s">
        <v>6</v>
      </c>
      <c r="AA274"/>
    </row>
    <row r="275" spans="15:27" x14ac:dyDescent="0.25">
      <c r="O275" s="1">
        <v>1</v>
      </c>
      <c r="Q275" s="1">
        <v>0</v>
      </c>
      <c r="R275" s="1" t="s">
        <v>6</v>
      </c>
      <c r="S275" s="1">
        <v>32929559.469999999</v>
      </c>
      <c r="T275" s="1" t="s">
        <v>7</v>
      </c>
      <c r="U275" s="1">
        <v>32929559.469999999</v>
      </c>
      <c r="V275" s="1" t="s">
        <v>7</v>
      </c>
      <c r="W275" s="1" t="s">
        <v>7</v>
      </c>
      <c r="AA275"/>
    </row>
    <row r="276" spans="15:27" x14ac:dyDescent="0.25">
      <c r="O276" s="1">
        <v>2</v>
      </c>
      <c r="Q276" s="1">
        <v>0</v>
      </c>
      <c r="R276" s="1" t="s">
        <v>6</v>
      </c>
      <c r="S276" s="1">
        <v>757720.07</v>
      </c>
      <c r="T276" s="1" t="s">
        <v>7</v>
      </c>
      <c r="U276" s="1">
        <v>757720.07</v>
      </c>
      <c r="V276" s="1" t="s">
        <v>7</v>
      </c>
      <c r="W276" s="1" t="s">
        <v>7</v>
      </c>
      <c r="AA276"/>
    </row>
    <row r="277" spans="15:27" x14ac:dyDescent="0.25">
      <c r="O277" s="1">
        <v>3</v>
      </c>
      <c r="Q277" s="1">
        <v>0</v>
      </c>
      <c r="R277" s="1" t="s">
        <v>6</v>
      </c>
      <c r="S277" s="1">
        <v>1009058.38</v>
      </c>
      <c r="T277" s="1" t="s">
        <v>7</v>
      </c>
      <c r="U277" s="1">
        <v>1009058.38</v>
      </c>
      <c r="V277" s="1" t="s">
        <v>7</v>
      </c>
      <c r="W277" s="1" t="s">
        <v>7</v>
      </c>
      <c r="AA277"/>
    </row>
    <row r="278" spans="15:27" x14ac:dyDescent="0.25">
      <c r="O278" s="1">
        <v>4</v>
      </c>
      <c r="Q278" s="1">
        <v>419469.4</v>
      </c>
      <c r="R278" s="1" t="s">
        <v>6</v>
      </c>
      <c r="S278" s="1">
        <v>0</v>
      </c>
      <c r="T278" s="1" t="s">
        <v>6</v>
      </c>
      <c r="U278" s="1">
        <v>419469.4</v>
      </c>
      <c r="V278" s="1" t="s">
        <v>6</v>
      </c>
      <c r="W278" s="1" t="s">
        <v>6</v>
      </c>
      <c r="Z278" s="1">
        <f>U275+U276+U277-U278</f>
        <v>34276868.520000003</v>
      </c>
      <c r="AA278"/>
    </row>
    <row r="279" spans="15:27" x14ac:dyDescent="0.25">
      <c r="AA279"/>
    </row>
    <row r="280" spans="15:27" x14ac:dyDescent="0.25">
      <c r="Z280" s="2">
        <f>Z270-Z278</f>
        <v>-24831122.670000002</v>
      </c>
      <c r="AA280"/>
    </row>
    <row r="281" spans="15:27" x14ac:dyDescent="0.25">
      <c r="O281" s="1" t="s">
        <v>0</v>
      </c>
      <c r="Q281" s="1" t="s">
        <v>1</v>
      </c>
      <c r="R281" s="1" t="s">
        <v>2</v>
      </c>
      <c r="S281" s="1" t="s">
        <v>3</v>
      </c>
      <c r="T281" s="1" t="s">
        <v>2</v>
      </c>
      <c r="U281" s="1" t="s">
        <v>4</v>
      </c>
      <c r="V281" s="1" t="s">
        <v>2</v>
      </c>
      <c r="W281" s="1" t="s">
        <v>2</v>
      </c>
      <c r="AA281"/>
    </row>
    <row r="282" spans="15:27" x14ac:dyDescent="0.25">
      <c r="Q282" s="1" t="s">
        <v>5</v>
      </c>
      <c r="R282" s="1" t="s">
        <v>6</v>
      </c>
      <c r="S282" s="1" t="s">
        <v>5</v>
      </c>
      <c r="T282" s="1" t="s">
        <v>6</v>
      </c>
      <c r="U282" s="1" t="s">
        <v>5</v>
      </c>
      <c r="V282" s="1" t="s">
        <v>6</v>
      </c>
      <c r="W282" s="1" t="s">
        <v>6</v>
      </c>
      <c r="AA282"/>
    </row>
    <row r="283" spans="15:27" x14ac:dyDescent="0.25">
      <c r="O283" s="1">
        <v>1</v>
      </c>
      <c r="Q283" s="1">
        <v>0</v>
      </c>
      <c r="R283" s="1" t="s">
        <v>6</v>
      </c>
      <c r="S283" s="1">
        <v>20354.099999999999</v>
      </c>
      <c r="T283" s="1" t="s">
        <v>7</v>
      </c>
      <c r="U283" s="1">
        <v>20354.099999999999</v>
      </c>
      <c r="V283" s="1" t="s">
        <v>7</v>
      </c>
      <c r="W283" s="1" t="s">
        <v>7</v>
      </c>
      <c r="AA283"/>
    </row>
    <row r="284" spans="15:27" x14ac:dyDescent="0.25">
      <c r="O284" s="1">
        <v>2</v>
      </c>
      <c r="Q284" s="1">
        <v>0</v>
      </c>
      <c r="R284" s="1" t="s">
        <v>6</v>
      </c>
      <c r="S284" s="1">
        <v>987818.57</v>
      </c>
      <c r="T284" s="1" t="s">
        <v>7</v>
      </c>
      <c r="U284" s="1">
        <v>987818.57</v>
      </c>
      <c r="V284" s="1" t="s">
        <v>7</v>
      </c>
      <c r="W284" s="1" t="s">
        <v>7</v>
      </c>
      <c r="AA284"/>
    </row>
    <row r="285" spans="15:27" x14ac:dyDescent="0.25">
      <c r="O285" s="1">
        <v>3</v>
      </c>
      <c r="Q285" s="1">
        <v>261799.93</v>
      </c>
      <c r="R285" s="1" t="s">
        <v>6</v>
      </c>
      <c r="S285" s="1">
        <v>0</v>
      </c>
      <c r="T285" s="1" t="s">
        <v>6</v>
      </c>
      <c r="U285" s="1">
        <v>261799.93</v>
      </c>
      <c r="V285" s="1" t="s">
        <v>6</v>
      </c>
      <c r="W285" s="1" t="s">
        <v>6</v>
      </c>
      <c r="Z285" s="1">
        <f>U283+U284-U285</f>
        <v>746372.74</v>
      </c>
      <c r="AA285"/>
    </row>
    <row r="286" spans="15:27" x14ac:dyDescent="0.25">
      <c r="AA286"/>
    </row>
    <row r="287" spans="15:27" x14ac:dyDescent="0.25">
      <c r="Z287" s="2">
        <f>Z278-Z285</f>
        <v>33530495.780000005</v>
      </c>
      <c r="AA287"/>
    </row>
    <row r="288" spans="15:27" x14ac:dyDescent="0.25">
      <c r="AA288"/>
    </row>
    <row r="289" spans="2:27" x14ac:dyDescent="0.25">
      <c r="O289" s="1" t="s">
        <v>0</v>
      </c>
      <c r="Q289" s="1" t="s">
        <v>1</v>
      </c>
      <c r="R289" s="1" t="s">
        <v>2</v>
      </c>
      <c r="S289" s="1" t="s">
        <v>3</v>
      </c>
      <c r="T289" s="1" t="s">
        <v>2</v>
      </c>
      <c r="U289" s="1" t="s">
        <v>4</v>
      </c>
      <c r="V289" s="1" t="s">
        <v>2</v>
      </c>
      <c r="W289" s="1" t="s">
        <v>2</v>
      </c>
      <c r="AA289"/>
    </row>
    <row r="290" spans="2:27" x14ac:dyDescent="0.25">
      <c r="Q290" s="1" t="s">
        <v>5</v>
      </c>
      <c r="R290" s="1" t="s">
        <v>6</v>
      </c>
      <c r="S290" s="1" t="s">
        <v>5</v>
      </c>
      <c r="T290" s="1" t="s">
        <v>6</v>
      </c>
      <c r="U290" s="1" t="s">
        <v>5</v>
      </c>
      <c r="V290" s="1" t="s">
        <v>6</v>
      </c>
      <c r="W290" s="1" t="s">
        <v>6</v>
      </c>
      <c r="AA290"/>
    </row>
    <row r="291" spans="2:27" x14ac:dyDescent="0.25">
      <c r="O291" s="1">
        <v>1</v>
      </c>
      <c r="Q291" s="1">
        <v>0</v>
      </c>
      <c r="R291" s="1" t="s">
        <v>6</v>
      </c>
      <c r="S291" s="1">
        <v>149961.82</v>
      </c>
      <c r="T291" s="1" t="s">
        <v>7</v>
      </c>
      <c r="U291" s="1">
        <v>149961.82</v>
      </c>
      <c r="V291" s="1" t="s">
        <v>7</v>
      </c>
      <c r="W291" s="1" t="s">
        <v>7</v>
      </c>
      <c r="AA291"/>
    </row>
    <row r="292" spans="2:27" x14ac:dyDescent="0.25">
      <c r="O292" s="1">
        <v>2</v>
      </c>
      <c r="Q292" s="1">
        <v>0</v>
      </c>
      <c r="R292" s="1" t="s">
        <v>6</v>
      </c>
      <c r="S292" s="1">
        <v>847983.09</v>
      </c>
      <c r="T292" s="1" t="s">
        <v>7</v>
      </c>
      <c r="U292" s="1">
        <v>847983.09</v>
      </c>
      <c r="V292" s="1" t="s">
        <v>7</v>
      </c>
      <c r="W292" s="1" t="s">
        <v>7</v>
      </c>
      <c r="AA292"/>
    </row>
    <row r="293" spans="2:27" x14ac:dyDescent="0.25">
      <c r="O293" s="1">
        <v>3</v>
      </c>
      <c r="Q293" s="1">
        <v>203022.17</v>
      </c>
      <c r="R293" s="1" t="s">
        <v>6</v>
      </c>
      <c r="S293" s="1">
        <v>0</v>
      </c>
      <c r="T293" s="1" t="s">
        <v>6</v>
      </c>
      <c r="U293" s="1">
        <v>203022.17</v>
      </c>
      <c r="V293" s="1" t="s">
        <v>6</v>
      </c>
      <c r="W293" s="1" t="s">
        <v>6</v>
      </c>
      <c r="Z293" s="1">
        <f>U291+U292-U293</f>
        <v>794922.73999999987</v>
      </c>
      <c r="AA293"/>
    </row>
    <row r="294" spans="2:27" x14ac:dyDescent="0.25">
      <c r="AA294"/>
    </row>
    <row r="295" spans="2:27" x14ac:dyDescent="0.25">
      <c r="Z295" s="2">
        <f>Z285-Z293</f>
        <v>-48549.999999999884</v>
      </c>
      <c r="AA295"/>
    </row>
    <row r="296" spans="2:27" x14ac:dyDescent="0.25">
      <c r="AA296"/>
    </row>
    <row r="297" spans="2:27" x14ac:dyDescent="0.25">
      <c r="B297" s="1" t="s">
        <v>8</v>
      </c>
      <c r="O297" s="1" t="s">
        <v>0</v>
      </c>
      <c r="Q297" s="1" t="s">
        <v>1</v>
      </c>
      <c r="R297" s="1" t="s">
        <v>2</v>
      </c>
      <c r="S297" s="1" t="s">
        <v>3</v>
      </c>
      <c r="T297" s="1" t="s">
        <v>2</v>
      </c>
      <c r="U297" s="1" t="s">
        <v>4</v>
      </c>
      <c r="V297" s="1" t="s">
        <v>2</v>
      </c>
      <c r="W297" s="1" t="s">
        <v>2</v>
      </c>
      <c r="AA297"/>
    </row>
    <row r="298" spans="2:27" x14ac:dyDescent="0.25">
      <c r="B298" s="1" t="s">
        <v>9</v>
      </c>
      <c r="Q298" s="1" t="s">
        <v>5</v>
      </c>
      <c r="R298" s="1" t="s">
        <v>6</v>
      </c>
      <c r="S298" s="1" t="s">
        <v>5</v>
      </c>
      <c r="T298" s="1" t="s">
        <v>6</v>
      </c>
      <c r="U298" s="1" t="s">
        <v>5</v>
      </c>
      <c r="V298" s="1" t="s">
        <v>6</v>
      </c>
      <c r="W298" s="1" t="s">
        <v>6</v>
      </c>
      <c r="AA298"/>
    </row>
    <row r="299" spans="2:27" x14ac:dyDescent="0.25">
      <c r="B299" s="1" t="s">
        <v>23</v>
      </c>
      <c r="O299" s="1">
        <v>1</v>
      </c>
      <c r="Q299" s="1">
        <v>0</v>
      </c>
      <c r="R299" s="1" t="s">
        <v>6</v>
      </c>
      <c r="S299" s="1">
        <v>13100.46</v>
      </c>
      <c r="T299" s="1" t="s">
        <v>7</v>
      </c>
      <c r="U299" s="1">
        <v>13100.46</v>
      </c>
      <c r="V299" s="1" t="s">
        <v>7</v>
      </c>
      <c r="W299" s="1" t="s">
        <v>7</v>
      </c>
      <c r="AA299"/>
    </row>
    <row r="300" spans="2:27" x14ac:dyDescent="0.25">
      <c r="B300" s="1" t="s">
        <v>24</v>
      </c>
      <c r="O300" s="1">
        <v>2</v>
      </c>
      <c r="Q300" s="1">
        <v>0</v>
      </c>
      <c r="R300" s="1" t="s">
        <v>6</v>
      </c>
      <c r="S300" s="1">
        <v>644098.47</v>
      </c>
      <c r="T300" s="1" t="s">
        <v>7</v>
      </c>
      <c r="U300" s="1">
        <v>644098.47</v>
      </c>
      <c r="V300" s="1" t="s">
        <v>7</v>
      </c>
      <c r="W300" s="1" t="s">
        <v>7</v>
      </c>
      <c r="AA300"/>
    </row>
    <row r="301" spans="2:27" x14ac:dyDescent="0.25">
      <c r="B301" s="1" t="s">
        <v>25</v>
      </c>
      <c r="O301" s="1">
        <v>3</v>
      </c>
      <c r="Q301" s="1">
        <v>0</v>
      </c>
      <c r="R301" s="1" t="s">
        <v>6</v>
      </c>
      <c r="S301" s="1">
        <v>8979.74</v>
      </c>
      <c r="T301" s="1" t="s">
        <v>7</v>
      </c>
      <c r="U301" s="1">
        <v>8979.74</v>
      </c>
      <c r="V301" s="1" t="s">
        <v>7</v>
      </c>
      <c r="W301" s="1" t="s">
        <v>7</v>
      </c>
      <c r="Z301" s="1">
        <f>U299+U300+U301</f>
        <v>666178.66999999993</v>
      </c>
      <c r="AA301"/>
    </row>
    <row r="302" spans="2:27" x14ac:dyDescent="0.25">
      <c r="AA302"/>
    </row>
    <row r="303" spans="2:27" x14ac:dyDescent="0.25">
      <c r="Z303" s="18">
        <f>Z293-Z301</f>
        <v>128744.06999999995</v>
      </c>
      <c r="AA303"/>
    </row>
    <row r="304" spans="2:27" x14ac:dyDescent="0.25">
      <c r="B304" s="1" t="s">
        <v>8</v>
      </c>
      <c r="O304" s="1" t="s">
        <v>0</v>
      </c>
      <c r="Q304" s="1" t="s">
        <v>1</v>
      </c>
      <c r="R304" s="1" t="s">
        <v>2</v>
      </c>
      <c r="S304" s="1" t="s">
        <v>3</v>
      </c>
      <c r="T304" s="1" t="s">
        <v>2</v>
      </c>
      <c r="U304" s="1" t="s">
        <v>4</v>
      </c>
      <c r="V304" s="1" t="s">
        <v>2</v>
      </c>
      <c r="W304" s="1" t="s">
        <v>2</v>
      </c>
      <c r="Z304"/>
      <c r="AA304"/>
    </row>
    <row r="305" spans="2:27" x14ac:dyDescent="0.25">
      <c r="B305" s="1" t="s">
        <v>9</v>
      </c>
      <c r="Q305" s="1" t="s">
        <v>5</v>
      </c>
      <c r="R305" s="1" t="s">
        <v>6</v>
      </c>
      <c r="S305" s="1" t="s">
        <v>5</v>
      </c>
      <c r="T305" s="1" t="s">
        <v>6</v>
      </c>
      <c r="U305" s="1" t="s">
        <v>5</v>
      </c>
      <c r="V305" s="1" t="s">
        <v>6</v>
      </c>
      <c r="W305" s="1" t="s">
        <v>6</v>
      </c>
      <c r="Z305"/>
      <c r="AA305"/>
    </row>
    <row r="306" spans="2:27" x14ac:dyDescent="0.25">
      <c r="B306" s="1" t="s">
        <v>26</v>
      </c>
      <c r="O306" s="1">
        <v>1</v>
      </c>
      <c r="Q306" s="1">
        <v>0</v>
      </c>
      <c r="R306" s="1" t="s">
        <v>6</v>
      </c>
      <c r="S306" s="1">
        <v>4774800.6399999997</v>
      </c>
      <c r="T306" s="1" t="s">
        <v>7</v>
      </c>
      <c r="U306" s="1">
        <v>4774800.6399999997</v>
      </c>
      <c r="V306" s="1" t="s">
        <v>7</v>
      </c>
      <c r="W306" s="1" t="s">
        <v>7</v>
      </c>
      <c r="Z306"/>
      <c r="AA306"/>
    </row>
    <row r="307" spans="2:27" x14ac:dyDescent="0.25">
      <c r="B307" s="1" t="s">
        <v>27</v>
      </c>
      <c r="O307" s="1">
        <v>2</v>
      </c>
      <c r="Q307" s="1">
        <v>0</v>
      </c>
      <c r="R307" s="1" t="s">
        <v>6</v>
      </c>
      <c r="S307" s="1">
        <v>261766.83</v>
      </c>
      <c r="T307" s="1" t="s">
        <v>7</v>
      </c>
      <c r="U307" s="1">
        <v>261766.83</v>
      </c>
      <c r="V307" s="1" t="s">
        <v>7</v>
      </c>
      <c r="W307" s="1" t="s">
        <v>7</v>
      </c>
      <c r="Z307"/>
      <c r="AA307"/>
    </row>
    <row r="308" spans="2:27" x14ac:dyDescent="0.25">
      <c r="B308" s="1" t="s">
        <v>28</v>
      </c>
      <c r="O308" s="1">
        <v>3</v>
      </c>
      <c r="Q308" s="1">
        <v>0</v>
      </c>
      <c r="R308" s="1" t="s">
        <v>6</v>
      </c>
      <c r="S308" s="1">
        <v>307761.88</v>
      </c>
      <c r="T308" s="1" t="s">
        <v>7</v>
      </c>
      <c r="U308" s="1">
        <v>307761.88</v>
      </c>
      <c r="V308" s="1" t="s">
        <v>7</v>
      </c>
      <c r="W308" s="1" t="s">
        <v>7</v>
      </c>
      <c r="Z308"/>
      <c r="AA308"/>
    </row>
    <row r="309" spans="2:27" x14ac:dyDescent="0.25">
      <c r="B309" s="1" t="s">
        <v>29</v>
      </c>
      <c r="O309" s="1">
        <v>4</v>
      </c>
      <c r="Q309" s="1">
        <v>0</v>
      </c>
      <c r="R309" s="1" t="s">
        <v>6</v>
      </c>
      <c r="S309" s="1">
        <v>85309445.340000004</v>
      </c>
      <c r="T309" s="1" t="s">
        <v>7</v>
      </c>
      <c r="U309" s="1">
        <v>85309445.340000004</v>
      </c>
      <c r="V309" s="1" t="s">
        <v>7</v>
      </c>
      <c r="W309" s="1" t="s">
        <v>7</v>
      </c>
      <c r="Z309"/>
      <c r="AA309"/>
    </row>
    <row r="310" spans="2:27" x14ac:dyDescent="0.25">
      <c r="B310" s="1" t="s">
        <v>30</v>
      </c>
      <c r="O310" s="1">
        <v>5</v>
      </c>
      <c r="Q310" s="1">
        <v>0</v>
      </c>
      <c r="R310" s="1" t="s">
        <v>6</v>
      </c>
      <c r="S310" s="1">
        <v>27569171.969999999</v>
      </c>
      <c r="T310" s="1" t="s">
        <v>7</v>
      </c>
      <c r="U310" s="1">
        <v>27569171.969999999</v>
      </c>
      <c r="V310" s="1" t="s">
        <v>7</v>
      </c>
      <c r="W310" s="1" t="s">
        <v>7</v>
      </c>
      <c r="Z310"/>
      <c r="AA310"/>
    </row>
    <row r="311" spans="2:27" x14ac:dyDescent="0.25">
      <c r="B311" s="1" t="s">
        <v>31</v>
      </c>
      <c r="O311" s="1">
        <v>6</v>
      </c>
      <c r="Q311" s="1">
        <v>0</v>
      </c>
      <c r="R311" s="1" t="s">
        <v>6</v>
      </c>
      <c r="S311" s="1">
        <v>2594.15</v>
      </c>
      <c r="T311" s="1" t="s">
        <v>7</v>
      </c>
      <c r="U311" s="1">
        <v>2594.15</v>
      </c>
      <c r="V311" s="1" t="s">
        <v>7</v>
      </c>
      <c r="W311" s="1" t="s">
        <v>7</v>
      </c>
      <c r="Z311" s="12">
        <f>U306+U307+U308</f>
        <v>5344329.3499999996</v>
      </c>
      <c r="AA311"/>
    </row>
    <row r="312" spans="2:27" x14ac:dyDescent="0.25">
      <c r="Z312"/>
      <c r="AA312"/>
    </row>
    <row r="313" spans="2:27" x14ac:dyDescent="0.25">
      <c r="Z313" s="14">
        <f>Z301-Z311</f>
        <v>-4678150.68</v>
      </c>
      <c r="AA313"/>
    </row>
    <row r="314" spans="2:27" x14ac:dyDescent="0.25">
      <c r="B314" s="1" t="s">
        <v>8</v>
      </c>
      <c r="O314" s="1" t="s">
        <v>0</v>
      </c>
      <c r="Q314" s="1" t="s">
        <v>1</v>
      </c>
      <c r="R314" s="1" t="s">
        <v>2</v>
      </c>
      <c r="S314" s="1" t="s">
        <v>3</v>
      </c>
      <c r="T314" s="1" t="s">
        <v>2</v>
      </c>
      <c r="U314" s="1" t="s">
        <v>4</v>
      </c>
      <c r="V314" s="1" t="s">
        <v>2</v>
      </c>
      <c r="W314" s="1" t="s">
        <v>2</v>
      </c>
      <c r="Z314"/>
      <c r="AA314"/>
    </row>
    <row r="315" spans="2:27" x14ac:dyDescent="0.25">
      <c r="B315" s="1" t="s">
        <v>9</v>
      </c>
      <c r="Q315" s="1" t="s">
        <v>5</v>
      </c>
      <c r="R315" s="1" t="s">
        <v>6</v>
      </c>
      <c r="S315" s="1" t="s">
        <v>5</v>
      </c>
      <c r="T315" s="1" t="s">
        <v>6</v>
      </c>
      <c r="U315" s="1" t="s">
        <v>5</v>
      </c>
      <c r="V315" s="1" t="s">
        <v>6</v>
      </c>
      <c r="W315" s="1" t="s">
        <v>6</v>
      </c>
      <c r="Z315"/>
      <c r="AA315"/>
    </row>
    <row r="316" spans="2:27" x14ac:dyDescent="0.25">
      <c r="B316" s="1" t="s">
        <v>32</v>
      </c>
      <c r="O316" s="1">
        <v>1</v>
      </c>
      <c r="Q316" s="1">
        <v>0</v>
      </c>
      <c r="R316" s="1" t="s">
        <v>6</v>
      </c>
      <c r="S316" s="1">
        <v>187867.14</v>
      </c>
      <c r="T316" s="1" t="s">
        <v>7</v>
      </c>
      <c r="U316" s="1">
        <v>187867.14</v>
      </c>
      <c r="V316" s="1" t="s">
        <v>7</v>
      </c>
      <c r="W316" s="1" t="s">
        <v>7</v>
      </c>
      <c r="Z316"/>
      <c r="AA316"/>
    </row>
    <row r="317" spans="2:27" x14ac:dyDescent="0.25">
      <c r="B317" s="1" t="s">
        <v>33</v>
      </c>
      <c r="O317" s="1">
        <v>2</v>
      </c>
      <c r="Q317" s="1">
        <v>0</v>
      </c>
      <c r="R317" s="1" t="s">
        <v>6</v>
      </c>
      <c r="S317" s="1">
        <v>1819680.43</v>
      </c>
      <c r="T317" s="1" t="s">
        <v>7</v>
      </c>
      <c r="U317" s="1">
        <v>1819680.43</v>
      </c>
      <c r="V317" s="1" t="s">
        <v>7</v>
      </c>
      <c r="W317" s="1" t="s">
        <v>7</v>
      </c>
      <c r="Z317" s="12"/>
      <c r="AA317"/>
    </row>
    <row r="318" spans="2:27" x14ac:dyDescent="0.25">
      <c r="B318" s="1" t="s">
        <v>34</v>
      </c>
      <c r="O318" s="1">
        <v>3</v>
      </c>
      <c r="Q318" s="1">
        <v>206249.82</v>
      </c>
      <c r="R318" s="1" t="s">
        <v>6</v>
      </c>
      <c r="S318" s="1">
        <v>0</v>
      </c>
      <c r="T318" s="1" t="s">
        <v>6</v>
      </c>
      <c r="U318" s="1">
        <v>206249.82</v>
      </c>
      <c r="V318" s="1" t="s">
        <v>6</v>
      </c>
      <c r="W318" s="1" t="s">
        <v>6</v>
      </c>
      <c r="Z318"/>
      <c r="AA318"/>
    </row>
    <row r="319" spans="2:27" x14ac:dyDescent="0.25">
      <c r="B319" s="1" t="s">
        <v>35</v>
      </c>
      <c r="O319" s="1">
        <v>4</v>
      </c>
      <c r="Q319" s="1">
        <v>0</v>
      </c>
      <c r="R319" s="1" t="s">
        <v>6</v>
      </c>
      <c r="S319" s="1">
        <v>99757193.390000001</v>
      </c>
      <c r="T319" s="1" t="s">
        <v>7</v>
      </c>
      <c r="U319" s="1">
        <v>99757193.390000001</v>
      </c>
      <c r="V319" s="1" t="s">
        <v>7</v>
      </c>
      <c r="W319" s="1" t="s">
        <v>7</v>
      </c>
      <c r="Z319"/>
      <c r="AA319"/>
    </row>
    <row r="320" spans="2:27" x14ac:dyDescent="0.25">
      <c r="B320" s="1" t="s">
        <v>36</v>
      </c>
      <c r="O320" s="1">
        <v>5</v>
      </c>
      <c r="Q320" s="1">
        <v>0</v>
      </c>
      <c r="R320" s="1" t="s">
        <v>6</v>
      </c>
      <c r="S320" s="1">
        <v>15823244.890000001</v>
      </c>
      <c r="T320" s="1" t="s">
        <v>7</v>
      </c>
      <c r="U320" s="1">
        <v>15823244.890000001</v>
      </c>
      <c r="V320" s="1" t="s">
        <v>7</v>
      </c>
      <c r="W320" s="1" t="s">
        <v>7</v>
      </c>
      <c r="Z320" s="12"/>
      <c r="AA320"/>
    </row>
    <row r="321" spans="2:27" x14ac:dyDescent="0.25">
      <c r="B321" s="1" t="s">
        <v>37</v>
      </c>
      <c r="O321" s="1">
        <v>6</v>
      </c>
      <c r="Q321" s="1">
        <v>0</v>
      </c>
      <c r="R321" s="1" t="s">
        <v>6</v>
      </c>
      <c r="S321" s="1">
        <v>1100818.26</v>
      </c>
      <c r="T321" s="1" t="s">
        <v>7</v>
      </c>
      <c r="U321" s="1">
        <v>1100818.26</v>
      </c>
      <c r="V321" s="1" t="s">
        <v>7</v>
      </c>
      <c r="W321" s="1" t="s">
        <v>7</v>
      </c>
      <c r="Z321" s="12">
        <f>U316+U317-U318</f>
        <v>1801297.7499999998</v>
      </c>
      <c r="AA321"/>
    </row>
    <row r="322" spans="2:27" x14ac:dyDescent="0.25">
      <c r="Z322"/>
      <c r="AA322"/>
    </row>
    <row r="323" spans="2:27" x14ac:dyDescent="0.25">
      <c r="Z323" s="14">
        <f>Z311-Z321</f>
        <v>3543031.5999999996</v>
      </c>
      <c r="AA323"/>
    </row>
    <row r="324" spans="2:27" x14ac:dyDescent="0.25">
      <c r="B324" s="1" t="s">
        <v>8</v>
      </c>
      <c r="O324" s="1" t="s">
        <v>0</v>
      </c>
      <c r="Q324" s="1" t="s">
        <v>1</v>
      </c>
      <c r="R324" s="1" t="s">
        <v>2</v>
      </c>
      <c r="S324" s="1" t="s">
        <v>3</v>
      </c>
      <c r="T324" s="1" t="s">
        <v>2</v>
      </c>
      <c r="U324" s="1" t="s">
        <v>4</v>
      </c>
      <c r="V324" s="1" t="s">
        <v>2</v>
      </c>
      <c r="W324" s="1" t="s">
        <v>2</v>
      </c>
      <c r="Z324"/>
      <c r="AA324"/>
    </row>
    <row r="325" spans="2:27" x14ac:dyDescent="0.25">
      <c r="B325" s="1" t="s">
        <v>9</v>
      </c>
      <c r="Q325" s="1" t="s">
        <v>5</v>
      </c>
      <c r="R325" s="1" t="s">
        <v>6</v>
      </c>
      <c r="S325" s="1" t="s">
        <v>5</v>
      </c>
      <c r="T325" s="1" t="s">
        <v>6</v>
      </c>
      <c r="U325" s="1" t="s">
        <v>5</v>
      </c>
      <c r="V325" s="1" t="s">
        <v>6</v>
      </c>
      <c r="W325" s="1" t="s">
        <v>6</v>
      </c>
      <c r="Z325"/>
      <c r="AA325"/>
    </row>
    <row r="326" spans="2:27" x14ac:dyDescent="0.25">
      <c r="B326" s="1" t="s">
        <v>38</v>
      </c>
      <c r="O326" s="1">
        <v>1</v>
      </c>
      <c r="Q326" s="1">
        <v>0</v>
      </c>
      <c r="R326" s="1" t="s">
        <v>6</v>
      </c>
      <c r="S326" s="1">
        <v>271914.65000000002</v>
      </c>
      <c r="T326" s="1" t="s">
        <v>7</v>
      </c>
      <c r="U326" s="1">
        <v>271914.65000000002</v>
      </c>
      <c r="V326" s="1" t="s">
        <v>7</v>
      </c>
      <c r="W326" s="1" t="s">
        <v>7</v>
      </c>
      <c r="Z326"/>
      <c r="AA326"/>
    </row>
    <row r="327" spans="2:27" x14ac:dyDescent="0.25">
      <c r="B327" s="1" t="s">
        <v>39</v>
      </c>
      <c r="O327" s="1">
        <v>2</v>
      </c>
      <c r="Q327" s="1">
        <v>0</v>
      </c>
      <c r="R327" s="1" t="s">
        <v>6</v>
      </c>
      <c r="S327" s="1">
        <v>56098.48</v>
      </c>
      <c r="T327" s="1" t="s">
        <v>7</v>
      </c>
      <c r="U327" s="1">
        <v>56098.48</v>
      </c>
      <c r="V327" s="1" t="s">
        <v>7</v>
      </c>
      <c r="W327" s="1" t="s">
        <v>7</v>
      </c>
      <c r="Z327"/>
      <c r="AA327"/>
    </row>
    <row r="328" spans="2:27" x14ac:dyDescent="0.25">
      <c r="B328" s="1" t="s">
        <v>40</v>
      </c>
      <c r="O328" s="1">
        <v>3</v>
      </c>
      <c r="Q328" s="1">
        <v>217130.35</v>
      </c>
      <c r="R328" s="1" t="s">
        <v>6</v>
      </c>
      <c r="S328" s="1">
        <v>0</v>
      </c>
      <c r="T328" s="1" t="s">
        <v>6</v>
      </c>
      <c r="U328" s="1">
        <v>217130.35</v>
      </c>
      <c r="V328" s="1" t="s">
        <v>6</v>
      </c>
      <c r="W328" s="1" t="s">
        <v>6</v>
      </c>
      <c r="Z328" s="12">
        <f>U326+U327-U328</f>
        <v>110882.78</v>
      </c>
      <c r="AA328"/>
    </row>
    <row r="329" spans="2:27" x14ac:dyDescent="0.25">
      <c r="Z329"/>
      <c r="AA329"/>
    </row>
    <row r="330" spans="2:27" x14ac:dyDescent="0.25">
      <c r="Z330" s="14">
        <f>Z321-Z328</f>
        <v>1690414.9699999997</v>
      </c>
      <c r="AA330"/>
    </row>
    <row r="331" spans="2:27" x14ac:dyDescent="0.25">
      <c r="Z331"/>
      <c r="AA331"/>
    </row>
    <row r="332" spans="2:27" x14ac:dyDescent="0.25">
      <c r="B332" s="1" t="s">
        <v>8</v>
      </c>
      <c r="O332" s="1" t="s">
        <v>0</v>
      </c>
      <c r="Q332" s="1" t="s">
        <v>1</v>
      </c>
      <c r="R332" s="1" t="s">
        <v>2</v>
      </c>
      <c r="S332" s="1" t="s">
        <v>3</v>
      </c>
      <c r="T332" s="1" t="s">
        <v>2</v>
      </c>
      <c r="U332" s="1" t="s">
        <v>4</v>
      </c>
      <c r="V332" s="1" t="s">
        <v>2</v>
      </c>
      <c r="W332" s="1" t="s">
        <v>2</v>
      </c>
      <c r="Z332"/>
      <c r="AA332"/>
    </row>
    <row r="333" spans="2:27" x14ac:dyDescent="0.25">
      <c r="B333" s="1" t="s">
        <v>9</v>
      </c>
      <c r="Q333" s="1" t="s">
        <v>5</v>
      </c>
      <c r="R333" s="1" t="s">
        <v>6</v>
      </c>
      <c r="S333" s="1" t="s">
        <v>5</v>
      </c>
      <c r="T333" s="1" t="s">
        <v>6</v>
      </c>
      <c r="U333" s="1" t="s">
        <v>5</v>
      </c>
      <c r="V333" s="1" t="s">
        <v>6</v>
      </c>
      <c r="W333" s="1" t="s">
        <v>6</v>
      </c>
      <c r="Z333"/>
      <c r="AA333"/>
    </row>
    <row r="334" spans="2:27" x14ac:dyDescent="0.25">
      <c r="B334" s="1" t="s">
        <v>41</v>
      </c>
      <c r="O334" s="1">
        <v>1</v>
      </c>
      <c r="Q334" s="1">
        <v>0</v>
      </c>
      <c r="R334" s="1" t="s">
        <v>6</v>
      </c>
      <c r="S334" s="1">
        <v>20999543.949999999</v>
      </c>
      <c r="T334" s="1" t="s">
        <v>7</v>
      </c>
      <c r="U334" s="1">
        <v>20999543.949999999</v>
      </c>
      <c r="V334" s="1" t="s">
        <v>7</v>
      </c>
      <c r="W334" s="1" t="s">
        <v>7</v>
      </c>
      <c r="Z334"/>
      <c r="AA334"/>
    </row>
    <row r="335" spans="2:27" x14ac:dyDescent="0.25">
      <c r="B335" s="1" t="s">
        <v>42</v>
      </c>
      <c r="O335" s="1">
        <v>2</v>
      </c>
      <c r="Q335" s="1">
        <v>0</v>
      </c>
      <c r="R335" s="1" t="s">
        <v>6</v>
      </c>
      <c r="S335" s="1">
        <v>3313835.58</v>
      </c>
      <c r="T335" s="1" t="s">
        <v>7</v>
      </c>
      <c r="U335" s="1">
        <v>3313835.58</v>
      </c>
      <c r="V335" s="1" t="s">
        <v>7</v>
      </c>
      <c r="W335" s="1" t="s">
        <v>7</v>
      </c>
      <c r="Z335"/>
      <c r="AA335"/>
    </row>
    <row r="336" spans="2:27" x14ac:dyDescent="0.25">
      <c r="B336" s="1" t="s">
        <v>43</v>
      </c>
      <c r="O336" s="1">
        <v>3</v>
      </c>
      <c r="Q336" s="1">
        <v>58867.25</v>
      </c>
      <c r="R336" s="1" t="s">
        <v>6</v>
      </c>
      <c r="S336" s="1">
        <v>0</v>
      </c>
      <c r="T336" s="1" t="s">
        <v>6</v>
      </c>
      <c r="U336" s="1">
        <v>58867.25</v>
      </c>
      <c r="V336" s="1" t="s">
        <v>6</v>
      </c>
      <c r="W336" s="1" t="s">
        <v>6</v>
      </c>
      <c r="Z336"/>
      <c r="AA336"/>
    </row>
    <row r="337" spans="2:27" x14ac:dyDescent="0.25">
      <c r="B337" s="1" t="s">
        <v>44</v>
      </c>
      <c r="O337" s="1">
        <v>4</v>
      </c>
      <c r="Q337" s="1">
        <v>0</v>
      </c>
      <c r="R337" s="1" t="s">
        <v>6</v>
      </c>
      <c r="S337" s="1">
        <v>100642883.76000001</v>
      </c>
      <c r="T337" s="1" t="s">
        <v>7</v>
      </c>
      <c r="U337" s="1">
        <v>100642883.76000001</v>
      </c>
      <c r="V337" s="1" t="s">
        <v>7</v>
      </c>
      <c r="W337" s="1" t="s">
        <v>7</v>
      </c>
      <c r="Z337"/>
      <c r="AA337"/>
    </row>
    <row r="338" spans="2:27" x14ac:dyDescent="0.25">
      <c r="B338" s="1" t="s">
        <v>45</v>
      </c>
      <c r="O338" s="1">
        <v>5</v>
      </c>
      <c r="Q338" s="1">
        <v>0</v>
      </c>
      <c r="R338" s="1" t="s">
        <v>6</v>
      </c>
      <c r="S338" s="1">
        <v>10084443.720000001</v>
      </c>
      <c r="T338" s="1" t="s">
        <v>7</v>
      </c>
      <c r="U338" s="1">
        <v>10084443.720000001</v>
      </c>
      <c r="V338" s="1" t="s">
        <v>7</v>
      </c>
      <c r="W338" s="1" t="s">
        <v>7</v>
      </c>
      <c r="Z338" s="12">
        <f>U334+U335-U336</f>
        <v>24254512.280000001</v>
      </c>
      <c r="AA338"/>
    </row>
    <row r="339" spans="2:27" x14ac:dyDescent="0.25">
      <c r="Z339"/>
      <c r="AA339"/>
    </row>
    <row r="340" spans="2:27" x14ac:dyDescent="0.25">
      <c r="Z340" s="15">
        <f>Z328-Z338</f>
        <v>-24143629.5</v>
      </c>
      <c r="AA340" s="12" t="e">
        <f>Z340+#REF!</f>
        <v>#REF!</v>
      </c>
    </row>
    <row r="341" spans="2:27" x14ac:dyDescent="0.25">
      <c r="Z341"/>
      <c r="AA341"/>
    </row>
    <row r="342" spans="2:27" x14ac:dyDescent="0.25">
      <c r="B342" s="1" t="s">
        <v>8</v>
      </c>
      <c r="O342" s="1" t="s">
        <v>0</v>
      </c>
      <c r="Q342" s="1" t="s">
        <v>1</v>
      </c>
      <c r="R342" s="1" t="s">
        <v>2</v>
      </c>
      <c r="S342" s="1" t="s">
        <v>3</v>
      </c>
      <c r="T342" s="1" t="s">
        <v>2</v>
      </c>
      <c r="U342" s="1" t="s">
        <v>4</v>
      </c>
      <c r="V342" s="1" t="s">
        <v>2</v>
      </c>
      <c r="W342" s="1" t="s">
        <v>2</v>
      </c>
      <c r="Z342"/>
      <c r="AA342"/>
    </row>
    <row r="343" spans="2:27" x14ac:dyDescent="0.25">
      <c r="B343" s="1" t="s">
        <v>9</v>
      </c>
      <c r="Q343" s="1" t="s">
        <v>5</v>
      </c>
      <c r="R343" s="1" t="s">
        <v>6</v>
      </c>
      <c r="S343" s="1" t="s">
        <v>5</v>
      </c>
      <c r="T343" s="1" t="s">
        <v>6</v>
      </c>
      <c r="U343" s="1" t="s">
        <v>5</v>
      </c>
      <c r="V343" s="1" t="s">
        <v>6</v>
      </c>
      <c r="W343" s="1" t="s">
        <v>6</v>
      </c>
      <c r="Z343"/>
      <c r="AA343"/>
    </row>
    <row r="344" spans="2:27" x14ac:dyDescent="0.25">
      <c r="B344" s="1" t="s">
        <v>46</v>
      </c>
      <c r="O344" s="1">
        <v>1</v>
      </c>
      <c r="Q344" s="1">
        <v>0</v>
      </c>
      <c r="R344" s="1" t="s">
        <v>6</v>
      </c>
      <c r="S344" s="1">
        <v>493369.74</v>
      </c>
      <c r="T344" s="1" t="s">
        <v>7</v>
      </c>
      <c r="U344" s="1">
        <v>493369.74</v>
      </c>
      <c r="V344" s="1" t="s">
        <v>7</v>
      </c>
      <c r="W344" s="1" t="s">
        <v>7</v>
      </c>
      <c r="Z344"/>
      <c r="AA344"/>
    </row>
    <row r="345" spans="2:27" x14ac:dyDescent="0.25">
      <c r="B345" s="1" t="s">
        <v>47</v>
      </c>
      <c r="O345" s="1">
        <v>2</v>
      </c>
      <c r="Q345" s="1">
        <v>0</v>
      </c>
      <c r="R345" s="1" t="s">
        <v>6</v>
      </c>
      <c r="S345" s="1">
        <v>1646116.71</v>
      </c>
      <c r="T345" s="1" t="s">
        <v>7</v>
      </c>
      <c r="U345" s="1">
        <v>1646116.71</v>
      </c>
      <c r="V345" s="1" t="s">
        <v>7</v>
      </c>
      <c r="W345" s="1" t="s">
        <v>7</v>
      </c>
      <c r="Z345"/>
      <c r="AA345"/>
    </row>
    <row r="346" spans="2:27" x14ac:dyDescent="0.25">
      <c r="B346" s="1" t="s">
        <v>48</v>
      </c>
      <c r="O346" s="1">
        <v>3</v>
      </c>
      <c r="Q346" s="1">
        <v>208238.11</v>
      </c>
      <c r="R346" s="1" t="s">
        <v>6</v>
      </c>
      <c r="S346" s="1">
        <v>0</v>
      </c>
      <c r="T346" s="1" t="s">
        <v>6</v>
      </c>
      <c r="U346" s="1">
        <v>208238.11</v>
      </c>
      <c r="V346" s="1" t="s">
        <v>6</v>
      </c>
      <c r="W346" s="1" t="s">
        <v>6</v>
      </c>
      <c r="Z346"/>
      <c r="AA346"/>
    </row>
    <row r="347" spans="2:27" x14ac:dyDescent="0.25">
      <c r="B347" s="1" t="s">
        <v>49</v>
      </c>
      <c r="O347" s="1">
        <v>4</v>
      </c>
      <c r="Q347" s="1">
        <v>0</v>
      </c>
      <c r="R347" s="1" t="s">
        <v>6</v>
      </c>
      <c r="S347" s="1">
        <v>83990769.620000005</v>
      </c>
      <c r="T347" s="1" t="s">
        <v>7</v>
      </c>
      <c r="U347" s="1">
        <v>83990769.620000005</v>
      </c>
      <c r="V347" s="1" t="s">
        <v>7</v>
      </c>
      <c r="W347" s="1" t="s">
        <v>7</v>
      </c>
      <c r="Z347"/>
      <c r="AA347"/>
    </row>
    <row r="348" spans="2:27" x14ac:dyDescent="0.25">
      <c r="B348" s="1" t="s">
        <v>50</v>
      </c>
      <c r="O348" s="1">
        <v>5</v>
      </c>
      <c r="Q348" s="1">
        <v>0</v>
      </c>
      <c r="R348" s="1" t="s">
        <v>6</v>
      </c>
      <c r="S348" s="1">
        <v>8573513.9499999993</v>
      </c>
      <c r="T348" s="1" t="s">
        <v>7</v>
      </c>
      <c r="U348" s="1">
        <v>8573513.9499999993</v>
      </c>
      <c r="V348" s="1" t="s">
        <v>7</v>
      </c>
      <c r="W348" s="1" t="s">
        <v>7</v>
      </c>
      <c r="Z348"/>
      <c r="AA348"/>
    </row>
    <row r="349" spans="2:27" x14ac:dyDescent="0.25">
      <c r="B349" s="1" t="s">
        <v>51</v>
      </c>
      <c r="O349" s="1">
        <v>6</v>
      </c>
      <c r="Q349" s="1">
        <v>0</v>
      </c>
      <c r="R349" s="1" t="s">
        <v>6</v>
      </c>
      <c r="S349" s="1">
        <v>5816443.0499999998</v>
      </c>
      <c r="T349" s="1" t="s">
        <v>7</v>
      </c>
      <c r="U349" s="1">
        <v>5816443.0499999998</v>
      </c>
      <c r="V349" s="1" t="s">
        <v>7</v>
      </c>
      <c r="W349" s="1" t="s">
        <v>7</v>
      </c>
      <c r="Z349" s="12">
        <f>U344+U345-U346</f>
        <v>1931248.3400000003</v>
      </c>
      <c r="AA349"/>
    </row>
    <row r="350" spans="2:27" x14ac:dyDescent="0.25">
      <c r="Z350"/>
      <c r="AA350"/>
    </row>
    <row r="351" spans="2:27" x14ac:dyDescent="0.25">
      <c r="Z351" s="14">
        <f>Z338-Z349</f>
        <v>22323263.940000001</v>
      </c>
      <c r="AA351"/>
    </row>
    <row r="352" spans="2:27" x14ac:dyDescent="0.25">
      <c r="Z352"/>
      <c r="AA352"/>
    </row>
    <row r="353" spans="2:27" x14ac:dyDescent="0.25">
      <c r="B353" s="1" t="s">
        <v>8</v>
      </c>
      <c r="O353" s="1" t="s">
        <v>0</v>
      </c>
      <c r="Q353" s="1" t="s">
        <v>1</v>
      </c>
      <c r="R353" s="1" t="s">
        <v>2</v>
      </c>
      <c r="S353" s="1" t="s">
        <v>3</v>
      </c>
      <c r="T353" s="1" t="s">
        <v>2</v>
      </c>
      <c r="U353" s="1" t="s">
        <v>4</v>
      </c>
      <c r="V353" s="1" t="s">
        <v>2</v>
      </c>
      <c r="W353" s="1" t="s">
        <v>2</v>
      </c>
      <c r="Z353"/>
      <c r="AA353"/>
    </row>
    <row r="354" spans="2:27" x14ac:dyDescent="0.25">
      <c r="B354" s="1" t="s">
        <v>9</v>
      </c>
      <c r="Q354" s="1" t="s">
        <v>5</v>
      </c>
      <c r="R354" s="1" t="s">
        <v>6</v>
      </c>
      <c r="S354" s="1" t="s">
        <v>5</v>
      </c>
      <c r="T354" s="1" t="s">
        <v>6</v>
      </c>
      <c r="U354" s="1" t="s">
        <v>5</v>
      </c>
      <c r="V354" s="1" t="s">
        <v>6</v>
      </c>
      <c r="W354" s="1" t="s">
        <v>6</v>
      </c>
      <c r="Z354"/>
      <c r="AA354"/>
    </row>
    <row r="355" spans="2:27" x14ac:dyDescent="0.25">
      <c r="B355" s="1" t="s">
        <v>52</v>
      </c>
      <c r="O355" s="1">
        <v>1</v>
      </c>
      <c r="Q355" s="1">
        <v>0</v>
      </c>
      <c r="R355" s="1" t="s">
        <v>6</v>
      </c>
      <c r="S355" s="1">
        <v>232126.52</v>
      </c>
      <c r="T355" s="1" t="s">
        <v>7</v>
      </c>
      <c r="U355" s="1">
        <v>232126.52</v>
      </c>
      <c r="V355" s="1" t="s">
        <v>7</v>
      </c>
      <c r="W355" s="1" t="s">
        <v>7</v>
      </c>
      <c r="Z355"/>
      <c r="AA355"/>
    </row>
    <row r="356" spans="2:27" x14ac:dyDescent="0.25">
      <c r="B356" s="1" t="s">
        <v>53</v>
      </c>
      <c r="O356" s="1">
        <v>2</v>
      </c>
      <c r="Q356" s="1">
        <v>0</v>
      </c>
      <c r="R356" s="1" t="s">
        <v>6</v>
      </c>
      <c r="S356" s="1">
        <v>38612.92</v>
      </c>
      <c r="T356" s="1" t="s">
        <v>7</v>
      </c>
      <c r="U356" s="1">
        <v>38612.92</v>
      </c>
      <c r="V356" s="1" t="s">
        <v>7</v>
      </c>
      <c r="W356" s="1" t="s">
        <v>7</v>
      </c>
      <c r="Z356"/>
      <c r="AA356"/>
    </row>
    <row r="357" spans="2:27" x14ac:dyDescent="0.25">
      <c r="B357" s="1" t="s">
        <v>54</v>
      </c>
      <c r="O357" s="1">
        <v>3</v>
      </c>
      <c r="Q357" s="1">
        <v>0</v>
      </c>
      <c r="R357" s="1" t="s">
        <v>6</v>
      </c>
      <c r="S357" s="1">
        <v>795263.92</v>
      </c>
      <c r="T357" s="1" t="s">
        <v>7</v>
      </c>
      <c r="U357" s="1">
        <v>795263.92</v>
      </c>
      <c r="V357" s="1" t="s">
        <v>7</v>
      </c>
      <c r="W357" s="1" t="s">
        <v>7</v>
      </c>
      <c r="Z357"/>
      <c r="AA357"/>
    </row>
    <row r="358" spans="2:27" x14ac:dyDescent="0.25">
      <c r="B358" s="1" t="s">
        <v>55</v>
      </c>
      <c r="O358" s="1">
        <v>4</v>
      </c>
      <c r="Q358" s="1">
        <v>216196.94</v>
      </c>
      <c r="R358" s="1" t="s">
        <v>6</v>
      </c>
      <c r="S358" s="1">
        <v>0</v>
      </c>
      <c r="T358" s="1" t="s">
        <v>6</v>
      </c>
      <c r="U358" s="1">
        <v>216196.94</v>
      </c>
      <c r="V358" s="1" t="s">
        <v>6</v>
      </c>
      <c r="W358" s="1" t="s">
        <v>6</v>
      </c>
      <c r="Z358"/>
      <c r="AA358"/>
    </row>
    <row r="359" spans="2:27" x14ac:dyDescent="0.25">
      <c r="B359" s="1" t="s">
        <v>56</v>
      </c>
      <c r="O359" s="1">
        <v>5</v>
      </c>
      <c r="Q359" s="1">
        <v>0</v>
      </c>
      <c r="R359" s="1" t="s">
        <v>6</v>
      </c>
      <c r="S359" s="1">
        <v>71831358.650000006</v>
      </c>
      <c r="T359" s="1" t="s">
        <v>7</v>
      </c>
      <c r="U359" s="1">
        <v>71831358.650000006</v>
      </c>
      <c r="V359" s="1" t="s">
        <v>7</v>
      </c>
      <c r="W359" s="1" t="s">
        <v>7</v>
      </c>
      <c r="Z359"/>
      <c r="AA359"/>
    </row>
    <row r="360" spans="2:27" x14ac:dyDescent="0.25">
      <c r="B360" s="1" t="s">
        <v>57</v>
      </c>
      <c r="O360" s="1">
        <v>6</v>
      </c>
      <c r="Q360" s="1">
        <v>0</v>
      </c>
      <c r="R360" s="1" t="s">
        <v>6</v>
      </c>
      <c r="S360" s="1">
        <v>4476650.9800000004</v>
      </c>
      <c r="T360" s="1" t="s">
        <v>7</v>
      </c>
      <c r="U360" s="1">
        <v>4476650.9800000004</v>
      </c>
      <c r="V360" s="1" t="s">
        <v>7</v>
      </c>
      <c r="W360" s="1" t="s">
        <v>7</v>
      </c>
      <c r="Z360" s="12">
        <f>U355+U356+U357-U358</f>
        <v>849806.42000000016</v>
      </c>
      <c r="AA360"/>
    </row>
    <row r="361" spans="2:27" x14ac:dyDescent="0.25">
      <c r="Z361"/>
      <c r="AA361"/>
    </row>
    <row r="362" spans="2:27" x14ac:dyDescent="0.25">
      <c r="Z362" s="14">
        <f>Z349-Z360</f>
        <v>1081441.9200000002</v>
      </c>
      <c r="AA362"/>
    </row>
    <row r="363" spans="2:27" x14ac:dyDescent="0.25">
      <c r="Z363"/>
      <c r="AA363"/>
    </row>
    <row r="364" spans="2:27" x14ac:dyDescent="0.25">
      <c r="B364" s="1" t="s">
        <v>8</v>
      </c>
      <c r="O364" s="1" t="s">
        <v>0</v>
      </c>
      <c r="Q364" s="1" t="s">
        <v>1</v>
      </c>
      <c r="R364" s="1" t="s">
        <v>2</v>
      </c>
      <c r="S364" s="1" t="s">
        <v>3</v>
      </c>
      <c r="T364" s="1" t="s">
        <v>2</v>
      </c>
      <c r="U364" s="1" t="s">
        <v>4</v>
      </c>
      <c r="V364" s="1" t="s">
        <v>2</v>
      </c>
      <c r="W364" s="1" t="s">
        <v>2</v>
      </c>
      <c r="Z364"/>
      <c r="AA364"/>
    </row>
    <row r="365" spans="2:27" x14ac:dyDescent="0.25">
      <c r="B365" s="1" t="s">
        <v>9</v>
      </c>
      <c r="Q365" s="1" t="s">
        <v>5</v>
      </c>
      <c r="R365" s="1" t="s">
        <v>6</v>
      </c>
      <c r="S365" s="1" t="s">
        <v>5</v>
      </c>
      <c r="T365" s="1" t="s">
        <v>6</v>
      </c>
      <c r="U365" s="1" t="s">
        <v>5</v>
      </c>
      <c r="V365" s="1" t="s">
        <v>6</v>
      </c>
      <c r="W365" s="1" t="s">
        <v>6</v>
      </c>
      <c r="Z365"/>
      <c r="AA365"/>
    </row>
    <row r="366" spans="2:27" x14ac:dyDescent="0.25">
      <c r="B366" s="1" t="s">
        <v>58</v>
      </c>
      <c r="O366" s="1">
        <v>1</v>
      </c>
      <c r="Q366" s="1">
        <v>0</v>
      </c>
      <c r="R366" s="1" t="s">
        <v>6</v>
      </c>
      <c r="S366" s="1">
        <v>6204849.2300000004</v>
      </c>
      <c r="T366" s="1" t="s">
        <v>7</v>
      </c>
      <c r="U366" s="1">
        <v>6204849.2300000004</v>
      </c>
      <c r="V366" s="1" t="s">
        <v>7</v>
      </c>
      <c r="W366" s="1" t="s">
        <v>7</v>
      </c>
      <c r="Z366"/>
      <c r="AA366"/>
    </row>
    <row r="367" spans="2:27" x14ac:dyDescent="0.25">
      <c r="B367" s="1" t="s">
        <v>59</v>
      </c>
      <c r="O367" s="1">
        <v>2</v>
      </c>
      <c r="Q367" s="1">
        <v>0</v>
      </c>
      <c r="R367" s="1" t="s">
        <v>6</v>
      </c>
      <c r="S367" s="1">
        <v>28186.43</v>
      </c>
      <c r="T367" s="1" t="s">
        <v>7</v>
      </c>
      <c r="U367" s="1">
        <v>28186.43</v>
      </c>
      <c r="V367" s="1" t="s">
        <v>7</v>
      </c>
      <c r="W367" s="1" t="s">
        <v>7</v>
      </c>
      <c r="Z367"/>
      <c r="AA367"/>
    </row>
    <row r="368" spans="2:27" x14ac:dyDescent="0.25">
      <c r="B368" s="1" t="s">
        <v>60</v>
      </c>
      <c r="O368" s="1">
        <v>3</v>
      </c>
      <c r="Q368" s="1">
        <v>0</v>
      </c>
      <c r="R368" s="1" t="s">
        <v>6</v>
      </c>
      <c r="S368" s="1">
        <v>849319.81</v>
      </c>
      <c r="T368" s="1" t="s">
        <v>7</v>
      </c>
      <c r="U368" s="1">
        <v>849319.81</v>
      </c>
      <c r="V368" s="1" t="s">
        <v>7</v>
      </c>
      <c r="W368" s="1" t="s">
        <v>7</v>
      </c>
      <c r="Z368"/>
      <c r="AA368"/>
    </row>
    <row r="369" spans="2:27" x14ac:dyDescent="0.25">
      <c r="B369" s="1" t="s">
        <v>61</v>
      </c>
      <c r="O369" s="1">
        <v>4</v>
      </c>
      <c r="Q369" s="1">
        <v>82056.070000000007</v>
      </c>
      <c r="R369" s="1" t="s">
        <v>6</v>
      </c>
      <c r="S369" s="1">
        <v>0</v>
      </c>
      <c r="T369" s="1" t="s">
        <v>6</v>
      </c>
      <c r="U369" s="1">
        <v>82056.070000000007</v>
      </c>
      <c r="V369" s="1" t="s">
        <v>6</v>
      </c>
      <c r="W369" s="1" t="s">
        <v>6</v>
      </c>
      <c r="Z369"/>
      <c r="AA369"/>
    </row>
    <row r="370" spans="2:27" x14ac:dyDescent="0.25">
      <c r="B370" s="1" t="s">
        <v>62</v>
      </c>
      <c r="O370" s="1">
        <v>5</v>
      </c>
      <c r="Q370" s="1">
        <v>0</v>
      </c>
      <c r="R370" s="1" t="s">
        <v>6</v>
      </c>
      <c r="S370" s="1">
        <v>85324914.090000004</v>
      </c>
      <c r="T370" s="1" t="s">
        <v>7</v>
      </c>
      <c r="U370" s="1">
        <v>85324914.090000004</v>
      </c>
      <c r="V370" s="1" t="s">
        <v>7</v>
      </c>
      <c r="W370" s="1" t="s">
        <v>7</v>
      </c>
      <c r="Z370"/>
      <c r="AA370"/>
    </row>
    <row r="371" spans="2:27" x14ac:dyDescent="0.25">
      <c r="B371" s="1" t="s">
        <v>63</v>
      </c>
      <c r="O371" s="1">
        <v>6</v>
      </c>
      <c r="Q371" s="1">
        <v>0</v>
      </c>
      <c r="R371" s="1" t="s">
        <v>6</v>
      </c>
      <c r="S371" s="1">
        <v>14453400.560000001</v>
      </c>
      <c r="T371" s="1" t="s">
        <v>7</v>
      </c>
      <c r="U371" s="1">
        <v>14453400.560000001</v>
      </c>
      <c r="V371" s="1" t="s">
        <v>7</v>
      </c>
      <c r="W371" s="1" t="s">
        <v>7</v>
      </c>
      <c r="Z371" s="12">
        <f>U366+U367+U368-U369</f>
        <v>7000299.4000000004</v>
      </c>
      <c r="AA371"/>
    </row>
    <row r="372" spans="2:27" x14ac:dyDescent="0.25">
      <c r="Z372"/>
      <c r="AA372"/>
    </row>
    <row r="373" spans="2:27" x14ac:dyDescent="0.25">
      <c r="Z373" s="14">
        <f>Z360-Z371</f>
        <v>-6150492.9800000004</v>
      </c>
      <c r="AA373"/>
    </row>
    <row r="374" spans="2:27" x14ac:dyDescent="0.25">
      <c r="Z374"/>
      <c r="AA374"/>
    </row>
    <row r="375" spans="2:27" x14ac:dyDescent="0.25">
      <c r="B375" s="1" t="s">
        <v>8</v>
      </c>
      <c r="O375" s="1" t="s">
        <v>0</v>
      </c>
      <c r="Q375" s="1" t="s">
        <v>1</v>
      </c>
      <c r="R375" s="1" t="s">
        <v>2</v>
      </c>
      <c r="S375" s="1" t="s">
        <v>3</v>
      </c>
      <c r="T375" s="1" t="s">
        <v>2</v>
      </c>
      <c r="U375" s="1" t="s">
        <v>4</v>
      </c>
      <c r="V375" s="1" t="s">
        <v>2</v>
      </c>
      <c r="W375" s="1" t="s">
        <v>2</v>
      </c>
      <c r="Z375"/>
      <c r="AA375"/>
    </row>
    <row r="376" spans="2:27" x14ac:dyDescent="0.25">
      <c r="B376" s="1" t="s">
        <v>9</v>
      </c>
      <c r="Q376" s="1" t="s">
        <v>5</v>
      </c>
      <c r="R376" s="1" t="s">
        <v>6</v>
      </c>
      <c r="S376" s="1" t="s">
        <v>5</v>
      </c>
      <c r="T376" s="1" t="s">
        <v>6</v>
      </c>
      <c r="U376" s="1" t="s">
        <v>5</v>
      </c>
      <c r="V376" s="1" t="s">
        <v>6</v>
      </c>
      <c r="W376" s="1" t="s">
        <v>6</v>
      </c>
      <c r="Z376"/>
      <c r="AA376"/>
    </row>
    <row r="377" spans="2:27" x14ac:dyDescent="0.25">
      <c r="B377" s="1" t="s">
        <v>64</v>
      </c>
      <c r="O377" s="1">
        <v>1</v>
      </c>
      <c r="Q377" s="1">
        <v>0</v>
      </c>
      <c r="R377" s="1" t="s">
        <v>6</v>
      </c>
      <c r="S377" s="1">
        <v>299940</v>
      </c>
      <c r="T377" s="1" t="s">
        <v>7</v>
      </c>
      <c r="U377" s="1">
        <v>299940</v>
      </c>
      <c r="V377" s="1" t="s">
        <v>7</v>
      </c>
      <c r="W377" s="1" t="s">
        <v>7</v>
      </c>
      <c r="Z377"/>
      <c r="AA377"/>
    </row>
    <row r="378" spans="2:27" x14ac:dyDescent="0.25">
      <c r="B378" s="1" t="s">
        <v>65</v>
      </c>
      <c r="O378" s="1">
        <v>2</v>
      </c>
      <c r="Q378" s="1">
        <v>0</v>
      </c>
      <c r="R378" s="1" t="s">
        <v>6</v>
      </c>
      <c r="S378" s="1">
        <v>240831.86</v>
      </c>
      <c r="T378" s="1" t="s">
        <v>7</v>
      </c>
      <c r="U378" s="1">
        <v>240831.86</v>
      </c>
      <c r="V378" s="1" t="s">
        <v>7</v>
      </c>
      <c r="W378" s="1" t="s">
        <v>7</v>
      </c>
      <c r="Z378"/>
      <c r="AA378"/>
    </row>
    <row r="379" spans="2:27" x14ac:dyDescent="0.25">
      <c r="B379" s="1" t="s">
        <v>66</v>
      </c>
      <c r="O379" s="1">
        <v>3</v>
      </c>
      <c r="Q379" s="1">
        <v>0</v>
      </c>
      <c r="R379" s="1" t="s">
        <v>6</v>
      </c>
      <c r="S379" s="1">
        <v>3998842.18</v>
      </c>
      <c r="T379" s="1" t="s">
        <v>7</v>
      </c>
      <c r="U379" s="1">
        <v>3998842.18</v>
      </c>
      <c r="V379" s="1" t="s">
        <v>7</v>
      </c>
      <c r="W379" s="1" t="s">
        <v>7</v>
      </c>
      <c r="Z379"/>
      <c r="AA379"/>
    </row>
    <row r="380" spans="2:27" x14ac:dyDescent="0.25">
      <c r="B380" s="1" t="s">
        <v>67</v>
      </c>
      <c r="O380" s="1">
        <v>4</v>
      </c>
      <c r="Q380" s="1">
        <v>218258.82</v>
      </c>
      <c r="R380" s="1" t="s">
        <v>6</v>
      </c>
      <c r="S380" s="1">
        <v>0</v>
      </c>
      <c r="T380" s="1" t="s">
        <v>6</v>
      </c>
      <c r="U380" s="1">
        <v>218258.82</v>
      </c>
      <c r="V380" s="1" t="s">
        <v>6</v>
      </c>
      <c r="W380" s="1" t="s">
        <v>6</v>
      </c>
      <c r="Z380" s="12">
        <f>U377+U378+U379-U380</f>
        <v>4321355.22</v>
      </c>
      <c r="AA380"/>
    </row>
    <row r="381" spans="2:27" x14ac:dyDescent="0.25">
      <c r="Z381"/>
      <c r="AA381"/>
    </row>
    <row r="382" spans="2:27" x14ac:dyDescent="0.25">
      <c r="Z382" s="14">
        <f>Z371-Z380</f>
        <v>2678944.1800000006</v>
      </c>
      <c r="AA382"/>
    </row>
    <row r="383" spans="2:27" x14ac:dyDescent="0.25">
      <c r="Z383"/>
      <c r="AA383"/>
    </row>
    <row r="384" spans="2:27" x14ac:dyDescent="0.25">
      <c r="B384" s="1" t="s">
        <v>8</v>
      </c>
      <c r="O384" s="1" t="s">
        <v>0</v>
      </c>
      <c r="Q384" s="1" t="s">
        <v>1</v>
      </c>
      <c r="R384" s="1" t="s">
        <v>2</v>
      </c>
      <c r="S384" s="1" t="s">
        <v>3</v>
      </c>
      <c r="T384" s="1" t="s">
        <v>2</v>
      </c>
      <c r="U384" s="1" t="s">
        <v>4</v>
      </c>
      <c r="V384" s="1" t="s">
        <v>2</v>
      </c>
      <c r="W384" s="1" t="s">
        <v>2</v>
      </c>
      <c r="Z384"/>
      <c r="AA384"/>
    </row>
    <row r="385" spans="2:27" x14ac:dyDescent="0.25">
      <c r="B385" s="1" t="s">
        <v>9</v>
      </c>
      <c r="Q385" s="1" t="s">
        <v>5</v>
      </c>
      <c r="R385" s="1" t="s">
        <v>6</v>
      </c>
      <c r="S385" s="1" t="s">
        <v>5</v>
      </c>
      <c r="T385" s="1" t="s">
        <v>6</v>
      </c>
      <c r="U385" s="1" t="s">
        <v>5</v>
      </c>
      <c r="V385" s="1" t="s">
        <v>6</v>
      </c>
      <c r="W385" s="1" t="s">
        <v>6</v>
      </c>
      <c r="Z385"/>
      <c r="AA385"/>
    </row>
    <row r="386" spans="2:27" x14ac:dyDescent="0.25">
      <c r="B386" s="1" t="s">
        <v>68</v>
      </c>
      <c r="O386" s="1">
        <v>1</v>
      </c>
      <c r="Q386" s="1">
        <v>0</v>
      </c>
      <c r="R386" s="1" t="s">
        <v>6</v>
      </c>
      <c r="S386" s="1">
        <v>5447855.1600000001</v>
      </c>
      <c r="T386" s="1" t="s">
        <v>7</v>
      </c>
      <c r="U386" s="1">
        <v>5447855.1600000001</v>
      </c>
      <c r="V386" s="1" t="s">
        <v>7</v>
      </c>
      <c r="W386" s="1" t="s">
        <v>7</v>
      </c>
      <c r="Z386"/>
      <c r="AA386"/>
    </row>
    <row r="387" spans="2:27" x14ac:dyDescent="0.25">
      <c r="B387" s="1" t="s">
        <v>69</v>
      </c>
      <c r="O387" s="1">
        <v>2</v>
      </c>
      <c r="Q387" s="1">
        <v>0</v>
      </c>
      <c r="R387" s="1" t="s">
        <v>6</v>
      </c>
      <c r="S387" s="1">
        <v>82819826.620000005</v>
      </c>
      <c r="T387" s="1" t="s">
        <v>7</v>
      </c>
      <c r="U387" s="1">
        <v>82819826.620000005</v>
      </c>
      <c r="V387" s="1" t="s">
        <v>7</v>
      </c>
      <c r="W387" s="1" t="s">
        <v>7</v>
      </c>
      <c r="Z387"/>
      <c r="AA387"/>
    </row>
    <row r="388" spans="2:27" x14ac:dyDescent="0.25">
      <c r="B388" s="1" t="s">
        <v>70</v>
      </c>
      <c r="O388" s="1">
        <v>3</v>
      </c>
      <c r="Q388" s="1">
        <v>0</v>
      </c>
      <c r="R388" s="1" t="s">
        <v>6</v>
      </c>
      <c r="S388" s="1">
        <v>12014640.34</v>
      </c>
      <c r="T388" s="1" t="s">
        <v>7</v>
      </c>
      <c r="U388" s="1">
        <v>12014640.34</v>
      </c>
      <c r="V388" s="1" t="s">
        <v>7</v>
      </c>
      <c r="W388" s="1" t="s">
        <v>7</v>
      </c>
      <c r="Z388"/>
      <c r="AA388"/>
    </row>
    <row r="389" spans="2:27" x14ac:dyDescent="0.25">
      <c r="B389" s="1" t="s">
        <v>71</v>
      </c>
      <c r="O389" s="1">
        <v>4</v>
      </c>
      <c r="Q389" s="1">
        <v>0</v>
      </c>
      <c r="R389" s="1" t="s">
        <v>6</v>
      </c>
      <c r="S389" s="1">
        <v>5521676.8499999996</v>
      </c>
      <c r="T389" s="1" t="s">
        <v>7</v>
      </c>
      <c r="U389" s="1">
        <v>5521676.8499999996</v>
      </c>
      <c r="V389" s="1" t="s">
        <v>7</v>
      </c>
      <c r="W389" s="1" t="s">
        <v>7</v>
      </c>
      <c r="Z389" s="12">
        <f>U386</f>
        <v>5447855.1600000001</v>
      </c>
      <c r="AA389"/>
    </row>
    <row r="390" spans="2:27" x14ac:dyDescent="0.25">
      <c r="Z390"/>
      <c r="AA390"/>
    </row>
    <row r="391" spans="2:27" x14ac:dyDescent="0.25">
      <c r="Z391" s="15">
        <f>Z380-Z389</f>
        <v>-1126499.9400000004</v>
      </c>
      <c r="AA391" s="12" t="e">
        <f>Z391+#REF!</f>
        <v>#REF!</v>
      </c>
    </row>
    <row r="392" spans="2:27" x14ac:dyDescent="0.25">
      <c r="Z392"/>
      <c r="AA392"/>
    </row>
    <row r="393" spans="2:27" x14ac:dyDescent="0.25">
      <c r="Z393"/>
      <c r="AA393"/>
    </row>
    <row r="394" spans="2:27" x14ac:dyDescent="0.25">
      <c r="B394" s="1" t="s">
        <v>8</v>
      </c>
      <c r="O394" s="1" t="s">
        <v>0</v>
      </c>
      <c r="Q394" s="1" t="s">
        <v>1</v>
      </c>
      <c r="R394" s="1" t="s">
        <v>2</v>
      </c>
      <c r="S394" s="1" t="s">
        <v>3</v>
      </c>
      <c r="T394" s="1" t="s">
        <v>2</v>
      </c>
      <c r="U394" s="1" t="s">
        <v>4</v>
      </c>
      <c r="V394" s="1" t="s">
        <v>2</v>
      </c>
      <c r="W394" s="1" t="s">
        <v>2</v>
      </c>
      <c r="Z394"/>
      <c r="AA394"/>
    </row>
    <row r="395" spans="2:27" x14ac:dyDescent="0.25">
      <c r="B395" s="1" t="s">
        <v>9</v>
      </c>
      <c r="Q395" s="1" t="s">
        <v>5</v>
      </c>
      <c r="R395" s="1" t="s">
        <v>6</v>
      </c>
      <c r="S395" s="1" t="s">
        <v>5</v>
      </c>
      <c r="T395" s="1" t="s">
        <v>6</v>
      </c>
      <c r="U395" s="1" t="s">
        <v>5</v>
      </c>
      <c r="V395" s="1" t="s">
        <v>6</v>
      </c>
      <c r="W395" s="1" t="s">
        <v>6</v>
      </c>
      <c r="Z395"/>
      <c r="AA395"/>
    </row>
    <row r="396" spans="2:27" x14ac:dyDescent="0.25">
      <c r="B396" s="1" t="s">
        <v>72</v>
      </c>
      <c r="O396" s="1">
        <v>1</v>
      </c>
      <c r="Q396" s="1">
        <v>0</v>
      </c>
      <c r="R396" s="1" t="s">
        <v>6</v>
      </c>
      <c r="S396" s="1">
        <v>276229.05</v>
      </c>
      <c r="T396" s="1" t="s">
        <v>7</v>
      </c>
      <c r="U396" s="1">
        <v>276229.05</v>
      </c>
      <c r="V396" s="1" t="s">
        <v>7</v>
      </c>
      <c r="W396" s="1" t="s">
        <v>7</v>
      </c>
      <c r="Z396"/>
      <c r="AA396"/>
    </row>
    <row r="397" spans="2:27" x14ac:dyDescent="0.25">
      <c r="B397" s="1" t="s">
        <v>73</v>
      </c>
      <c r="O397" s="1">
        <v>2</v>
      </c>
      <c r="Q397" s="1">
        <v>0</v>
      </c>
      <c r="R397" s="1" t="s">
        <v>6</v>
      </c>
      <c r="S397" s="1">
        <v>3376386.79</v>
      </c>
      <c r="T397" s="1" t="s">
        <v>7</v>
      </c>
      <c r="U397" s="1">
        <v>3376386.79</v>
      </c>
      <c r="V397" s="1" t="s">
        <v>7</v>
      </c>
      <c r="W397" s="1" t="s">
        <v>7</v>
      </c>
      <c r="Z397"/>
      <c r="AA397"/>
    </row>
    <row r="398" spans="2:27" x14ac:dyDescent="0.25">
      <c r="B398" s="1" t="s">
        <v>74</v>
      </c>
      <c r="O398" s="1">
        <v>3</v>
      </c>
      <c r="Q398" s="1">
        <v>0</v>
      </c>
      <c r="R398" s="1" t="s">
        <v>6</v>
      </c>
      <c r="S398" s="1">
        <v>33524.39</v>
      </c>
      <c r="T398" s="1" t="s">
        <v>7</v>
      </c>
      <c r="U398" s="1">
        <v>33524.39</v>
      </c>
      <c r="V398" s="1" t="s">
        <v>7</v>
      </c>
      <c r="W398" s="1" t="s">
        <v>7</v>
      </c>
      <c r="Z398"/>
      <c r="AA398"/>
    </row>
    <row r="399" spans="2:27" x14ac:dyDescent="0.25">
      <c r="B399" s="1" t="s">
        <v>75</v>
      </c>
      <c r="O399" s="1">
        <v>4</v>
      </c>
      <c r="Q399" s="1">
        <v>272784.84000000003</v>
      </c>
      <c r="R399" s="1" t="s">
        <v>6</v>
      </c>
      <c r="S399" s="1">
        <v>0</v>
      </c>
      <c r="T399" s="1" t="s">
        <v>6</v>
      </c>
      <c r="U399" s="1">
        <v>272784.84000000003</v>
      </c>
      <c r="V399" s="1" t="s">
        <v>6</v>
      </c>
      <c r="W399" s="1" t="s">
        <v>6</v>
      </c>
      <c r="Z399"/>
      <c r="AA399"/>
    </row>
    <row r="400" spans="2:27" x14ac:dyDescent="0.25">
      <c r="B400" s="1" t="s">
        <v>76</v>
      </c>
      <c r="O400" s="1">
        <v>5</v>
      </c>
      <c r="Q400" s="1">
        <v>0</v>
      </c>
      <c r="R400" s="1" t="s">
        <v>6</v>
      </c>
      <c r="S400" s="1">
        <v>85056814.709999993</v>
      </c>
      <c r="T400" s="1" t="s">
        <v>7</v>
      </c>
      <c r="U400" s="1">
        <v>85056814.709999993</v>
      </c>
      <c r="V400" s="1" t="s">
        <v>7</v>
      </c>
      <c r="W400" s="1" t="s">
        <v>7</v>
      </c>
      <c r="Z400"/>
      <c r="AA400"/>
    </row>
    <row r="401" spans="2:27" x14ac:dyDescent="0.25">
      <c r="B401" s="1" t="s">
        <v>77</v>
      </c>
      <c r="O401" s="1">
        <v>6</v>
      </c>
      <c r="Q401" s="1">
        <v>0</v>
      </c>
      <c r="R401" s="1" t="s">
        <v>6</v>
      </c>
      <c r="S401" s="1">
        <v>12280226.289999999</v>
      </c>
      <c r="T401" s="1" t="s">
        <v>7</v>
      </c>
      <c r="U401" s="1">
        <v>12280226.289999999</v>
      </c>
      <c r="V401" s="1" t="s">
        <v>7</v>
      </c>
      <c r="W401" s="1" t="s">
        <v>7</v>
      </c>
      <c r="Z401"/>
      <c r="AA401"/>
    </row>
    <row r="402" spans="2:27" x14ac:dyDescent="0.25">
      <c r="B402" s="1" t="s">
        <v>78</v>
      </c>
      <c r="O402" s="1">
        <v>7</v>
      </c>
      <c r="Q402" s="1">
        <v>0</v>
      </c>
      <c r="R402" s="1" t="s">
        <v>6</v>
      </c>
      <c r="S402" s="1">
        <v>4274332.5</v>
      </c>
      <c r="T402" s="1" t="s">
        <v>7</v>
      </c>
      <c r="U402" s="1">
        <v>4274332.5</v>
      </c>
      <c r="V402" s="1" t="s">
        <v>7</v>
      </c>
      <c r="W402" s="1" t="s">
        <v>7</v>
      </c>
      <c r="Z402" s="12">
        <f>U396+U397+U398-U399</f>
        <v>3413355.39</v>
      </c>
      <c r="AA402"/>
    </row>
    <row r="403" spans="2:27" x14ac:dyDescent="0.25">
      <c r="Z403"/>
      <c r="AA403"/>
    </row>
    <row r="404" spans="2:27" x14ac:dyDescent="0.25">
      <c r="Z404" s="14">
        <f>Z389-Z402</f>
        <v>2034499.77</v>
      </c>
      <c r="AA404"/>
    </row>
    <row r="405" spans="2:27" x14ac:dyDescent="0.25">
      <c r="Z405"/>
      <c r="AA405"/>
    </row>
    <row r="406" spans="2:27" x14ac:dyDescent="0.25">
      <c r="B406" s="1" t="s">
        <v>8</v>
      </c>
      <c r="O406" s="1" t="s">
        <v>0</v>
      </c>
      <c r="Q406" s="1" t="s">
        <v>1</v>
      </c>
      <c r="R406" s="1" t="s">
        <v>2</v>
      </c>
      <c r="S406" s="1" t="s">
        <v>3</v>
      </c>
      <c r="T406" s="1" t="s">
        <v>2</v>
      </c>
      <c r="U406" s="1" t="s">
        <v>4</v>
      </c>
      <c r="V406" s="1" t="s">
        <v>2</v>
      </c>
      <c r="W406" s="1" t="s">
        <v>2</v>
      </c>
      <c r="Z406"/>
      <c r="AA406"/>
    </row>
    <row r="407" spans="2:27" x14ac:dyDescent="0.25">
      <c r="B407" s="1" t="s">
        <v>9</v>
      </c>
      <c r="Q407" s="1" t="s">
        <v>5</v>
      </c>
      <c r="R407" s="1" t="s">
        <v>6</v>
      </c>
      <c r="S407" s="1" t="s">
        <v>5</v>
      </c>
      <c r="T407" s="1" t="s">
        <v>6</v>
      </c>
      <c r="U407" s="1" t="s">
        <v>5</v>
      </c>
      <c r="V407" s="1" t="s">
        <v>6</v>
      </c>
      <c r="W407" s="1" t="s">
        <v>6</v>
      </c>
      <c r="Z407"/>
      <c r="AA407"/>
    </row>
    <row r="408" spans="2:27" x14ac:dyDescent="0.25">
      <c r="B408" s="1" t="s">
        <v>79</v>
      </c>
      <c r="O408" s="1">
        <v>1</v>
      </c>
      <c r="Q408" s="1">
        <v>0</v>
      </c>
      <c r="R408" s="1" t="s">
        <v>6</v>
      </c>
      <c r="S408" s="1">
        <v>10000</v>
      </c>
      <c r="T408" s="1" t="s">
        <v>7</v>
      </c>
      <c r="U408" s="1">
        <v>10000</v>
      </c>
      <c r="V408" s="1" t="s">
        <v>7</v>
      </c>
      <c r="W408" s="1" t="s">
        <v>7</v>
      </c>
      <c r="Z408"/>
      <c r="AA408"/>
    </row>
    <row r="409" spans="2:27" x14ac:dyDescent="0.25">
      <c r="B409" s="1" t="s">
        <v>80</v>
      </c>
      <c r="O409" s="1">
        <v>2</v>
      </c>
      <c r="Q409" s="1">
        <v>0</v>
      </c>
      <c r="R409" s="1" t="s">
        <v>6</v>
      </c>
      <c r="S409" s="1">
        <v>17162.96</v>
      </c>
      <c r="T409" s="1" t="s">
        <v>7</v>
      </c>
      <c r="U409" s="1">
        <v>17162.96</v>
      </c>
      <c r="V409" s="1" t="s">
        <v>7</v>
      </c>
      <c r="W409" s="1" t="s">
        <v>7</v>
      </c>
      <c r="Z409"/>
      <c r="AA409"/>
    </row>
    <row r="410" spans="2:27" x14ac:dyDescent="0.25">
      <c r="B410" s="1" t="s">
        <v>81</v>
      </c>
      <c r="O410" s="1">
        <v>3</v>
      </c>
      <c r="Q410" s="1">
        <v>0</v>
      </c>
      <c r="R410" s="1" t="s">
        <v>6</v>
      </c>
      <c r="S410" s="1">
        <v>390990.13</v>
      </c>
      <c r="T410" s="1" t="s">
        <v>7</v>
      </c>
      <c r="U410" s="1">
        <v>390990.13</v>
      </c>
      <c r="V410" s="1" t="s">
        <v>7</v>
      </c>
      <c r="W410" s="1" t="s">
        <v>7</v>
      </c>
      <c r="AA410"/>
    </row>
    <row r="411" spans="2:27" x14ac:dyDescent="0.25">
      <c r="B411" s="1" t="s">
        <v>82</v>
      </c>
      <c r="O411" s="1">
        <v>4</v>
      </c>
      <c r="Q411" s="1">
        <v>85512.45</v>
      </c>
      <c r="R411" s="1" t="s">
        <v>6</v>
      </c>
      <c r="S411" s="1">
        <v>0</v>
      </c>
      <c r="T411" s="1" t="s">
        <v>6</v>
      </c>
      <c r="U411" s="1">
        <v>85512.45</v>
      </c>
      <c r="V411" s="1" t="s">
        <v>6</v>
      </c>
      <c r="W411" s="1" t="s">
        <v>6</v>
      </c>
      <c r="Z411" s="1">
        <f>U408+U409+U410-U411</f>
        <v>332640.64000000001</v>
      </c>
      <c r="AA411"/>
    </row>
    <row r="412" spans="2:27" x14ac:dyDescent="0.25">
      <c r="AA412"/>
    </row>
    <row r="413" spans="2:27" x14ac:dyDescent="0.25">
      <c r="Z413" s="9">
        <f>Z402-Z411</f>
        <v>3080714.75</v>
      </c>
      <c r="AA413"/>
    </row>
    <row r="414" spans="2:27" x14ac:dyDescent="0.25">
      <c r="AA414"/>
    </row>
    <row r="415" spans="2:27" x14ac:dyDescent="0.25">
      <c r="B415" s="1" t="s">
        <v>83</v>
      </c>
      <c r="O415" s="1" t="s">
        <v>0</v>
      </c>
      <c r="Q415" s="1" t="s">
        <v>1</v>
      </c>
      <c r="R415" s="1" t="s">
        <v>2</v>
      </c>
      <c r="S415" s="1" t="s">
        <v>3</v>
      </c>
      <c r="T415" s="1" t="s">
        <v>2</v>
      </c>
      <c r="U415" s="1" t="s">
        <v>4</v>
      </c>
      <c r="V415" s="1" t="s">
        <v>2</v>
      </c>
      <c r="W415" s="1" t="s">
        <v>2</v>
      </c>
      <c r="AA415"/>
    </row>
    <row r="416" spans="2:27" x14ac:dyDescent="0.25">
      <c r="B416" s="1" t="s">
        <v>84</v>
      </c>
      <c r="Q416" s="1" t="s">
        <v>5</v>
      </c>
      <c r="R416" s="1" t="s">
        <v>6</v>
      </c>
      <c r="S416" s="1" t="s">
        <v>5</v>
      </c>
      <c r="T416" s="1" t="s">
        <v>6</v>
      </c>
      <c r="U416" s="1" t="s">
        <v>5</v>
      </c>
      <c r="V416" s="1" t="s">
        <v>6</v>
      </c>
      <c r="W416" s="1" t="s">
        <v>6</v>
      </c>
      <c r="AA416"/>
    </row>
    <row r="417" spans="2:27" x14ac:dyDescent="0.25">
      <c r="B417" s="1" t="s">
        <v>85</v>
      </c>
      <c r="O417" s="1">
        <v>1</v>
      </c>
      <c r="Q417" s="1">
        <v>0</v>
      </c>
      <c r="R417" s="1" t="s">
        <v>6</v>
      </c>
      <c r="S417" s="1">
        <v>7483.12</v>
      </c>
      <c r="T417" s="1" t="s">
        <v>7</v>
      </c>
      <c r="U417" s="1">
        <v>7483.12</v>
      </c>
      <c r="V417" s="1" t="s">
        <v>7</v>
      </c>
      <c r="W417" s="1" t="s">
        <v>7</v>
      </c>
      <c r="AA417"/>
    </row>
    <row r="418" spans="2:27" x14ac:dyDescent="0.25">
      <c r="B418" s="1" t="s">
        <v>86</v>
      </c>
      <c r="O418" s="1">
        <v>2</v>
      </c>
      <c r="Q418" s="1">
        <v>0</v>
      </c>
      <c r="R418" s="1" t="s">
        <v>6</v>
      </c>
      <c r="S418" s="1">
        <v>61029.03</v>
      </c>
      <c r="T418" s="1" t="s">
        <v>7</v>
      </c>
      <c r="U418" s="1">
        <v>61029.03</v>
      </c>
      <c r="V418" s="1" t="s">
        <v>7</v>
      </c>
      <c r="W418" s="1" t="s">
        <v>7</v>
      </c>
      <c r="AA418"/>
    </row>
    <row r="419" spans="2:27" x14ac:dyDescent="0.25">
      <c r="B419" s="1" t="s">
        <v>87</v>
      </c>
      <c r="O419" s="1">
        <v>3</v>
      </c>
      <c r="Q419" s="1">
        <v>24846.42</v>
      </c>
      <c r="R419" s="1" t="s">
        <v>6</v>
      </c>
      <c r="S419" s="1">
        <v>0</v>
      </c>
      <c r="T419" s="1" t="s">
        <v>6</v>
      </c>
      <c r="U419" s="1">
        <v>24846.42</v>
      </c>
      <c r="V419" s="1" t="s">
        <v>6</v>
      </c>
      <c r="W419" s="1" t="s">
        <v>6</v>
      </c>
      <c r="Z419" s="1">
        <f>U417+U418-U419</f>
        <v>43665.729999999996</v>
      </c>
      <c r="AA419"/>
    </row>
    <row r="420" spans="2:27" x14ac:dyDescent="0.25">
      <c r="AA420"/>
    </row>
    <row r="421" spans="2:27" x14ac:dyDescent="0.25">
      <c r="Z421" s="9">
        <f>Z411-Z419</f>
        <v>288974.91000000003</v>
      </c>
      <c r="AA421"/>
    </row>
    <row r="422" spans="2:27" x14ac:dyDescent="0.25">
      <c r="AA422"/>
    </row>
    <row r="423" spans="2:27" x14ac:dyDescent="0.25">
      <c r="B423" s="1" t="s">
        <v>8</v>
      </c>
      <c r="O423" s="1" t="s">
        <v>0</v>
      </c>
      <c r="Q423" s="1" t="s">
        <v>1</v>
      </c>
      <c r="R423" s="1" t="s">
        <v>2</v>
      </c>
      <c r="S423" s="1" t="s">
        <v>3</v>
      </c>
      <c r="T423" s="1" t="s">
        <v>2</v>
      </c>
      <c r="U423" s="1" t="s">
        <v>4</v>
      </c>
      <c r="V423" s="1" t="s">
        <v>2</v>
      </c>
      <c r="W423" s="1" t="s">
        <v>2</v>
      </c>
      <c r="AA423"/>
    </row>
    <row r="424" spans="2:27" x14ac:dyDescent="0.25">
      <c r="B424" s="1" t="s">
        <v>9</v>
      </c>
      <c r="Q424" s="1" t="s">
        <v>5</v>
      </c>
      <c r="R424" s="1" t="s">
        <v>6</v>
      </c>
      <c r="S424" s="1" t="s">
        <v>5</v>
      </c>
      <c r="T424" s="1" t="s">
        <v>6</v>
      </c>
      <c r="U424" s="1" t="s">
        <v>5</v>
      </c>
      <c r="V424" s="1" t="s">
        <v>6</v>
      </c>
      <c r="W424" s="1" t="s">
        <v>6</v>
      </c>
      <c r="AA424"/>
    </row>
    <row r="425" spans="2:27" x14ac:dyDescent="0.25">
      <c r="B425" s="1" t="s">
        <v>88</v>
      </c>
      <c r="O425" s="1">
        <v>1</v>
      </c>
      <c r="Q425" s="1">
        <v>0</v>
      </c>
      <c r="R425" s="1" t="s">
        <v>6</v>
      </c>
      <c r="S425" s="1">
        <v>33923.49</v>
      </c>
      <c r="T425" s="1" t="s">
        <v>7</v>
      </c>
      <c r="U425" s="1">
        <v>33923.49</v>
      </c>
      <c r="V425" s="1" t="s">
        <v>7</v>
      </c>
      <c r="W425" s="1" t="s">
        <v>7</v>
      </c>
      <c r="AA425"/>
    </row>
    <row r="426" spans="2:27" x14ac:dyDescent="0.25">
      <c r="B426" s="1" t="s">
        <v>89</v>
      </c>
      <c r="O426" s="1">
        <v>2</v>
      </c>
      <c r="Q426" s="1">
        <v>0</v>
      </c>
      <c r="R426" s="1" t="s">
        <v>6</v>
      </c>
      <c r="S426" s="1">
        <v>1239579.95</v>
      </c>
      <c r="T426" s="1" t="s">
        <v>6</v>
      </c>
      <c r="U426" s="1">
        <v>1239579.95</v>
      </c>
      <c r="V426" s="1" t="s">
        <v>6</v>
      </c>
      <c r="W426" s="1" t="s">
        <v>6</v>
      </c>
      <c r="AA426"/>
    </row>
    <row r="427" spans="2:27" x14ac:dyDescent="0.25">
      <c r="B427" s="1" t="s">
        <v>90</v>
      </c>
      <c r="O427" s="1">
        <v>3</v>
      </c>
      <c r="Q427" s="1">
        <v>584710.30000000005</v>
      </c>
      <c r="R427" s="1" t="s">
        <v>6</v>
      </c>
      <c r="S427" s="1">
        <v>0</v>
      </c>
      <c r="T427" s="1" t="s">
        <v>6</v>
      </c>
      <c r="U427" s="1">
        <v>584710.30000000005</v>
      </c>
      <c r="V427" s="1" t="s">
        <v>6</v>
      </c>
      <c r="W427" s="1" t="s">
        <v>6</v>
      </c>
      <c r="Z427" s="1">
        <f>U425-U426-U427</f>
        <v>-1790366.76</v>
      </c>
      <c r="AA427"/>
    </row>
    <row r="428" spans="2:27" x14ac:dyDescent="0.25">
      <c r="AA428"/>
    </row>
    <row r="429" spans="2:27" x14ac:dyDescent="0.25">
      <c r="Z429" s="9">
        <f>Z419-Z427</f>
        <v>1834032.49</v>
      </c>
      <c r="AA429"/>
    </row>
    <row r="430" spans="2:27" x14ac:dyDescent="0.25">
      <c r="AA430"/>
    </row>
    <row r="431" spans="2:27" x14ac:dyDescent="0.25">
      <c r="B431" s="1" t="s">
        <v>83</v>
      </c>
      <c r="O431" s="1" t="s">
        <v>0</v>
      </c>
      <c r="Q431" s="1" t="s">
        <v>1</v>
      </c>
      <c r="R431" s="1" t="s">
        <v>2</v>
      </c>
      <c r="S431" s="1" t="s">
        <v>3</v>
      </c>
      <c r="T431" s="1" t="s">
        <v>2</v>
      </c>
      <c r="U431" s="1" t="s">
        <v>4</v>
      </c>
      <c r="V431" s="1" t="s">
        <v>2</v>
      </c>
      <c r="W431" s="1" t="s">
        <v>2</v>
      </c>
      <c r="AA431"/>
    </row>
    <row r="432" spans="2:27" x14ac:dyDescent="0.25">
      <c r="B432" s="1" t="s">
        <v>84</v>
      </c>
      <c r="Q432" s="1" t="s">
        <v>5</v>
      </c>
      <c r="R432" s="1" t="s">
        <v>6</v>
      </c>
      <c r="S432" s="1" t="s">
        <v>5</v>
      </c>
      <c r="T432" s="1" t="s">
        <v>6</v>
      </c>
      <c r="U432" s="1" t="s">
        <v>5</v>
      </c>
      <c r="V432" s="1" t="s">
        <v>6</v>
      </c>
      <c r="W432" s="1" t="s">
        <v>6</v>
      </c>
      <c r="AA432"/>
    </row>
    <row r="433" spans="2:28" x14ac:dyDescent="0.25">
      <c r="B433" s="1" t="s">
        <v>91</v>
      </c>
      <c r="O433" s="1">
        <v>1</v>
      </c>
      <c r="Q433" s="1">
        <v>0</v>
      </c>
      <c r="R433" s="1" t="s">
        <v>6</v>
      </c>
      <c r="S433" s="1">
        <v>1919975.04</v>
      </c>
      <c r="T433" s="1" t="s">
        <v>7</v>
      </c>
      <c r="U433" s="1">
        <v>1919975.04</v>
      </c>
      <c r="V433" s="1" t="s">
        <v>7</v>
      </c>
      <c r="W433" s="1" t="s">
        <v>7</v>
      </c>
      <c r="Z433" s="1">
        <f>U433</f>
        <v>1919975.04</v>
      </c>
      <c r="AA433"/>
    </row>
    <row r="434" spans="2:28" x14ac:dyDescent="0.25">
      <c r="AA434"/>
    </row>
    <row r="435" spans="2:28" x14ac:dyDescent="0.25">
      <c r="Z435" s="9">
        <f>Z427-Z433</f>
        <v>-3710341.8</v>
      </c>
      <c r="AA435">
        <v>2890472.5099999905</v>
      </c>
      <c r="AB435" s="12">
        <f>Z435+AA435</f>
        <v>-819869.29000000935</v>
      </c>
    </row>
    <row r="436" spans="2:28" x14ac:dyDescent="0.25">
      <c r="AA436"/>
    </row>
    <row r="437" spans="2:28" x14ac:dyDescent="0.25">
      <c r="O437" s="1" t="s">
        <v>0</v>
      </c>
      <c r="Q437" s="1" t="s">
        <v>1</v>
      </c>
      <c r="R437" s="1" t="s">
        <v>2</v>
      </c>
      <c r="S437" s="1" t="s">
        <v>3</v>
      </c>
      <c r="T437" s="1" t="s">
        <v>2</v>
      </c>
      <c r="U437" s="1" t="s">
        <v>4</v>
      </c>
      <c r="V437" s="1" t="s">
        <v>2</v>
      </c>
      <c r="W437" s="1" t="s">
        <v>2</v>
      </c>
      <c r="AA437"/>
    </row>
    <row r="438" spans="2:28" x14ac:dyDescent="0.25">
      <c r="Q438" s="1" t="s">
        <v>5</v>
      </c>
      <c r="R438" s="1" t="s">
        <v>6</v>
      </c>
      <c r="S438" s="1" t="s">
        <v>5</v>
      </c>
      <c r="T438" s="1" t="s">
        <v>6</v>
      </c>
      <c r="U438" s="1" t="s">
        <v>5</v>
      </c>
      <c r="V438" s="1" t="s">
        <v>6</v>
      </c>
      <c r="W438" s="1" t="s">
        <v>6</v>
      </c>
      <c r="AA438"/>
    </row>
    <row r="439" spans="2:28" x14ac:dyDescent="0.25">
      <c r="O439" s="1">
        <v>1</v>
      </c>
      <c r="Q439" s="1">
        <v>0</v>
      </c>
      <c r="R439" s="1" t="s">
        <v>6</v>
      </c>
      <c r="S439" s="1">
        <v>1568172.91</v>
      </c>
      <c r="T439" s="1" t="s">
        <v>7</v>
      </c>
      <c r="U439" s="1">
        <v>1568172.91</v>
      </c>
      <c r="V439" s="1" t="s">
        <v>7</v>
      </c>
      <c r="W439" s="1" t="s">
        <v>7</v>
      </c>
      <c r="AA439"/>
    </row>
    <row r="440" spans="2:28" x14ac:dyDescent="0.25">
      <c r="O440" s="1">
        <v>2</v>
      </c>
      <c r="Q440" s="1">
        <v>0</v>
      </c>
      <c r="R440" s="1" t="s">
        <v>6</v>
      </c>
      <c r="S440" s="1">
        <v>24375.52</v>
      </c>
      <c r="T440" s="1" t="s">
        <v>7</v>
      </c>
      <c r="U440" s="1">
        <v>24375.52</v>
      </c>
      <c r="V440" s="1" t="s">
        <v>7</v>
      </c>
      <c r="W440" s="1" t="s">
        <v>7</v>
      </c>
      <c r="AA440"/>
    </row>
    <row r="441" spans="2:28" x14ac:dyDescent="0.25">
      <c r="O441" s="1">
        <v>3</v>
      </c>
      <c r="Q441" s="1">
        <v>0</v>
      </c>
      <c r="R441" s="1" t="s">
        <v>6</v>
      </c>
      <c r="S441" s="1">
        <v>88959.37</v>
      </c>
      <c r="T441" s="1" t="s">
        <v>7</v>
      </c>
      <c r="U441" s="1">
        <v>88959.37</v>
      </c>
      <c r="V441" s="1" t="s">
        <v>7</v>
      </c>
      <c r="W441" s="1" t="s">
        <v>7</v>
      </c>
      <c r="AA441"/>
    </row>
    <row r="442" spans="2:28" x14ac:dyDescent="0.25">
      <c r="O442" s="1">
        <v>4</v>
      </c>
      <c r="Q442" s="1">
        <v>89577.99</v>
      </c>
      <c r="R442" s="1" t="s">
        <v>6</v>
      </c>
      <c r="S442" s="1">
        <v>0</v>
      </c>
      <c r="T442" s="1" t="s">
        <v>6</v>
      </c>
      <c r="U442" s="1">
        <v>89577.99</v>
      </c>
      <c r="V442" s="1" t="s">
        <v>6</v>
      </c>
      <c r="W442" s="1" t="s">
        <v>6</v>
      </c>
      <c r="Z442" s="1">
        <f>U439+U440+U441-U442</f>
        <v>1591929.8099999998</v>
      </c>
      <c r="AA442"/>
    </row>
    <row r="443" spans="2:28" x14ac:dyDescent="0.25">
      <c r="AA443"/>
    </row>
    <row r="444" spans="2:28" x14ac:dyDescent="0.25">
      <c r="Z444" s="9">
        <f>Z433-Z442</f>
        <v>328045.23000000021</v>
      </c>
      <c r="AA444"/>
    </row>
    <row r="445" spans="2:28" x14ac:dyDescent="0.25">
      <c r="AA445"/>
    </row>
    <row r="446" spans="2:28" x14ac:dyDescent="0.25">
      <c r="B446" s="1" t="s">
        <v>83</v>
      </c>
      <c r="O446" s="1" t="s">
        <v>0</v>
      </c>
      <c r="Q446" s="1" t="s">
        <v>1</v>
      </c>
      <c r="R446" s="1" t="s">
        <v>2</v>
      </c>
      <c r="S446" s="1" t="s">
        <v>3</v>
      </c>
      <c r="T446" s="1" t="s">
        <v>2</v>
      </c>
      <c r="U446" s="1" t="s">
        <v>4</v>
      </c>
      <c r="V446" s="1" t="s">
        <v>2</v>
      </c>
      <c r="W446" s="1" t="s">
        <v>2</v>
      </c>
      <c r="AA446"/>
    </row>
    <row r="447" spans="2:28" x14ac:dyDescent="0.25">
      <c r="B447" s="1" t="s">
        <v>84</v>
      </c>
      <c r="Q447" s="1" t="s">
        <v>5</v>
      </c>
      <c r="R447" s="1" t="s">
        <v>6</v>
      </c>
      <c r="S447" s="1" t="s">
        <v>5</v>
      </c>
      <c r="T447" s="1" t="s">
        <v>6</v>
      </c>
      <c r="U447" s="1" t="s">
        <v>5</v>
      </c>
      <c r="V447" s="1" t="s">
        <v>6</v>
      </c>
      <c r="W447" s="1" t="s">
        <v>6</v>
      </c>
      <c r="AA447"/>
    </row>
    <row r="448" spans="2:28" x14ac:dyDescent="0.25">
      <c r="B448" s="1" t="s">
        <v>92</v>
      </c>
      <c r="O448" s="1">
        <v>1</v>
      </c>
      <c r="Q448" s="1">
        <v>0</v>
      </c>
      <c r="R448" s="1" t="s">
        <v>6</v>
      </c>
      <c r="S448" s="1">
        <v>59964.76</v>
      </c>
      <c r="T448" s="1" t="s">
        <v>7</v>
      </c>
      <c r="U448" s="1">
        <v>59964.76</v>
      </c>
      <c r="V448" s="1" t="s">
        <v>7</v>
      </c>
      <c r="W448" s="1" t="s">
        <v>7</v>
      </c>
      <c r="AA448"/>
    </row>
    <row r="449" spans="2:27" x14ac:dyDescent="0.25">
      <c r="B449" s="1" t="s">
        <v>93</v>
      </c>
      <c r="O449" s="1">
        <v>2</v>
      </c>
      <c r="Q449" s="1">
        <v>0</v>
      </c>
      <c r="R449" s="1" t="s">
        <v>6</v>
      </c>
      <c r="S449" s="1">
        <v>299.31</v>
      </c>
      <c r="T449" s="1" t="s">
        <v>7</v>
      </c>
      <c r="U449" s="1">
        <v>299.31</v>
      </c>
      <c r="V449" s="1" t="s">
        <v>7</v>
      </c>
      <c r="W449" s="1" t="s">
        <v>7</v>
      </c>
      <c r="AA449"/>
    </row>
    <row r="450" spans="2:27" x14ac:dyDescent="0.25">
      <c r="B450" s="1" t="s">
        <v>94</v>
      </c>
      <c r="O450" s="1">
        <v>3</v>
      </c>
      <c r="Q450" s="1">
        <v>211191.51</v>
      </c>
      <c r="R450" s="1" t="s">
        <v>6</v>
      </c>
      <c r="S450" s="1">
        <v>0</v>
      </c>
      <c r="T450" s="1" t="s">
        <v>6</v>
      </c>
      <c r="U450" s="1">
        <v>211191.51</v>
      </c>
      <c r="V450" s="1" t="s">
        <v>6</v>
      </c>
      <c r="W450" s="1" t="s">
        <v>6</v>
      </c>
      <c r="Z450" s="1">
        <f>U448+U449-U450</f>
        <v>-150927.44</v>
      </c>
      <c r="AA450"/>
    </row>
    <row r="451" spans="2:27" x14ac:dyDescent="0.25">
      <c r="AA451"/>
    </row>
    <row r="452" spans="2:27" x14ac:dyDescent="0.25">
      <c r="Z452" s="9">
        <f>Z442-Z450</f>
        <v>1742857.2499999998</v>
      </c>
      <c r="AA452"/>
    </row>
    <row r="453" spans="2:27" x14ac:dyDescent="0.25">
      <c r="AA453"/>
    </row>
    <row r="454" spans="2:27" x14ac:dyDescent="0.25">
      <c r="B454" s="1" t="s">
        <v>83</v>
      </c>
      <c r="O454" s="1" t="s">
        <v>0</v>
      </c>
      <c r="Q454" s="1" t="s">
        <v>1</v>
      </c>
      <c r="R454" s="1" t="s">
        <v>2</v>
      </c>
      <c r="S454" s="1" t="s">
        <v>3</v>
      </c>
      <c r="T454" s="1" t="s">
        <v>2</v>
      </c>
      <c r="U454" s="1" t="s">
        <v>4</v>
      </c>
      <c r="V454" s="1" t="s">
        <v>2</v>
      </c>
      <c r="W454" s="1" t="s">
        <v>2</v>
      </c>
      <c r="AA454"/>
    </row>
    <row r="455" spans="2:27" x14ac:dyDescent="0.25">
      <c r="B455" s="1" t="s">
        <v>84</v>
      </c>
      <c r="Q455" s="1" t="s">
        <v>5</v>
      </c>
      <c r="R455" s="1" t="s">
        <v>6</v>
      </c>
      <c r="S455" s="1" t="s">
        <v>5</v>
      </c>
      <c r="T455" s="1" t="s">
        <v>6</v>
      </c>
      <c r="U455" s="1" t="s">
        <v>5</v>
      </c>
      <c r="V455" s="1" t="s">
        <v>6</v>
      </c>
      <c r="W455" s="1" t="s">
        <v>6</v>
      </c>
      <c r="AA455"/>
    </row>
    <row r="456" spans="2:27" x14ac:dyDescent="0.25">
      <c r="B456" s="1" t="s">
        <v>95</v>
      </c>
      <c r="O456" s="1">
        <v>1</v>
      </c>
      <c r="Q456" s="1">
        <v>0</v>
      </c>
      <c r="R456" s="1" t="s">
        <v>6</v>
      </c>
      <c r="S456" s="1">
        <v>7000</v>
      </c>
      <c r="T456" s="1" t="s">
        <v>7</v>
      </c>
      <c r="U456" s="1">
        <v>7000</v>
      </c>
      <c r="V456" s="1" t="s">
        <v>7</v>
      </c>
      <c r="W456" s="1" t="s">
        <v>7</v>
      </c>
      <c r="AA456"/>
    </row>
    <row r="457" spans="2:27" x14ac:dyDescent="0.25">
      <c r="B457" s="1" t="s">
        <v>96</v>
      </c>
      <c r="O457" s="1">
        <v>2</v>
      </c>
      <c r="Q457" s="1">
        <v>0</v>
      </c>
      <c r="R457" s="1" t="s">
        <v>6</v>
      </c>
      <c r="S457" s="1">
        <v>71255.95</v>
      </c>
      <c r="T457" s="1" t="s">
        <v>7</v>
      </c>
      <c r="U457" s="1">
        <v>71255.95</v>
      </c>
      <c r="V457" s="1" t="s">
        <v>7</v>
      </c>
      <c r="W457" s="1" t="s">
        <v>7</v>
      </c>
      <c r="AA457"/>
    </row>
    <row r="458" spans="2:27" x14ac:dyDescent="0.25">
      <c r="B458" s="1" t="s">
        <v>97</v>
      </c>
      <c r="O458" s="1">
        <v>3</v>
      </c>
      <c r="Q458" s="1">
        <v>0</v>
      </c>
      <c r="R458" s="1" t="s">
        <v>6</v>
      </c>
      <c r="S458" s="1">
        <v>1305.05</v>
      </c>
      <c r="T458" s="1" t="s">
        <v>7</v>
      </c>
      <c r="U458" s="1">
        <v>1305.05</v>
      </c>
      <c r="V458" s="1" t="s">
        <v>7</v>
      </c>
      <c r="W458" s="1" t="s">
        <v>7</v>
      </c>
      <c r="AA458"/>
    </row>
    <row r="459" spans="2:27" x14ac:dyDescent="0.25">
      <c r="B459" s="1" t="s">
        <v>98</v>
      </c>
      <c r="O459" s="1">
        <v>4</v>
      </c>
      <c r="Q459" s="1">
        <v>146958.59</v>
      </c>
      <c r="R459" s="1" t="s">
        <v>6</v>
      </c>
      <c r="S459" s="1">
        <v>0</v>
      </c>
      <c r="T459" s="1" t="s">
        <v>6</v>
      </c>
      <c r="U459" s="1">
        <v>146958.59</v>
      </c>
      <c r="V459" s="1" t="s">
        <v>6</v>
      </c>
      <c r="W459" s="1" t="s">
        <v>6</v>
      </c>
      <c r="Z459" s="1">
        <f>U456+U457+U458-U459</f>
        <v>-67397.59</v>
      </c>
      <c r="AA459"/>
    </row>
    <row r="460" spans="2:27" x14ac:dyDescent="0.25">
      <c r="AA460"/>
    </row>
    <row r="461" spans="2:27" x14ac:dyDescent="0.25">
      <c r="Z461" s="9">
        <f>Z450-Z459</f>
        <v>-83529.850000000006</v>
      </c>
      <c r="AA461"/>
    </row>
    <row r="462" spans="2:27" x14ac:dyDescent="0.25">
      <c r="AA462"/>
    </row>
    <row r="463" spans="2:27" x14ac:dyDescent="0.25">
      <c r="B463" s="1" t="s">
        <v>83</v>
      </c>
      <c r="O463" s="1" t="s">
        <v>0</v>
      </c>
      <c r="Q463" s="1" t="s">
        <v>1</v>
      </c>
      <c r="R463" s="1" t="s">
        <v>2</v>
      </c>
      <c r="S463" s="1" t="s">
        <v>3</v>
      </c>
      <c r="T463" s="1" t="s">
        <v>2</v>
      </c>
      <c r="U463" s="1" t="s">
        <v>4</v>
      </c>
      <c r="V463" s="1" t="s">
        <v>2</v>
      </c>
      <c r="W463" s="1" t="s">
        <v>2</v>
      </c>
      <c r="AA463"/>
    </row>
    <row r="464" spans="2:27" x14ac:dyDescent="0.25">
      <c r="B464" s="1" t="s">
        <v>84</v>
      </c>
      <c r="Q464" s="1" t="s">
        <v>5</v>
      </c>
      <c r="R464" s="1" t="s">
        <v>6</v>
      </c>
      <c r="S464" s="1" t="s">
        <v>5</v>
      </c>
      <c r="T464" s="1" t="s">
        <v>6</v>
      </c>
      <c r="U464" s="1" t="s">
        <v>5</v>
      </c>
      <c r="V464" s="1" t="s">
        <v>6</v>
      </c>
      <c r="W464" s="1" t="s">
        <v>6</v>
      </c>
      <c r="AA464"/>
    </row>
    <row r="465" spans="2:27" x14ac:dyDescent="0.25">
      <c r="B465" s="1" t="s">
        <v>99</v>
      </c>
      <c r="O465" s="1">
        <v>1</v>
      </c>
      <c r="Q465" s="1">
        <v>0</v>
      </c>
      <c r="R465" s="1" t="s">
        <v>6</v>
      </c>
      <c r="S465" s="1">
        <v>10000</v>
      </c>
      <c r="T465" s="1" t="s">
        <v>7</v>
      </c>
      <c r="U465" s="1">
        <v>10000</v>
      </c>
      <c r="V465" s="1" t="s">
        <v>7</v>
      </c>
      <c r="W465" s="1" t="s">
        <v>7</v>
      </c>
      <c r="AA465"/>
    </row>
    <row r="466" spans="2:27" x14ac:dyDescent="0.25">
      <c r="B466" s="1" t="s">
        <v>100</v>
      </c>
      <c r="O466" s="1">
        <v>2</v>
      </c>
      <c r="Q466" s="1">
        <v>0</v>
      </c>
      <c r="R466" s="1" t="s">
        <v>6</v>
      </c>
      <c r="S466" s="1">
        <v>42753.58</v>
      </c>
      <c r="T466" s="1" t="s">
        <v>7</v>
      </c>
      <c r="U466" s="1">
        <v>42753.58</v>
      </c>
      <c r="V466" s="1" t="s">
        <v>7</v>
      </c>
      <c r="W466" s="1" t="s">
        <v>7</v>
      </c>
      <c r="AA466"/>
    </row>
    <row r="467" spans="2:27" x14ac:dyDescent="0.25">
      <c r="B467" s="1" t="s">
        <v>101</v>
      </c>
      <c r="O467" s="1">
        <v>3</v>
      </c>
      <c r="Q467" s="1">
        <v>0</v>
      </c>
      <c r="R467" s="1" t="s">
        <v>6</v>
      </c>
      <c r="S467" s="1">
        <v>917220.75</v>
      </c>
      <c r="T467" s="1" t="s">
        <v>7</v>
      </c>
      <c r="U467" s="1">
        <v>917220.75</v>
      </c>
      <c r="V467" s="1" t="s">
        <v>7</v>
      </c>
      <c r="W467" s="1" t="s">
        <v>7</v>
      </c>
      <c r="AA467"/>
    </row>
    <row r="468" spans="2:27" x14ac:dyDescent="0.25">
      <c r="B468" s="1" t="s">
        <v>102</v>
      </c>
      <c r="O468" s="1">
        <v>4</v>
      </c>
      <c r="Q468" s="1">
        <v>123468.3</v>
      </c>
      <c r="R468" s="1" t="s">
        <v>6</v>
      </c>
      <c r="S468" s="1">
        <v>0</v>
      </c>
      <c r="T468" s="1" t="s">
        <v>6</v>
      </c>
      <c r="U468" s="1">
        <v>123468.3</v>
      </c>
      <c r="V468" s="1" t="s">
        <v>6</v>
      </c>
      <c r="W468" s="1" t="s">
        <v>6</v>
      </c>
      <c r="Z468" s="1">
        <f>U465+U466+U467-U468</f>
        <v>846506.02999999991</v>
      </c>
      <c r="AA468"/>
    </row>
    <row r="469" spans="2:27" x14ac:dyDescent="0.25">
      <c r="AA469"/>
    </row>
    <row r="470" spans="2:27" x14ac:dyDescent="0.25">
      <c r="Z470" s="9">
        <f>Z459-Z468</f>
        <v>-913903.61999999988</v>
      </c>
      <c r="AA470"/>
    </row>
    <row r="471" spans="2:27" x14ac:dyDescent="0.25">
      <c r="AA471"/>
    </row>
    <row r="472" spans="2:27" x14ac:dyDescent="0.25">
      <c r="B472" s="1" t="s">
        <v>83</v>
      </c>
      <c r="O472" s="1" t="s">
        <v>0</v>
      </c>
      <c r="Q472" s="1" t="s">
        <v>1</v>
      </c>
      <c r="R472" s="1" t="s">
        <v>2</v>
      </c>
      <c r="S472" s="1" t="s">
        <v>3</v>
      </c>
      <c r="T472" s="1" t="s">
        <v>2</v>
      </c>
      <c r="U472" s="1" t="s">
        <v>4</v>
      </c>
      <c r="V472" s="1" t="s">
        <v>2</v>
      </c>
      <c r="W472" s="1" t="s">
        <v>2</v>
      </c>
      <c r="AA472"/>
    </row>
    <row r="473" spans="2:27" x14ac:dyDescent="0.25">
      <c r="B473" s="1" t="s">
        <v>84</v>
      </c>
      <c r="Q473" s="1" t="s">
        <v>5</v>
      </c>
      <c r="R473" s="1" t="s">
        <v>6</v>
      </c>
      <c r="S473" s="1" t="s">
        <v>5</v>
      </c>
      <c r="T473" s="1" t="s">
        <v>6</v>
      </c>
      <c r="U473" s="1" t="s">
        <v>5</v>
      </c>
      <c r="V473" s="1" t="s">
        <v>6</v>
      </c>
      <c r="W473" s="1" t="s">
        <v>6</v>
      </c>
      <c r="AA473"/>
    </row>
    <row r="474" spans="2:27" x14ac:dyDescent="0.25">
      <c r="B474" s="1" t="s">
        <v>103</v>
      </c>
      <c r="O474" s="1">
        <v>1</v>
      </c>
      <c r="Q474" s="1">
        <v>0</v>
      </c>
      <c r="R474" s="1" t="s">
        <v>6</v>
      </c>
      <c r="S474" s="1">
        <v>124679.84</v>
      </c>
      <c r="T474" s="1" t="s">
        <v>7</v>
      </c>
      <c r="U474" s="1">
        <v>124679.84</v>
      </c>
      <c r="V474" s="1" t="s">
        <v>7</v>
      </c>
      <c r="W474" s="1" t="s">
        <v>7</v>
      </c>
      <c r="AA474"/>
    </row>
    <row r="475" spans="2:27" x14ac:dyDescent="0.25">
      <c r="B475" s="1" t="s">
        <v>104</v>
      </c>
      <c r="O475" s="1">
        <v>2</v>
      </c>
      <c r="Q475" s="1">
        <v>0</v>
      </c>
      <c r="R475" s="1" t="s">
        <v>6</v>
      </c>
      <c r="S475" s="1">
        <v>1008266.45</v>
      </c>
      <c r="T475" s="1" t="s">
        <v>7</v>
      </c>
      <c r="U475" s="1">
        <v>1008266.45</v>
      </c>
      <c r="V475" s="1" t="s">
        <v>7</v>
      </c>
      <c r="W475" s="1" t="s">
        <v>7</v>
      </c>
      <c r="AA475"/>
    </row>
    <row r="476" spans="2:27" x14ac:dyDescent="0.25">
      <c r="B476" s="1" t="s">
        <v>105</v>
      </c>
      <c r="O476" s="1">
        <v>3</v>
      </c>
      <c r="Q476" s="1">
        <v>64630.92</v>
      </c>
      <c r="R476" s="1" t="s">
        <v>6</v>
      </c>
      <c r="S476" s="1">
        <v>0</v>
      </c>
      <c r="T476" s="1" t="s">
        <v>6</v>
      </c>
      <c r="U476" s="1">
        <v>64630.92</v>
      </c>
      <c r="V476" s="1" t="s">
        <v>6</v>
      </c>
      <c r="W476" s="1" t="s">
        <v>6</v>
      </c>
      <c r="Z476" s="1">
        <f>U474+U475-U476</f>
        <v>1068315.3700000001</v>
      </c>
      <c r="AA476"/>
    </row>
    <row r="477" spans="2:27" x14ac:dyDescent="0.25">
      <c r="AA477"/>
    </row>
    <row r="478" spans="2:27" x14ac:dyDescent="0.25">
      <c r="Z478" s="9">
        <f>Z468-Z476</f>
        <v>-221809.3400000002</v>
      </c>
      <c r="AA478"/>
    </row>
    <row r="479" spans="2:27" x14ac:dyDescent="0.25">
      <c r="AA479"/>
    </row>
    <row r="480" spans="2:27" x14ac:dyDescent="0.25">
      <c r="B480" s="1" t="s">
        <v>83</v>
      </c>
      <c r="O480" s="1" t="s">
        <v>0</v>
      </c>
      <c r="Q480" s="1" t="s">
        <v>1</v>
      </c>
      <c r="R480" s="1" t="s">
        <v>2</v>
      </c>
      <c r="S480" s="1" t="s">
        <v>3</v>
      </c>
      <c r="T480" s="1" t="s">
        <v>2</v>
      </c>
      <c r="U480" s="1" t="s">
        <v>4</v>
      </c>
      <c r="V480" s="1" t="s">
        <v>2</v>
      </c>
      <c r="W480" s="1" t="s">
        <v>2</v>
      </c>
      <c r="AA480"/>
    </row>
    <row r="481" spans="2:27" x14ac:dyDescent="0.25">
      <c r="B481" s="1" t="s">
        <v>84</v>
      </c>
      <c r="Q481" s="1" t="s">
        <v>5</v>
      </c>
      <c r="R481" s="1" t="s">
        <v>6</v>
      </c>
      <c r="S481" s="1" t="s">
        <v>5</v>
      </c>
      <c r="T481" s="1" t="s">
        <v>6</v>
      </c>
      <c r="U481" s="1" t="s">
        <v>5</v>
      </c>
      <c r="V481" s="1" t="s">
        <v>6</v>
      </c>
      <c r="W481" s="1" t="s">
        <v>6</v>
      </c>
      <c r="AA481"/>
    </row>
    <row r="482" spans="2:27" x14ac:dyDescent="0.25">
      <c r="B482" s="1" t="s">
        <v>106</v>
      </c>
      <c r="O482" s="1">
        <v>1</v>
      </c>
      <c r="Q482" s="1">
        <v>0</v>
      </c>
      <c r="R482" s="1" t="s">
        <v>6</v>
      </c>
      <c r="S482" s="1">
        <v>56372.86</v>
      </c>
      <c r="T482" s="1" t="s">
        <v>7</v>
      </c>
      <c r="U482" s="1">
        <v>56372.86</v>
      </c>
      <c r="V482" s="1" t="s">
        <v>7</v>
      </c>
      <c r="W482" s="1" t="s">
        <v>7</v>
      </c>
      <c r="AA482"/>
    </row>
    <row r="483" spans="2:27" x14ac:dyDescent="0.25">
      <c r="B483" s="1" t="s">
        <v>107</v>
      </c>
      <c r="O483" s="1">
        <v>2</v>
      </c>
      <c r="Q483" s="1">
        <v>0</v>
      </c>
      <c r="R483" s="1" t="s">
        <v>6</v>
      </c>
      <c r="S483" s="1">
        <v>958346.4</v>
      </c>
      <c r="T483" s="1" t="s">
        <v>7</v>
      </c>
      <c r="U483" s="1">
        <v>958346.4</v>
      </c>
      <c r="V483" s="1" t="s">
        <v>7</v>
      </c>
      <c r="W483" s="1" t="s">
        <v>7</v>
      </c>
      <c r="AA483"/>
    </row>
    <row r="484" spans="2:27" x14ac:dyDescent="0.25">
      <c r="B484" s="1" t="s">
        <v>108</v>
      </c>
      <c r="O484" s="1">
        <v>3</v>
      </c>
      <c r="Q484" s="1">
        <v>396990.56</v>
      </c>
      <c r="R484" s="1" t="s">
        <v>6</v>
      </c>
      <c r="S484" s="1">
        <v>0</v>
      </c>
      <c r="T484" s="1" t="s">
        <v>6</v>
      </c>
      <c r="U484" s="1">
        <v>396990.56</v>
      </c>
      <c r="V484" s="1" t="s">
        <v>6</v>
      </c>
      <c r="W484" s="1" t="s">
        <v>6</v>
      </c>
      <c r="Z484" s="1">
        <f>U482+U483-U484</f>
        <v>617728.69999999995</v>
      </c>
      <c r="AA484"/>
    </row>
    <row r="485" spans="2:27" x14ac:dyDescent="0.25">
      <c r="AA485"/>
    </row>
    <row r="486" spans="2:27" x14ac:dyDescent="0.25">
      <c r="Z486" s="9">
        <f>Z476-Z484</f>
        <v>450586.67000000016</v>
      </c>
      <c r="AA486"/>
    </row>
    <row r="487" spans="2:27" x14ac:dyDescent="0.25">
      <c r="AA487"/>
    </row>
    <row r="488" spans="2:27" x14ac:dyDescent="0.25">
      <c r="B488" s="1" t="s">
        <v>83</v>
      </c>
      <c r="O488" s="1" t="s">
        <v>0</v>
      </c>
      <c r="Q488" s="1" t="s">
        <v>1</v>
      </c>
      <c r="R488" s="1" t="s">
        <v>2</v>
      </c>
      <c r="S488" s="1" t="s">
        <v>3</v>
      </c>
      <c r="T488" s="1" t="s">
        <v>2</v>
      </c>
      <c r="U488" s="1" t="s">
        <v>4</v>
      </c>
      <c r="V488" s="1" t="s">
        <v>2</v>
      </c>
      <c r="W488" s="1" t="s">
        <v>2</v>
      </c>
      <c r="AA488"/>
    </row>
    <row r="489" spans="2:27" x14ac:dyDescent="0.25">
      <c r="B489" s="1" t="s">
        <v>84</v>
      </c>
      <c r="Q489" s="1" t="s">
        <v>5</v>
      </c>
      <c r="R489" s="1" t="s">
        <v>6</v>
      </c>
      <c r="S489" s="1" t="s">
        <v>5</v>
      </c>
      <c r="T489" s="1" t="s">
        <v>6</v>
      </c>
      <c r="U489" s="1" t="s">
        <v>5</v>
      </c>
      <c r="V489" s="1" t="s">
        <v>6</v>
      </c>
      <c r="W489" s="1" t="s">
        <v>6</v>
      </c>
      <c r="AA489"/>
    </row>
    <row r="490" spans="2:27" x14ac:dyDescent="0.25">
      <c r="B490" s="1" t="s">
        <v>109</v>
      </c>
      <c r="O490" s="1">
        <v>1</v>
      </c>
      <c r="Q490" s="1">
        <v>0</v>
      </c>
      <c r="R490" s="1" t="s">
        <v>6</v>
      </c>
      <c r="S490" s="1">
        <v>11174.8</v>
      </c>
      <c r="T490" s="1" t="s">
        <v>7</v>
      </c>
      <c r="U490" s="1">
        <v>11174.8</v>
      </c>
      <c r="V490" s="1" t="s">
        <v>7</v>
      </c>
      <c r="W490" s="1" t="s">
        <v>7</v>
      </c>
      <c r="AA490"/>
    </row>
    <row r="491" spans="2:27" x14ac:dyDescent="0.25">
      <c r="B491" s="1" t="s">
        <v>110</v>
      </c>
      <c r="O491" s="1">
        <v>2</v>
      </c>
      <c r="Q491" s="1">
        <v>0</v>
      </c>
      <c r="R491" s="1" t="s">
        <v>6</v>
      </c>
      <c r="S491" s="1">
        <v>43501.89</v>
      </c>
      <c r="T491" s="1" t="s">
        <v>7</v>
      </c>
      <c r="U491" s="1">
        <v>43501.89</v>
      </c>
      <c r="V491" s="1" t="s">
        <v>7</v>
      </c>
      <c r="W491" s="1" t="s">
        <v>7</v>
      </c>
      <c r="AA491"/>
    </row>
    <row r="492" spans="2:27" x14ac:dyDescent="0.25">
      <c r="B492" s="1" t="s">
        <v>111</v>
      </c>
      <c r="O492" s="1">
        <v>3</v>
      </c>
      <c r="Q492" s="1">
        <v>0</v>
      </c>
      <c r="R492" s="1" t="s">
        <v>6</v>
      </c>
      <c r="S492" s="1">
        <v>1504961.33</v>
      </c>
      <c r="T492" s="1" t="s">
        <v>7</v>
      </c>
      <c r="U492" s="1">
        <v>1504961.33</v>
      </c>
      <c r="V492" s="1" t="s">
        <v>7</v>
      </c>
      <c r="W492" s="1" t="s">
        <v>7</v>
      </c>
      <c r="AA492"/>
    </row>
    <row r="493" spans="2:27" x14ac:dyDescent="0.25">
      <c r="B493" s="1" t="s">
        <v>112</v>
      </c>
      <c r="O493" s="1">
        <v>4</v>
      </c>
      <c r="Q493" s="1">
        <v>1366130.13</v>
      </c>
      <c r="R493" s="1" t="s">
        <v>6</v>
      </c>
      <c r="S493" s="1">
        <v>0</v>
      </c>
      <c r="T493" s="1" t="s">
        <v>6</v>
      </c>
      <c r="U493" s="1">
        <v>1366130.13</v>
      </c>
      <c r="V493" s="1" t="s">
        <v>6</v>
      </c>
      <c r="W493" s="1" t="s">
        <v>6</v>
      </c>
      <c r="Z493" s="1">
        <f>U490+U491+U492-U493</f>
        <v>193507.89000000013</v>
      </c>
      <c r="AA493"/>
    </row>
    <row r="494" spans="2:27" x14ac:dyDescent="0.25">
      <c r="AA494"/>
    </row>
    <row r="495" spans="2:27" x14ac:dyDescent="0.25">
      <c r="Z495" s="9">
        <f>Z484-Z493</f>
        <v>424220.80999999982</v>
      </c>
      <c r="AA495"/>
    </row>
    <row r="496" spans="2:27" x14ac:dyDescent="0.25">
      <c r="AA496"/>
    </row>
    <row r="497" spans="2:27" x14ac:dyDescent="0.25">
      <c r="B497" s="1" t="s">
        <v>83</v>
      </c>
      <c r="O497" s="1" t="s">
        <v>0</v>
      </c>
      <c r="Q497" s="1" t="s">
        <v>1</v>
      </c>
      <c r="R497" s="1" t="s">
        <v>2</v>
      </c>
      <c r="S497" s="1" t="s">
        <v>3</v>
      </c>
      <c r="T497" s="1" t="s">
        <v>2</v>
      </c>
      <c r="U497" s="1" t="s">
        <v>4</v>
      </c>
      <c r="V497" s="1" t="s">
        <v>2</v>
      </c>
      <c r="W497" s="1" t="s">
        <v>2</v>
      </c>
      <c r="AA497"/>
    </row>
    <row r="498" spans="2:27" x14ac:dyDescent="0.25">
      <c r="B498" s="1" t="s">
        <v>84</v>
      </c>
      <c r="Q498" s="1" t="s">
        <v>5</v>
      </c>
      <c r="R498" s="1" t="s">
        <v>6</v>
      </c>
      <c r="S498" s="1" t="s">
        <v>5</v>
      </c>
      <c r="T498" s="1" t="s">
        <v>6</v>
      </c>
      <c r="U498" s="1" t="s">
        <v>5</v>
      </c>
      <c r="V498" s="1" t="s">
        <v>6</v>
      </c>
      <c r="W498" s="1" t="s">
        <v>6</v>
      </c>
      <c r="AA498"/>
    </row>
    <row r="499" spans="2:27" x14ac:dyDescent="0.25">
      <c r="B499" s="1" t="s">
        <v>113</v>
      </c>
      <c r="O499" s="1">
        <v>1</v>
      </c>
      <c r="Q499" s="1">
        <v>0</v>
      </c>
      <c r="R499" s="1" t="s">
        <v>6</v>
      </c>
      <c r="S499" s="1">
        <v>846857.19</v>
      </c>
      <c r="T499" s="1" t="s">
        <v>7</v>
      </c>
      <c r="U499" s="1">
        <v>846857.19</v>
      </c>
      <c r="V499" s="1" t="s">
        <v>7</v>
      </c>
      <c r="W499" s="1" t="s">
        <v>7</v>
      </c>
      <c r="AA499"/>
    </row>
    <row r="500" spans="2:27" x14ac:dyDescent="0.25">
      <c r="B500" s="1" t="s">
        <v>114</v>
      </c>
      <c r="O500" s="1">
        <v>2</v>
      </c>
      <c r="Q500" s="1">
        <v>0</v>
      </c>
      <c r="R500" s="1" t="s">
        <v>6</v>
      </c>
      <c r="S500" s="1">
        <v>212797.3</v>
      </c>
      <c r="T500" s="1" t="s">
        <v>7</v>
      </c>
      <c r="U500" s="1">
        <v>212797.3</v>
      </c>
      <c r="V500" s="1" t="s">
        <v>7</v>
      </c>
      <c r="W500" s="1" t="s">
        <v>7</v>
      </c>
      <c r="AA500"/>
    </row>
    <row r="501" spans="2:27" x14ac:dyDescent="0.25">
      <c r="B501" s="1" t="s">
        <v>115</v>
      </c>
      <c r="O501" s="1">
        <v>3</v>
      </c>
      <c r="Q501" s="1">
        <v>0</v>
      </c>
      <c r="R501" s="1" t="s">
        <v>6</v>
      </c>
      <c r="S501" s="1">
        <v>1612160.06</v>
      </c>
      <c r="T501" s="1" t="s">
        <v>7</v>
      </c>
      <c r="U501" s="1">
        <v>1612160.06</v>
      </c>
      <c r="V501" s="1" t="s">
        <v>7</v>
      </c>
      <c r="W501" s="1" t="s">
        <v>7</v>
      </c>
      <c r="AA501"/>
    </row>
    <row r="502" spans="2:27" x14ac:dyDescent="0.25">
      <c r="B502" s="1" t="s">
        <v>116</v>
      </c>
      <c r="O502" s="1">
        <v>4</v>
      </c>
      <c r="Q502" s="1">
        <v>920192.73</v>
      </c>
      <c r="R502" s="1" t="s">
        <v>6</v>
      </c>
      <c r="S502" s="1">
        <v>0</v>
      </c>
      <c r="T502" s="1" t="s">
        <v>6</v>
      </c>
      <c r="U502" s="1">
        <v>920192.73</v>
      </c>
      <c r="V502" s="1" t="s">
        <v>6</v>
      </c>
      <c r="W502" s="1" t="s">
        <v>6</v>
      </c>
      <c r="Z502" s="1">
        <f>U499+U500+U501-U502</f>
        <v>1751621.8199999998</v>
      </c>
      <c r="AA502"/>
    </row>
    <row r="503" spans="2:27" x14ac:dyDescent="0.25">
      <c r="AA503"/>
    </row>
    <row r="504" spans="2:27" x14ac:dyDescent="0.25">
      <c r="Z504" s="2">
        <f>Z493-Z502</f>
        <v>-1558113.9299999997</v>
      </c>
      <c r="AA504"/>
    </row>
    <row r="505" spans="2:27" x14ac:dyDescent="0.25">
      <c r="AA505"/>
    </row>
    <row r="506" spans="2:27" x14ac:dyDescent="0.25">
      <c r="B506" s="1" t="s">
        <v>83</v>
      </c>
      <c r="O506" s="1" t="s">
        <v>0</v>
      </c>
      <c r="Q506" s="1" t="s">
        <v>1</v>
      </c>
      <c r="R506" s="1" t="s">
        <v>2</v>
      </c>
      <c r="S506" s="1" t="s">
        <v>3</v>
      </c>
      <c r="T506" s="1" t="s">
        <v>2</v>
      </c>
      <c r="U506" s="1" t="s">
        <v>4</v>
      </c>
      <c r="V506" s="1" t="s">
        <v>2</v>
      </c>
      <c r="W506" s="1" t="s">
        <v>2</v>
      </c>
      <c r="AA506"/>
    </row>
    <row r="507" spans="2:27" x14ac:dyDescent="0.25">
      <c r="B507" s="1" t="s">
        <v>84</v>
      </c>
      <c r="Q507" s="1" t="s">
        <v>5</v>
      </c>
      <c r="R507" s="1" t="s">
        <v>6</v>
      </c>
      <c r="S507" s="1" t="s">
        <v>5</v>
      </c>
      <c r="T507" s="1" t="s">
        <v>6</v>
      </c>
      <c r="U507" s="1" t="s">
        <v>5</v>
      </c>
      <c r="V507" s="1" t="s">
        <v>6</v>
      </c>
      <c r="W507" s="1" t="s">
        <v>6</v>
      </c>
      <c r="AA507"/>
    </row>
    <row r="508" spans="2:27" x14ac:dyDescent="0.25">
      <c r="B508" s="1" t="s">
        <v>117</v>
      </c>
      <c r="O508" s="1">
        <v>1</v>
      </c>
      <c r="Q508" s="1">
        <v>0</v>
      </c>
      <c r="R508" s="1" t="s">
        <v>6</v>
      </c>
      <c r="S508" s="1">
        <v>52123.69</v>
      </c>
      <c r="T508" s="1" t="s">
        <v>7</v>
      </c>
      <c r="U508" s="1">
        <v>52123.69</v>
      </c>
      <c r="V508" s="1" t="s">
        <v>7</v>
      </c>
      <c r="W508" s="1" t="s">
        <v>7</v>
      </c>
      <c r="AA508"/>
    </row>
    <row r="509" spans="2:27" x14ac:dyDescent="0.25">
      <c r="B509" s="1" t="s">
        <v>118</v>
      </c>
      <c r="O509" s="1">
        <v>2</v>
      </c>
      <c r="Q509" s="1">
        <v>0</v>
      </c>
      <c r="R509" s="1" t="s">
        <v>6</v>
      </c>
      <c r="S509" s="1">
        <v>732361.34</v>
      </c>
      <c r="T509" s="1" t="s">
        <v>7</v>
      </c>
      <c r="U509" s="1">
        <v>732361.34</v>
      </c>
      <c r="V509" s="1" t="s">
        <v>7</v>
      </c>
      <c r="W509" s="1" t="s">
        <v>7</v>
      </c>
      <c r="AA509"/>
    </row>
    <row r="510" spans="2:27" x14ac:dyDescent="0.25">
      <c r="B510" s="1" t="s">
        <v>119</v>
      </c>
      <c r="O510" s="1">
        <v>3</v>
      </c>
      <c r="Q510" s="1">
        <v>321901</v>
      </c>
      <c r="R510" s="1" t="s">
        <v>6</v>
      </c>
      <c r="S510" s="1">
        <v>0</v>
      </c>
      <c r="T510" s="1" t="s">
        <v>6</v>
      </c>
      <c r="U510" s="1">
        <v>321901</v>
      </c>
      <c r="V510" s="1" t="s">
        <v>6</v>
      </c>
      <c r="W510" s="1" t="s">
        <v>6</v>
      </c>
      <c r="Z510" s="1">
        <f>U508+U509-U510</f>
        <v>462584.03</v>
      </c>
      <c r="AA510"/>
    </row>
    <row r="511" spans="2:27" x14ac:dyDescent="0.25">
      <c r="AA511"/>
    </row>
    <row r="512" spans="2:27" x14ac:dyDescent="0.25">
      <c r="Z512" s="2">
        <f>Z502-Z510</f>
        <v>1289037.7899999998</v>
      </c>
      <c r="AA512"/>
    </row>
    <row r="513" spans="2:27" x14ac:dyDescent="0.25">
      <c r="AA513"/>
    </row>
    <row r="514" spans="2:27" x14ac:dyDescent="0.25">
      <c r="AA514"/>
    </row>
    <row r="515" spans="2:27" x14ac:dyDescent="0.25">
      <c r="AA515"/>
    </row>
    <row r="516" spans="2:27" x14ac:dyDescent="0.25">
      <c r="O516" s="1" t="s">
        <v>0</v>
      </c>
      <c r="Q516" s="1" t="s">
        <v>1</v>
      </c>
      <c r="R516" s="1" t="s">
        <v>2</v>
      </c>
      <c r="S516" s="1" t="s">
        <v>3</v>
      </c>
      <c r="T516" s="1" t="s">
        <v>2</v>
      </c>
      <c r="U516" s="1" t="s">
        <v>4</v>
      </c>
      <c r="V516" s="1" t="s">
        <v>2</v>
      </c>
      <c r="W516" s="1" t="s">
        <v>2</v>
      </c>
      <c r="AA516"/>
    </row>
    <row r="517" spans="2:27" x14ac:dyDescent="0.25">
      <c r="Q517" s="1" t="s">
        <v>5</v>
      </c>
      <c r="R517" s="1" t="s">
        <v>6</v>
      </c>
      <c r="S517" s="1" t="s">
        <v>5</v>
      </c>
      <c r="T517" s="1" t="s">
        <v>6</v>
      </c>
      <c r="U517" s="1" t="s">
        <v>5</v>
      </c>
      <c r="V517" s="1" t="s">
        <v>6</v>
      </c>
      <c r="W517" s="1" t="s">
        <v>6</v>
      </c>
      <c r="AA517"/>
    </row>
    <row r="518" spans="2:27" x14ac:dyDescent="0.25">
      <c r="O518" s="1">
        <v>1</v>
      </c>
      <c r="Q518" s="1">
        <v>0</v>
      </c>
      <c r="R518" s="1" t="s">
        <v>6</v>
      </c>
      <c r="S518" s="1">
        <v>39650.43</v>
      </c>
      <c r="T518" s="1" t="s">
        <v>7</v>
      </c>
      <c r="U518" s="1">
        <v>39650.43</v>
      </c>
      <c r="V518" s="1" t="s">
        <v>7</v>
      </c>
      <c r="W518" s="1" t="s">
        <v>7</v>
      </c>
      <c r="AA518"/>
    </row>
    <row r="519" spans="2:27" x14ac:dyDescent="0.25">
      <c r="O519" s="1">
        <v>2</v>
      </c>
      <c r="Q519" s="1">
        <v>0</v>
      </c>
      <c r="R519" s="1" t="s">
        <v>6</v>
      </c>
      <c r="S519" s="1">
        <v>254493.97</v>
      </c>
      <c r="T519" s="1" t="s">
        <v>7</v>
      </c>
      <c r="U519" s="1">
        <v>254493.97</v>
      </c>
      <c r="V519" s="1" t="s">
        <v>7</v>
      </c>
      <c r="W519" s="1" t="s">
        <v>7</v>
      </c>
      <c r="Z519" s="1">
        <f>U518+U519</f>
        <v>294144.40000000002</v>
      </c>
      <c r="AA519"/>
    </row>
    <row r="520" spans="2:27" x14ac:dyDescent="0.25">
      <c r="AA520"/>
    </row>
    <row r="521" spans="2:27" x14ac:dyDescent="0.25">
      <c r="Z521" s="2">
        <f>Z510-Z519</f>
        <v>168439.63</v>
      </c>
      <c r="AA521"/>
    </row>
    <row r="522" spans="2:27" x14ac:dyDescent="0.25">
      <c r="AA522"/>
    </row>
    <row r="523" spans="2:27" x14ac:dyDescent="0.25">
      <c r="B523" s="1" t="s">
        <v>83</v>
      </c>
      <c r="O523" s="1" t="s">
        <v>0</v>
      </c>
      <c r="Q523" s="1" t="s">
        <v>1</v>
      </c>
      <c r="R523" s="1" t="s">
        <v>2</v>
      </c>
      <c r="S523" s="1" t="s">
        <v>3</v>
      </c>
      <c r="T523" s="1" t="s">
        <v>2</v>
      </c>
      <c r="U523" s="1" t="s">
        <v>4</v>
      </c>
      <c r="V523" s="1" t="s">
        <v>2</v>
      </c>
      <c r="W523" s="1" t="s">
        <v>2</v>
      </c>
      <c r="AA523"/>
    </row>
    <row r="524" spans="2:27" x14ac:dyDescent="0.25">
      <c r="B524" s="1" t="s">
        <v>84</v>
      </c>
      <c r="Q524" s="1" t="s">
        <v>5</v>
      </c>
      <c r="R524" s="1" t="s">
        <v>6</v>
      </c>
      <c r="S524" s="1" t="s">
        <v>5</v>
      </c>
      <c r="T524" s="1" t="s">
        <v>6</v>
      </c>
      <c r="U524" s="1" t="s">
        <v>5</v>
      </c>
      <c r="V524" s="1" t="s">
        <v>6</v>
      </c>
      <c r="W524" s="1" t="s">
        <v>6</v>
      </c>
      <c r="AA524"/>
    </row>
    <row r="525" spans="2:27" x14ac:dyDescent="0.25">
      <c r="B525" s="1" t="s">
        <v>120</v>
      </c>
      <c r="O525" s="1">
        <v>1</v>
      </c>
      <c r="Q525" s="1">
        <v>0</v>
      </c>
      <c r="R525" s="1" t="s">
        <v>6</v>
      </c>
      <c r="S525" s="1">
        <v>70549.17</v>
      </c>
      <c r="T525" s="1" t="s">
        <v>7</v>
      </c>
      <c r="U525" s="1">
        <v>70549.17</v>
      </c>
      <c r="V525" s="1" t="s">
        <v>7</v>
      </c>
      <c r="W525" s="1" t="s">
        <v>7</v>
      </c>
      <c r="AA525"/>
    </row>
    <row r="526" spans="2:27" x14ac:dyDescent="0.25">
      <c r="B526" s="1" t="s">
        <v>121</v>
      </c>
      <c r="O526" s="1">
        <v>2</v>
      </c>
      <c r="Q526" s="1">
        <v>0</v>
      </c>
      <c r="R526" s="1" t="s">
        <v>6</v>
      </c>
      <c r="S526" s="1">
        <v>450694.75</v>
      </c>
      <c r="T526" s="1" t="s">
        <v>7</v>
      </c>
      <c r="U526" s="1">
        <v>450694.75</v>
      </c>
      <c r="V526" s="1" t="s">
        <v>7</v>
      </c>
      <c r="W526" s="1" t="s">
        <v>7</v>
      </c>
      <c r="AA526"/>
    </row>
    <row r="527" spans="2:27" x14ac:dyDescent="0.25">
      <c r="B527" s="1" t="s">
        <v>122</v>
      </c>
      <c r="O527" s="1">
        <v>3</v>
      </c>
      <c r="Q527" s="1">
        <v>0</v>
      </c>
      <c r="R527" s="1" t="s">
        <v>6</v>
      </c>
      <c r="S527" s="1">
        <v>49925</v>
      </c>
      <c r="T527" s="1" t="s">
        <v>7</v>
      </c>
      <c r="U527" s="1">
        <v>49925</v>
      </c>
      <c r="V527" s="1" t="s">
        <v>7</v>
      </c>
      <c r="W527" s="1" t="s">
        <v>7</v>
      </c>
      <c r="AA527"/>
    </row>
    <row r="528" spans="2:27" x14ac:dyDescent="0.25">
      <c r="B528" s="1" t="s">
        <v>123</v>
      </c>
      <c r="O528" s="1">
        <v>4</v>
      </c>
      <c r="Q528" s="1">
        <v>236431.63</v>
      </c>
      <c r="R528" s="1" t="s">
        <v>6</v>
      </c>
      <c r="S528" s="1">
        <v>0</v>
      </c>
      <c r="T528" s="1" t="s">
        <v>6</v>
      </c>
      <c r="U528" s="1">
        <v>236431.63</v>
      </c>
      <c r="V528" s="1" t="s">
        <v>6</v>
      </c>
      <c r="W528" s="1" t="s">
        <v>6</v>
      </c>
      <c r="Z528" s="1">
        <f>U525+U526+U527-U528</f>
        <v>334737.28999999992</v>
      </c>
      <c r="AA528"/>
    </row>
    <row r="529" spans="2:27" x14ac:dyDescent="0.25">
      <c r="AA529"/>
    </row>
    <row r="530" spans="2:27" x14ac:dyDescent="0.25">
      <c r="Z530" s="2">
        <f>Z519-Z528</f>
        <v>-40592.889999999898</v>
      </c>
      <c r="AA530"/>
    </row>
    <row r="531" spans="2:27" x14ac:dyDescent="0.25">
      <c r="AA531"/>
    </row>
    <row r="532" spans="2:27" x14ac:dyDescent="0.25">
      <c r="O532" s="1" t="s">
        <v>0</v>
      </c>
      <c r="Q532" s="1" t="s">
        <v>1</v>
      </c>
      <c r="R532" s="1" t="s">
        <v>2</v>
      </c>
      <c r="S532" s="1" t="s">
        <v>3</v>
      </c>
      <c r="T532" s="1" t="s">
        <v>2</v>
      </c>
      <c r="U532" s="1" t="s">
        <v>4</v>
      </c>
      <c r="V532" s="1" t="s">
        <v>2</v>
      </c>
      <c r="W532" s="1" t="s">
        <v>2</v>
      </c>
      <c r="AA532"/>
    </row>
    <row r="533" spans="2:27" x14ac:dyDescent="0.25">
      <c r="Q533" s="1" t="s">
        <v>5</v>
      </c>
      <c r="R533" s="1" t="s">
        <v>6</v>
      </c>
      <c r="S533" s="1" t="s">
        <v>5</v>
      </c>
      <c r="T533" s="1" t="s">
        <v>6</v>
      </c>
      <c r="U533" s="1" t="s">
        <v>5</v>
      </c>
      <c r="V533" s="1" t="s">
        <v>6</v>
      </c>
      <c r="W533" s="1" t="s">
        <v>6</v>
      </c>
      <c r="AA533"/>
    </row>
    <row r="534" spans="2:27" x14ac:dyDescent="0.25">
      <c r="O534" s="1">
        <v>1</v>
      </c>
      <c r="Q534" s="1">
        <v>0</v>
      </c>
      <c r="R534" s="1" t="s">
        <v>6</v>
      </c>
      <c r="S534" s="1">
        <v>9805191.3300000001</v>
      </c>
      <c r="T534" s="1" t="s">
        <v>7</v>
      </c>
      <c r="U534" s="1">
        <v>9805191.3300000001</v>
      </c>
      <c r="V534" s="1" t="s">
        <v>7</v>
      </c>
      <c r="W534" s="1" t="s">
        <v>7</v>
      </c>
      <c r="AA534"/>
    </row>
    <row r="535" spans="2:27" x14ac:dyDescent="0.25">
      <c r="O535" s="1">
        <v>2</v>
      </c>
      <c r="Q535" s="1">
        <v>0</v>
      </c>
      <c r="R535" s="1" t="s">
        <v>6</v>
      </c>
      <c r="S535" s="1">
        <v>140114.51</v>
      </c>
      <c r="T535" s="1" t="s">
        <v>7</v>
      </c>
      <c r="U535" s="1">
        <v>140114.51</v>
      </c>
      <c r="V535" s="1" t="s">
        <v>7</v>
      </c>
      <c r="W535" s="1" t="s">
        <v>7</v>
      </c>
      <c r="AA535"/>
    </row>
    <row r="536" spans="2:27" x14ac:dyDescent="0.25">
      <c r="O536" s="1">
        <v>3</v>
      </c>
      <c r="Q536" s="1">
        <v>348736.03</v>
      </c>
      <c r="R536" s="1" t="s">
        <v>6</v>
      </c>
      <c r="S536" s="1">
        <v>0</v>
      </c>
      <c r="T536" s="1" t="s">
        <v>6</v>
      </c>
      <c r="U536" s="1">
        <v>348736.03</v>
      </c>
      <c r="V536" s="1" t="s">
        <v>6</v>
      </c>
      <c r="W536" s="1" t="s">
        <v>6</v>
      </c>
      <c r="Z536" s="1">
        <f>U534+U535-U536</f>
        <v>9596569.8100000005</v>
      </c>
      <c r="AA536"/>
    </row>
    <row r="537" spans="2:27" x14ac:dyDescent="0.25">
      <c r="AA537"/>
    </row>
    <row r="538" spans="2:27" x14ac:dyDescent="0.25">
      <c r="Z538" s="2">
        <f>Z528-Z536</f>
        <v>-9261832.5200000014</v>
      </c>
      <c r="AA538"/>
    </row>
    <row r="539" spans="2:27" x14ac:dyDescent="0.25">
      <c r="AA539"/>
    </row>
    <row r="540" spans="2:27" x14ac:dyDescent="0.25">
      <c r="B540" s="1" t="s">
        <v>83</v>
      </c>
      <c r="O540" s="1" t="s">
        <v>0</v>
      </c>
      <c r="Q540" s="1" t="s">
        <v>1</v>
      </c>
      <c r="R540" s="1" t="s">
        <v>2</v>
      </c>
      <c r="S540" s="1" t="s">
        <v>3</v>
      </c>
      <c r="T540" s="1" t="s">
        <v>2</v>
      </c>
      <c r="U540" s="1" t="s">
        <v>4</v>
      </c>
      <c r="V540" s="1" t="s">
        <v>2</v>
      </c>
      <c r="W540" s="1" t="s">
        <v>2</v>
      </c>
    </row>
    <row r="541" spans="2:27" x14ac:dyDescent="0.25">
      <c r="B541" s="1" t="s">
        <v>84</v>
      </c>
      <c r="Q541" s="1" t="s">
        <v>5</v>
      </c>
      <c r="R541" s="1" t="s">
        <v>6</v>
      </c>
      <c r="S541" s="1" t="s">
        <v>5</v>
      </c>
      <c r="T541" s="1" t="s">
        <v>6</v>
      </c>
      <c r="U541" s="1" t="s">
        <v>5</v>
      </c>
      <c r="V541" s="1" t="s">
        <v>6</v>
      </c>
      <c r="W541" s="1" t="s">
        <v>6</v>
      </c>
    </row>
    <row r="542" spans="2:27" x14ac:dyDescent="0.25">
      <c r="B542" s="1" t="s">
        <v>124</v>
      </c>
      <c r="O542" s="1">
        <v>1</v>
      </c>
      <c r="Q542" s="1">
        <v>0</v>
      </c>
      <c r="R542" s="1" t="s">
        <v>6</v>
      </c>
      <c r="S542" s="1">
        <v>5192.2</v>
      </c>
      <c r="T542" s="1" t="s">
        <v>7</v>
      </c>
      <c r="U542" s="1">
        <v>5192.2</v>
      </c>
      <c r="V542" s="1" t="s">
        <v>7</v>
      </c>
      <c r="W542" s="1" t="s">
        <v>7</v>
      </c>
    </row>
    <row r="543" spans="2:27" x14ac:dyDescent="0.25">
      <c r="B543" s="1" t="s">
        <v>125</v>
      </c>
      <c r="O543" s="1">
        <v>2</v>
      </c>
      <c r="Q543" s="1">
        <v>0</v>
      </c>
      <c r="R543" s="1" t="s">
        <v>6</v>
      </c>
      <c r="S543" s="1">
        <v>679279.28</v>
      </c>
      <c r="T543" s="1" t="s">
        <v>7</v>
      </c>
      <c r="U543" s="1">
        <v>679279.28</v>
      </c>
      <c r="V543" s="1" t="s">
        <v>7</v>
      </c>
      <c r="W543" s="1" t="s">
        <v>7</v>
      </c>
    </row>
    <row r="544" spans="2:27" x14ac:dyDescent="0.25">
      <c r="B544" s="1" t="s">
        <v>126</v>
      </c>
      <c r="O544" s="1">
        <v>3</v>
      </c>
      <c r="Q544" s="1">
        <v>0</v>
      </c>
      <c r="R544" s="1" t="s">
        <v>6</v>
      </c>
      <c r="S544" s="1">
        <v>4888.8900000000003</v>
      </c>
      <c r="T544" s="1" t="s">
        <v>7</v>
      </c>
      <c r="U544" s="1">
        <v>4888.8900000000003</v>
      </c>
      <c r="V544" s="1" t="s">
        <v>7</v>
      </c>
      <c r="W544" s="1" t="s">
        <v>7</v>
      </c>
    </row>
    <row r="545" spans="2:26" x14ac:dyDescent="0.25">
      <c r="B545" s="1" t="s">
        <v>127</v>
      </c>
      <c r="O545" s="1">
        <v>4</v>
      </c>
      <c r="Q545" s="1">
        <v>294065</v>
      </c>
      <c r="R545" s="1" t="s">
        <v>6</v>
      </c>
      <c r="S545" s="1">
        <v>0</v>
      </c>
      <c r="T545" s="1" t="s">
        <v>6</v>
      </c>
      <c r="U545" s="1">
        <v>294065</v>
      </c>
      <c r="V545" s="1" t="s">
        <v>6</v>
      </c>
      <c r="W545" s="1" t="s">
        <v>6</v>
      </c>
    </row>
    <row r="546" spans="2:26" x14ac:dyDescent="0.25">
      <c r="B546" s="1" t="s">
        <v>128</v>
      </c>
      <c r="O546" s="1">
        <v>5</v>
      </c>
      <c r="Q546" s="1">
        <v>20000</v>
      </c>
      <c r="R546" s="1" t="s">
        <v>6</v>
      </c>
      <c r="S546" s="1">
        <v>0</v>
      </c>
      <c r="T546" s="1" t="s">
        <v>6</v>
      </c>
      <c r="U546" s="1">
        <v>20000</v>
      </c>
      <c r="V546" s="1" t="s">
        <v>6</v>
      </c>
      <c r="W546" s="1" t="s">
        <v>6</v>
      </c>
      <c r="Z546" s="1">
        <f>U542+U543+U544-U545-U546</f>
        <v>375295.37</v>
      </c>
    </row>
    <row r="548" spans="2:26" x14ac:dyDescent="0.25">
      <c r="Z548" s="2">
        <f>Z536-Z546</f>
        <v>9221274.4400000013</v>
      </c>
    </row>
    <row r="549" spans="2:26" x14ac:dyDescent="0.25">
      <c r="O549" s="1" t="s">
        <v>0</v>
      </c>
      <c r="Q549" s="1" t="s">
        <v>1</v>
      </c>
      <c r="R549" s="1" t="s">
        <v>2</v>
      </c>
      <c r="S549" s="1" t="s">
        <v>3</v>
      </c>
      <c r="T549" s="1" t="s">
        <v>2</v>
      </c>
      <c r="U549" s="1" t="s">
        <v>4</v>
      </c>
      <c r="V549" s="1" t="s">
        <v>2</v>
      </c>
      <c r="W549" s="1" t="s">
        <v>2</v>
      </c>
    </row>
    <row r="550" spans="2:26" x14ac:dyDescent="0.25">
      <c r="Q550" s="1" t="s">
        <v>5</v>
      </c>
      <c r="R550" s="1" t="s">
        <v>6</v>
      </c>
      <c r="S550" s="1" t="s">
        <v>5</v>
      </c>
      <c r="T550" s="1" t="s">
        <v>6</v>
      </c>
      <c r="U550" s="1" t="s">
        <v>5</v>
      </c>
      <c r="V550" s="1" t="s">
        <v>6</v>
      </c>
      <c r="W550" s="1" t="s">
        <v>6</v>
      </c>
    </row>
    <row r="551" spans="2:26" x14ac:dyDescent="0.25">
      <c r="O551" s="1">
        <v>1</v>
      </c>
      <c r="Q551" s="1">
        <v>0</v>
      </c>
      <c r="R551" s="1" t="s">
        <v>6</v>
      </c>
      <c r="S551" s="1">
        <v>156353.66</v>
      </c>
      <c r="T551" s="1" t="s">
        <v>7</v>
      </c>
      <c r="U551" s="1">
        <v>156353.66</v>
      </c>
      <c r="V551" s="1" t="s">
        <v>7</v>
      </c>
      <c r="W551" s="1" t="s">
        <v>7</v>
      </c>
    </row>
    <row r="552" spans="2:26" x14ac:dyDescent="0.25">
      <c r="O552" s="1">
        <v>2</v>
      </c>
      <c r="Q552" s="1">
        <v>0</v>
      </c>
      <c r="R552" s="1" t="s">
        <v>6</v>
      </c>
      <c r="S552" s="1">
        <v>786934.77</v>
      </c>
      <c r="T552" s="1" t="s">
        <v>7</v>
      </c>
      <c r="U552" s="1">
        <v>786934.77</v>
      </c>
      <c r="V552" s="1" t="s">
        <v>7</v>
      </c>
      <c r="W552" s="1" t="s">
        <v>7</v>
      </c>
    </row>
    <row r="553" spans="2:26" x14ac:dyDescent="0.25">
      <c r="O553" s="1">
        <v>3</v>
      </c>
      <c r="Q553" s="1">
        <v>0</v>
      </c>
      <c r="R553" s="1" t="s">
        <v>6</v>
      </c>
      <c r="S553" s="1">
        <v>11889.72</v>
      </c>
      <c r="T553" s="1" t="s">
        <v>7</v>
      </c>
      <c r="U553" s="1">
        <v>11889.72</v>
      </c>
      <c r="V553" s="1" t="s">
        <v>7</v>
      </c>
      <c r="W553" s="1" t="s">
        <v>7</v>
      </c>
    </row>
    <row r="554" spans="2:26" x14ac:dyDescent="0.25">
      <c r="O554" s="1">
        <v>4</v>
      </c>
      <c r="Q554" s="1">
        <v>297506.21999999997</v>
      </c>
      <c r="R554" s="1" t="s">
        <v>6</v>
      </c>
      <c r="S554" s="1">
        <v>0</v>
      </c>
      <c r="T554" s="1" t="s">
        <v>6</v>
      </c>
      <c r="U554" s="1">
        <v>297506.21999999997</v>
      </c>
      <c r="V554" s="1" t="s">
        <v>6</v>
      </c>
      <c r="W554" s="1" t="s">
        <v>6</v>
      </c>
      <c r="Z554" s="1">
        <f>U551+U552+U553-U554</f>
        <v>657671.93000000005</v>
      </c>
    </row>
    <row r="556" spans="2:26" x14ac:dyDescent="0.25">
      <c r="Z556" s="2">
        <f>Z546-Z554</f>
        <v>-282376.56000000006</v>
      </c>
    </row>
    <row r="557" spans="2:26" x14ac:dyDescent="0.25">
      <c r="O557" s="1" t="s">
        <v>0</v>
      </c>
      <c r="Q557" s="1" t="s">
        <v>1</v>
      </c>
      <c r="R557" s="1" t="s">
        <v>2</v>
      </c>
      <c r="S557" s="1" t="s">
        <v>3</v>
      </c>
      <c r="T557" s="1" t="s">
        <v>2</v>
      </c>
      <c r="U557" s="1" t="s">
        <v>4</v>
      </c>
      <c r="V557" s="1" t="s">
        <v>2</v>
      </c>
      <c r="W557" s="1" t="s">
        <v>2</v>
      </c>
    </row>
    <row r="558" spans="2:26" x14ac:dyDescent="0.25">
      <c r="Q558" s="1" t="s">
        <v>5</v>
      </c>
      <c r="R558" s="1" t="s">
        <v>6</v>
      </c>
      <c r="S558" s="1" t="s">
        <v>5</v>
      </c>
      <c r="T558" s="1" t="s">
        <v>6</v>
      </c>
      <c r="U558" s="1" t="s">
        <v>5</v>
      </c>
      <c r="V558" s="1" t="s">
        <v>6</v>
      </c>
      <c r="W558" s="1" t="s">
        <v>6</v>
      </c>
    </row>
    <row r="559" spans="2:26" x14ac:dyDescent="0.25">
      <c r="O559" s="1">
        <v>1</v>
      </c>
      <c r="Q559" s="1">
        <v>0</v>
      </c>
      <c r="R559" s="1" t="s">
        <v>6</v>
      </c>
      <c r="S559" s="1">
        <v>5147542.1500000004</v>
      </c>
      <c r="T559" s="1" t="s">
        <v>7</v>
      </c>
      <c r="U559" s="1">
        <v>5147542.1500000004</v>
      </c>
      <c r="V559" s="1" t="s">
        <v>7</v>
      </c>
      <c r="W559" s="1" t="s">
        <v>7</v>
      </c>
    </row>
    <row r="560" spans="2:26" x14ac:dyDescent="0.25">
      <c r="O560" s="1">
        <v>2</v>
      </c>
      <c r="Q560" s="1">
        <v>0</v>
      </c>
      <c r="R560" s="1" t="s">
        <v>6</v>
      </c>
      <c r="S560" s="1">
        <v>3534.69</v>
      </c>
      <c r="T560" s="1" t="s">
        <v>7</v>
      </c>
      <c r="U560" s="1">
        <v>3534.69</v>
      </c>
      <c r="V560" s="1" t="s">
        <v>7</v>
      </c>
      <c r="W560" s="1" t="s">
        <v>7</v>
      </c>
    </row>
    <row r="561" spans="15:26" x14ac:dyDescent="0.25">
      <c r="O561" s="1">
        <v>3</v>
      </c>
      <c r="Q561" s="1">
        <v>0</v>
      </c>
      <c r="R561" s="1" t="s">
        <v>6</v>
      </c>
      <c r="S561" s="1">
        <v>348391</v>
      </c>
      <c r="T561" s="1" t="s">
        <v>7</v>
      </c>
      <c r="U561" s="1">
        <v>348391</v>
      </c>
      <c r="V561" s="1" t="s">
        <v>7</v>
      </c>
      <c r="W561" s="1" t="s">
        <v>7</v>
      </c>
      <c r="Z561" s="1">
        <f>U559+U560+U561</f>
        <v>5499467.8400000008</v>
      </c>
    </row>
    <row r="563" spans="15:26" x14ac:dyDescent="0.25">
      <c r="Z563" s="2">
        <f>Z554-Z561</f>
        <v>-4841795.9100000011</v>
      </c>
    </row>
    <row r="565" spans="15:26" x14ac:dyDescent="0.25">
      <c r="O565" s="1" t="s">
        <v>0</v>
      </c>
      <c r="Q565" s="1" t="s">
        <v>1</v>
      </c>
      <c r="R565" s="1" t="s">
        <v>2</v>
      </c>
      <c r="S565" s="1" t="s">
        <v>3</v>
      </c>
      <c r="T565" s="1" t="s">
        <v>2</v>
      </c>
      <c r="U565" s="1" t="s">
        <v>4</v>
      </c>
      <c r="V565" s="1" t="s">
        <v>2</v>
      </c>
      <c r="W565" s="1" t="s">
        <v>2</v>
      </c>
    </row>
    <row r="566" spans="15:26" x14ac:dyDescent="0.25">
      <c r="Q566" s="1" t="s">
        <v>5</v>
      </c>
      <c r="R566" s="1" t="s">
        <v>6</v>
      </c>
      <c r="S566" s="1" t="s">
        <v>5</v>
      </c>
      <c r="T566" s="1" t="s">
        <v>6</v>
      </c>
      <c r="U566" s="1" t="s">
        <v>5</v>
      </c>
      <c r="V566" s="1" t="s">
        <v>6</v>
      </c>
      <c r="W566" s="1" t="s">
        <v>6</v>
      </c>
    </row>
    <row r="567" spans="15:26" x14ac:dyDescent="0.25">
      <c r="O567" s="1">
        <v>1</v>
      </c>
      <c r="Q567" s="1">
        <v>0</v>
      </c>
      <c r="R567" s="1" t="s">
        <v>6</v>
      </c>
      <c r="S567" s="1">
        <v>28513.17</v>
      </c>
      <c r="T567" s="1" t="s">
        <v>7</v>
      </c>
      <c r="U567" s="1">
        <v>28513.17</v>
      </c>
      <c r="V567" s="1" t="s">
        <v>7</v>
      </c>
      <c r="W567" s="1" t="s">
        <v>7</v>
      </c>
    </row>
    <row r="568" spans="15:26" x14ac:dyDescent="0.25">
      <c r="O568" s="1">
        <v>2</v>
      </c>
      <c r="Q568" s="1">
        <v>0</v>
      </c>
      <c r="R568" s="1" t="s">
        <v>6</v>
      </c>
      <c r="S568" s="1">
        <v>3343266.34</v>
      </c>
      <c r="T568" s="1" t="s">
        <v>7</v>
      </c>
      <c r="U568" s="1">
        <v>3343266.34</v>
      </c>
      <c r="V568" s="1" t="s">
        <v>7</v>
      </c>
      <c r="W568" s="1" t="s">
        <v>7</v>
      </c>
    </row>
    <row r="569" spans="15:26" x14ac:dyDescent="0.25">
      <c r="O569" s="1">
        <v>3</v>
      </c>
      <c r="Q569" s="1">
        <v>0</v>
      </c>
      <c r="R569" s="1" t="s">
        <v>6</v>
      </c>
      <c r="S569" s="1">
        <v>89825.06</v>
      </c>
      <c r="T569" s="1" t="s">
        <v>7</v>
      </c>
      <c r="U569" s="1">
        <v>89825.06</v>
      </c>
      <c r="V569" s="1" t="s">
        <v>7</v>
      </c>
      <c r="W569" s="1" t="s">
        <v>7</v>
      </c>
    </row>
    <row r="570" spans="15:26" x14ac:dyDescent="0.25">
      <c r="O570" s="1">
        <v>4</v>
      </c>
      <c r="Q570" s="1">
        <v>362764.06</v>
      </c>
      <c r="R570" s="1" t="s">
        <v>6</v>
      </c>
      <c r="S570" s="1">
        <v>0</v>
      </c>
      <c r="T570" s="1" t="s">
        <v>6</v>
      </c>
      <c r="U570" s="1">
        <v>362764.06</v>
      </c>
      <c r="V570" s="1" t="s">
        <v>6</v>
      </c>
      <c r="W570" s="1" t="s">
        <v>6</v>
      </c>
      <c r="Z570" s="1">
        <f>U567+U568+U569-U570</f>
        <v>3098840.51</v>
      </c>
    </row>
    <row r="572" spans="15:26" x14ac:dyDescent="0.25">
      <c r="Z572" s="2">
        <f>Z561-Z570</f>
        <v>2400627.330000001</v>
      </c>
    </row>
    <row r="573" spans="15:26" x14ac:dyDescent="0.25">
      <c r="O573" s="1" t="s">
        <v>0</v>
      </c>
      <c r="Q573" s="1" t="s">
        <v>1</v>
      </c>
      <c r="R573" s="1" t="s">
        <v>2</v>
      </c>
      <c r="S573" s="1" t="s">
        <v>3</v>
      </c>
      <c r="T573" s="1" t="s">
        <v>2</v>
      </c>
      <c r="U573" s="1" t="s">
        <v>4</v>
      </c>
      <c r="V573" s="1" t="s">
        <v>2</v>
      </c>
      <c r="W573" s="1" t="s">
        <v>2</v>
      </c>
    </row>
    <row r="574" spans="15:26" x14ac:dyDescent="0.25">
      <c r="Q574" s="1" t="s">
        <v>5</v>
      </c>
      <c r="R574" s="1" t="s">
        <v>6</v>
      </c>
      <c r="S574" s="1" t="s">
        <v>5</v>
      </c>
      <c r="T574" s="1" t="s">
        <v>6</v>
      </c>
      <c r="U574" s="1" t="s">
        <v>5</v>
      </c>
      <c r="V574" s="1" t="s">
        <v>6</v>
      </c>
      <c r="W574" s="1" t="s">
        <v>6</v>
      </c>
    </row>
    <row r="575" spans="15:26" x14ac:dyDescent="0.25">
      <c r="O575" s="1">
        <v>1</v>
      </c>
      <c r="Q575" s="1">
        <v>0</v>
      </c>
      <c r="R575" s="1" t="s">
        <v>6</v>
      </c>
      <c r="S575" s="1">
        <v>4992.5</v>
      </c>
      <c r="T575" s="1" t="s">
        <v>7</v>
      </c>
      <c r="U575" s="1">
        <v>4992.5</v>
      </c>
      <c r="V575" s="1" t="s">
        <v>7</v>
      </c>
      <c r="W575" s="1" t="s">
        <v>7</v>
      </c>
    </row>
    <row r="576" spans="15:26" x14ac:dyDescent="0.25">
      <c r="O576" s="1">
        <v>2</v>
      </c>
      <c r="Q576" s="1">
        <v>0</v>
      </c>
      <c r="R576" s="1" t="s">
        <v>6</v>
      </c>
      <c r="S576" s="1">
        <v>3281391.2</v>
      </c>
      <c r="T576" s="1" t="s">
        <v>7</v>
      </c>
      <c r="U576" s="1">
        <v>3281391.2</v>
      </c>
      <c r="V576" s="1" t="s">
        <v>7</v>
      </c>
      <c r="W576" s="1" t="s">
        <v>7</v>
      </c>
    </row>
    <row r="577" spans="15:26" x14ac:dyDescent="0.25">
      <c r="O577" s="1">
        <v>3</v>
      </c>
      <c r="Q577" s="1">
        <v>162534.46</v>
      </c>
      <c r="R577" s="1" t="s">
        <v>6</v>
      </c>
      <c r="S577" s="1">
        <v>0</v>
      </c>
      <c r="T577" s="1" t="s">
        <v>6</v>
      </c>
      <c r="U577" s="1">
        <v>162534.46</v>
      </c>
      <c r="V577" s="1" t="s">
        <v>6</v>
      </c>
      <c r="W577" s="1" t="s">
        <v>6</v>
      </c>
      <c r="Z577" s="1">
        <f>U575+U576-U577</f>
        <v>3123849.24</v>
      </c>
    </row>
    <row r="579" spans="15:26" x14ac:dyDescent="0.25">
      <c r="Z579" s="2">
        <f>Z570-Z577</f>
        <v>-25008.730000000447</v>
      </c>
    </row>
    <row r="581" spans="15:26" x14ac:dyDescent="0.25">
      <c r="O581" s="1" t="s">
        <v>0</v>
      </c>
      <c r="Q581" s="1" t="s">
        <v>1</v>
      </c>
      <c r="R581" s="1" t="s">
        <v>2</v>
      </c>
      <c r="S581" s="1" t="s">
        <v>3</v>
      </c>
      <c r="T581" s="1" t="s">
        <v>2</v>
      </c>
      <c r="U581" s="1" t="s">
        <v>4</v>
      </c>
      <c r="V581" s="1" t="s">
        <v>2</v>
      </c>
      <c r="W581" s="1" t="s">
        <v>2</v>
      </c>
    </row>
    <row r="582" spans="15:26" x14ac:dyDescent="0.25">
      <c r="Q582" s="1" t="s">
        <v>5</v>
      </c>
      <c r="R582" s="1" t="s">
        <v>6</v>
      </c>
      <c r="S582" s="1" t="s">
        <v>5</v>
      </c>
      <c r="T582" s="1" t="s">
        <v>6</v>
      </c>
      <c r="U582" s="1" t="s">
        <v>5</v>
      </c>
      <c r="V582" s="1" t="s">
        <v>6</v>
      </c>
      <c r="W582" s="1" t="s">
        <v>6</v>
      </c>
    </row>
    <row r="583" spans="15:26" x14ac:dyDescent="0.25">
      <c r="O583" s="1">
        <v>1</v>
      </c>
      <c r="Q583" s="1">
        <v>0</v>
      </c>
      <c r="R583" s="1" t="s">
        <v>6</v>
      </c>
      <c r="S583" s="1">
        <v>10000</v>
      </c>
      <c r="T583" s="1" t="s">
        <v>7</v>
      </c>
      <c r="U583" s="1">
        <v>10000</v>
      </c>
      <c r="V583" s="1" t="s">
        <v>7</v>
      </c>
      <c r="W583" s="1" t="s">
        <v>7</v>
      </c>
    </row>
    <row r="584" spans="15:26" x14ac:dyDescent="0.25">
      <c r="O584" s="1">
        <v>2</v>
      </c>
      <c r="Q584" s="1">
        <v>0</v>
      </c>
      <c r="R584" s="1" t="s">
        <v>6</v>
      </c>
      <c r="S584" s="1">
        <v>36476.699999999997</v>
      </c>
      <c r="T584" s="1" t="s">
        <v>7</v>
      </c>
      <c r="U584" s="1">
        <v>36476.699999999997</v>
      </c>
      <c r="V584" s="1" t="s">
        <v>7</v>
      </c>
      <c r="W584" s="1" t="s">
        <v>7</v>
      </c>
    </row>
    <row r="585" spans="15:26" x14ac:dyDescent="0.25">
      <c r="O585" s="1">
        <v>3</v>
      </c>
      <c r="Q585" s="1">
        <v>0</v>
      </c>
      <c r="R585" s="1" t="s">
        <v>6</v>
      </c>
      <c r="S585" s="1">
        <v>60934.45</v>
      </c>
      <c r="T585" s="1" t="s">
        <v>7</v>
      </c>
      <c r="U585" s="1">
        <v>60934.45</v>
      </c>
      <c r="V585" s="1" t="s">
        <v>7</v>
      </c>
      <c r="W585" s="1" t="s">
        <v>7</v>
      </c>
    </row>
    <row r="586" spans="15:26" x14ac:dyDescent="0.25">
      <c r="O586" s="1">
        <v>4</v>
      </c>
      <c r="Q586" s="1">
        <v>368735.01</v>
      </c>
      <c r="R586" s="1" t="s">
        <v>6</v>
      </c>
      <c r="S586" s="1">
        <v>0</v>
      </c>
      <c r="T586" s="1" t="s">
        <v>6</v>
      </c>
      <c r="U586" s="1">
        <v>368735.01</v>
      </c>
      <c r="V586" s="1" t="s">
        <v>6</v>
      </c>
      <c r="W586" s="1" t="s">
        <v>6</v>
      </c>
      <c r="Z586" s="1">
        <f>U583+U584+U585-U586</f>
        <v>-261323.86000000002</v>
      </c>
    </row>
    <row r="588" spans="15:26" x14ac:dyDescent="0.25">
      <c r="Z588" s="2">
        <f>Z577-Z586</f>
        <v>3385173.1</v>
      </c>
    </row>
    <row r="591" spans="15:26" x14ac:dyDescent="0.25">
      <c r="O591" s="1" t="s">
        <v>0</v>
      </c>
      <c r="Q591" s="1" t="s">
        <v>1</v>
      </c>
      <c r="R591" s="1" t="s">
        <v>2</v>
      </c>
      <c r="S591" s="1" t="s">
        <v>3</v>
      </c>
      <c r="T591" s="1" t="s">
        <v>2</v>
      </c>
      <c r="U591" s="1" t="s">
        <v>4</v>
      </c>
      <c r="V591" s="1" t="s">
        <v>2</v>
      </c>
      <c r="W591" s="1" t="s">
        <v>2</v>
      </c>
    </row>
    <row r="592" spans="15:26" x14ac:dyDescent="0.25">
      <c r="Q592" s="1" t="s">
        <v>5</v>
      </c>
      <c r="R592" s="1" t="s">
        <v>6</v>
      </c>
      <c r="S592" s="1" t="s">
        <v>5</v>
      </c>
      <c r="T592" s="1" t="s">
        <v>6</v>
      </c>
      <c r="U592" s="1" t="s">
        <v>5</v>
      </c>
      <c r="V592" s="1" t="s">
        <v>6</v>
      </c>
      <c r="W592" s="1" t="s">
        <v>6</v>
      </c>
    </row>
    <row r="593" spans="15:26" x14ac:dyDescent="0.25">
      <c r="O593" s="1">
        <v>1</v>
      </c>
      <c r="Q593" s="1">
        <v>0</v>
      </c>
      <c r="R593" s="1" t="s">
        <v>6</v>
      </c>
      <c r="S593" s="1">
        <v>21145998.280000001</v>
      </c>
      <c r="T593" s="1" t="s">
        <v>7</v>
      </c>
      <c r="U593" s="1">
        <v>21145998.280000001</v>
      </c>
      <c r="V593" s="1" t="s">
        <v>7</v>
      </c>
      <c r="W593" s="1" t="s">
        <v>7</v>
      </c>
    </row>
    <row r="594" spans="15:26" x14ac:dyDescent="0.25">
      <c r="O594" s="1">
        <v>2</v>
      </c>
      <c r="Q594" s="1">
        <v>0</v>
      </c>
      <c r="R594" s="1" t="s">
        <v>6</v>
      </c>
      <c r="S594" s="1">
        <v>9806333.5700000003</v>
      </c>
      <c r="T594" s="1" t="s">
        <v>7</v>
      </c>
      <c r="U594" s="1">
        <v>9806333.5700000003</v>
      </c>
      <c r="V594" s="1" t="s">
        <v>7</v>
      </c>
      <c r="W594" s="1" t="s">
        <v>7</v>
      </c>
    </row>
    <row r="595" spans="15:26" x14ac:dyDescent="0.25">
      <c r="O595" s="1">
        <v>3</v>
      </c>
      <c r="Q595" s="1">
        <v>0</v>
      </c>
      <c r="R595" s="1" t="s">
        <v>6</v>
      </c>
      <c r="S595" s="1">
        <v>86313.94</v>
      </c>
      <c r="T595" s="1" t="s">
        <v>7</v>
      </c>
      <c r="U595" s="1">
        <v>86313.94</v>
      </c>
      <c r="V595" s="1" t="s">
        <v>7</v>
      </c>
      <c r="W595" s="1" t="s">
        <v>7</v>
      </c>
      <c r="Z595" s="1">
        <f>U593+U594+U595</f>
        <v>31038645.790000003</v>
      </c>
    </row>
    <row r="597" spans="15:26" x14ac:dyDescent="0.25">
      <c r="Z597" s="2">
        <f>Z586-Z595</f>
        <v>-31299969.650000002</v>
      </c>
    </row>
    <row r="599" spans="15:26" x14ac:dyDescent="0.25">
      <c r="O599" s="1" t="s">
        <v>0</v>
      </c>
      <c r="Q599" s="1" t="s">
        <v>1</v>
      </c>
      <c r="R599" s="1" t="s">
        <v>2</v>
      </c>
      <c r="S599" s="1" t="s">
        <v>3</v>
      </c>
      <c r="T599" s="1" t="s">
        <v>2</v>
      </c>
      <c r="U599" s="1" t="s">
        <v>4</v>
      </c>
      <c r="V599" s="1" t="s">
        <v>2</v>
      </c>
      <c r="W599" s="1" t="s">
        <v>2</v>
      </c>
    </row>
    <row r="600" spans="15:26" x14ac:dyDescent="0.25">
      <c r="Q600" s="1" t="s">
        <v>5</v>
      </c>
      <c r="R600" s="1" t="s">
        <v>6</v>
      </c>
      <c r="S600" s="1" t="s">
        <v>5</v>
      </c>
      <c r="T600" s="1" t="s">
        <v>6</v>
      </c>
      <c r="U600" s="1" t="s">
        <v>5</v>
      </c>
      <c r="V600" s="1" t="s">
        <v>6</v>
      </c>
      <c r="W600" s="1" t="s">
        <v>6</v>
      </c>
    </row>
    <row r="601" spans="15:26" x14ac:dyDescent="0.25">
      <c r="O601" s="1">
        <v>1</v>
      </c>
      <c r="Q601" s="1">
        <v>0</v>
      </c>
      <c r="R601" s="1" t="s">
        <v>6</v>
      </c>
      <c r="S601" s="1">
        <v>2346.4699999999998</v>
      </c>
      <c r="T601" s="1" t="s">
        <v>7</v>
      </c>
      <c r="U601" s="1">
        <v>2346.4699999999998</v>
      </c>
      <c r="V601" s="1" t="s">
        <v>7</v>
      </c>
      <c r="W601" s="1" t="s">
        <v>7</v>
      </c>
    </row>
    <row r="602" spans="15:26" x14ac:dyDescent="0.25">
      <c r="O602" s="1">
        <v>2</v>
      </c>
      <c r="Q602" s="1">
        <v>0</v>
      </c>
      <c r="R602" s="1" t="s">
        <v>6</v>
      </c>
      <c r="S602" s="1">
        <v>60108.03</v>
      </c>
      <c r="T602" s="1" t="s">
        <v>7</v>
      </c>
      <c r="U602" s="1">
        <v>60108.03</v>
      </c>
      <c r="V602" s="1" t="s">
        <v>7</v>
      </c>
      <c r="W602" s="1" t="s">
        <v>7</v>
      </c>
    </row>
    <row r="603" spans="15:26" x14ac:dyDescent="0.25">
      <c r="O603" s="1">
        <v>3</v>
      </c>
      <c r="Q603" s="1">
        <v>0</v>
      </c>
      <c r="R603" s="1" t="s">
        <v>6</v>
      </c>
      <c r="S603" s="1">
        <v>92027.75</v>
      </c>
      <c r="T603" s="1" t="s">
        <v>7</v>
      </c>
      <c r="U603" s="1">
        <v>92027.75</v>
      </c>
      <c r="V603" s="1" t="s">
        <v>7</v>
      </c>
      <c r="W603" s="1" t="s">
        <v>7</v>
      </c>
    </row>
    <row r="604" spans="15:26" x14ac:dyDescent="0.25">
      <c r="O604" s="1">
        <v>4</v>
      </c>
      <c r="Q604" s="1">
        <v>155489.16</v>
      </c>
      <c r="R604" s="1" t="s">
        <v>6</v>
      </c>
      <c r="S604" s="1">
        <v>0</v>
      </c>
      <c r="T604" s="1" t="s">
        <v>6</v>
      </c>
      <c r="U604" s="1">
        <v>155489.16</v>
      </c>
      <c r="V604" s="1" t="s">
        <v>6</v>
      </c>
      <c r="W604" s="1" t="s">
        <v>6</v>
      </c>
      <c r="Z604" s="1">
        <f>U601+U602+U603-U604</f>
        <v>-1006.9100000000035</v>
      </c>
    </row>
    <row r="606" spans="15:26" x14ac:dyDescent="0.25">
      <c r="Z606" s="9">
        <f>Z595-Z604</f>
        <v>31039652.700000003</v>
      </c>
    </row>
    <row r="608" spans="15:26" x14ac:dyDescent="0.25">
      <c r="O608" s="1" t="s">
        <v>0</v>
      </c>
      <c r="Q608" s="1" t="s">
        <v>1</v>
      </c>
      <c r="R608" s="1" t="s">
        <v>2</v>
      </c>
      <c r="S608" s="1" t="s">
        <v>3</v>
      </c>
      <c r="T608" s="1" t="s">
        <v>2</v>
      </c>
      <c r="U608" s="1" t="s">
        <v>4</v>
      </c>
      <c r="V608" s="1" t="s">
        <v>2</v>
      </c>
      <c r="W608" s="1" t="s">
        <v>2</v>
      </c>
    </row>
    <row r="609" spans="15:26" x14ac:dyDescent="0.25">
      <c r="Q609" s="1" t="s">
        <v>5</v>
      </c>
      <c r="R609" s="1" t="s">
        <v>6</v>
      </c>
      <c r="S609" s="1" t="s">
        <v>5</v>
      </c>
      <c r="T609" s="1" t="s">
        <v>6</v>
      </c>
      <c r="U609" s="1" t="s">
        <v>5</v>
      </c>
      <c r="V609" s="1" t="s">
        <v>6</v>
      </c>
      <c r="W609" s="1" t="s">
        <v>6</v>
      </c>
    </row>
    <row r="610" spans="15:26" x14ac:dyDescent="0.25">
      <c r="O610" s="1">
        <v>1</v>
      </c>
      <c r="Q610" s="1">
        <v>0</v>
      </c>
      <c r="R610" s="1" t="s">
        <v>6</v>
      </c>
      <c r="S610" s="1">
        <v>15166450.029999999</v>
      </c>
      <c r="T610" s="1" t="s">
        <v>7</v>
      </c>
      <c r="U610" s="1">
        <v>15166450.029999999</v>
      </c>
      <c r="V610" s="1" t="s">
        <v>7</v>
      </c>
      <c r="W610" s="1" t="s">
        <v>7</v>
      </c>
    </row>
    <row r="611" spans="15:26" x14ac:dyDescent="0.25">
      <c r="O611" s="1">
        <v>2</v>
      </c>
      <c r="Q611" s="1">
        <v>0</v>
      </c>
      <c r="R611" s="1" t="s">
        <v>6</v>
      </c>
      <c r="S611" s="1">
        <v>74631.77</v>
      </c>
      <c r="T611" s="1" t="s">
        <v>7</v>
      </c>
      <c r="U611" s="1">
        <v>74631.77</v>
      </c>
      <c r="V611" s="1" t="s">
        <v>7</v>
      </c>
      <c r="W611" s="1" t="s">
        <v>7</v>
      </c>
    </row>
    <row r="612" spans="15:26" x14ac:dyDescent="0.25">
      <c r="O612" s="1">
        <v>3</v>
      </c>
      <c r="Q612" s="1">
        <v>52918.63</v>
      </c>
      <c r="R612" s="1" t="s">
        <v>6</v>
      </c>
      <c r="S612" s="1">
        <v>0</v>
      </c>
      <c r="T612" s="1" t="s">
        <v>6</v>
      </c>
      <c r="U612" s="1">
        <v>52918.63</v>
      </c>
      <c r="V612" s="1" t="s">
        <v>6</v>
      </c>
      <c r="W612" s="1" t="s">
        <v>6</v>
      </c>
      <c r="Z612" s="1">
        <f>U610+U611-U612</f>
        <v>15188163.169999998</v>
      </c>
    </row>
    <row r="614" spans="15:26" x14ac:dyDescent="0.25">
      <c r="Z614" s="2">
        <f>Z604-Z612</f>
        <v>-15189170.079999998</v>
      </c>
    </row>
    <row r="616" spans="15:26" x14ac:dyDescent="0.25">
      <c r="O616" s="1" t="s">
        <v>0</v>
      </c>
      <c r="Q616" s="1" t="s">
        <v>1</v>
      </c>
      <c r="R616" s="1" t="s">
        <v>2</v>
      </c>
      <c r="S616" s="1" t="s">
        <v>3</v>
      </c>
      <c r="T616" s="1" t="s">
        <v>2</v>
      </c>
      <c r="U616" s="1" t="s">
        <v>4</v>
      </c>
      <c r="V616" s="1" t="s">
        <v>2</v>
      </c>
      <c r="W616" s="1" t="s">
        <v>2</v>
      </c>
    </row>
    <row r="617" spans="15:26" x14ac:dyDescent="0.25">
      <c r="Q617" s="1" t="s">
        <v>5</v>
      </c>
      <c r="R617" s="1" t="s">
        <v>6</v>
      </c>
      <c r="S617" s="1" t="s">
        <v>5</v>
      </c>
      <c r="T617" s="1" t="s">
        <v>6</v>
      </c>
      <c r="U617" s="1" t="s">
        <v>5</v>
      </c>
      <c r="V617" s="1" t="s">
        <v>6</v>
      </c>
      <c r="W617" s="1" t="s">
        <v>6</v>
      </c>
    </row>
    <row r="618" spans="15:26" x14ac:dyDescent="0.25">
      <c r="O618" s="1">
        <v>1</v>
      </c>
      <c r="Q618" s="1">
        <v>0</v>
      </c>
      <c r="R618" s="1" t="s">
        <v>6</v>
      </c>
      <c r="S618" s="1">
        <v>9503262.4800000004</v>
      </c>
      <c r="T618" s="1" t="s">
        <v>7</v>
      </c>
      <c r="U618" s="1">
        <v>9503262.4800000004</v>
      </c>
      <c r="V618" s="1" t="s">
        <v>7</v>
      </c>
      <c r="W618" s="1" t="s">
        <v>7</v>
      </c>
    </row>
    <row r="619" spans="15:26" x14ac:dyDescent="0.25">
      <c r="O619" s="1">
        <v>2</v>
      </c>
      <c r="Q619" s="1">
        <v>417238.29</v>
      </c>
      <c r="R619" s="1" t="s">
        <v>6</v>
      </c>
      <c r="S619" s="1">
        <v>0</v>
      </c>
      <c r="T619" s="1" t="s">
        <v>6</v>
      </c>
      <c r="U619" s="1">
        <v>417238.29</v>
      </c>
      <c r="V619" s="1" t="s">
        <v>6</v>
      </c>
      <c r="W619" s="1" t="s">
        <v>6</v>
      </c>
      <c r="Z619" s="1">
        <f>U618-U619</f>
        <v>9086024.1900000013</v>
      </c>
    </row>
    <row r="621" spans="15:26" x14ac:dyDescent="0.25">
      <c r="Z621" s="2">
        <f>Z612-Z619</f>
        <v>6102138.9799999967</v>
      </c>
    </row>
    <row r="622" spans="15:26" x14ac:dyDescent="0.25">
      <c r="O622" s="1" t="s">
        <v>0</v>
      </c>
      <c r="Q622" s="1" t="s">
        <v>1</v>
      </c>
      <c r="R622" s="1" t="s">
        <v>2</v>
      </c>
      <c r="S622" s="1" t="s">
        <v>3</v>
      </c>
      <c r="T622" s="1" t="s">
        <v>2</v>
      </c>
      <c r="U622" s="1" t="s">
        <v>4</v>
      </c>
      <c r="V622" s="1" t="s">
        <v>2</v>
      </c>
      <c r="W622" s="1" t="s">
        <v>2</v>
      </c>
    </row>
    <row r="623" spans="15:26" x14ac:dyDescent="0.25">
      <c r="Q623" s="1" t="s">
        <v>5</v>
      </c>
      <c r="R623" s="1" t="s">
        <v>6</v>
      </c>
      <c r="S623" s="1" t="s">
        <v>5</v>
      </c>
      <c r="T623" s="1" t="s">
        <v>6</v>
      </c>
      <c r="U623" s="1" t="s">
        <v>5</v>
      </c>
      <c r="V623" s="1" t="s">
        <v>6</v>
      </c>
      <c r="W623" s="1" t="s">
        <v>6</v>
      </c>
    </row>
    <row r="624" spans="15:26" x14ac:dyDescent="0.25">
      <c r="O624" s="1">
        <v>1</v>
      </c>
      <c r="Q624" s="1">
        <v>0</v>
      </c>
      <c r="R624" s="1" t="s">
        <v>6</v>
      </c>
      <c r="S624" s="1">
        <v>7738.37</v>
      </c>
      <c r="T624" s="1" t="s">
        <v>7</v>
      </c>
      <c r="U624" s="1">
        <v>7738.37</v>
      </c>
      <c r="V624" s="1" t="s">
        <v>7</v>
      </c>
      <c r="W624" s="1" t="s">
        <v>7</v>
      </c>
    </row>
    <row r="625" spans="15:26" x14ac:dyDescent="0.25">
      <c r="O625" s="1">
        <v>2</v>
      </c>
      <c r="Q625" s="1">
        <v>0</v>
      </c>
      <c r="R625" s="1" t="s">
        <v>6</v>
      </c>
      <c r="S625" s="1">
        <v>1873082.16</v>
      </c>
      <c r="T625" s="1" t="s">
        <v>6</v>
      </c>
      <c r="U625" s="1">
        <v>1873082.16</v>
      </c>
      <c r="V625" s="1" t="s">
        <v>6</v>
      </c>
      <c r="W625" s="1" t="s">
        <v>6</v>
      </c>
    </row>
    <row r="626" spans="15:26" x14ac:dyDescent="0.25">
      <c r="O626" s="1">
        <v>3</v>
      </c>
      <c r="Q626" s="1">
        <v>0</v>
      </c>
      <c r="R626" s="1" t="s">
        <v>6</v>
      </c>
      <c r="S626" s="1">
        <v>52870.57</v>
      </c>
      <c r="T626" s="1" t="s">
        <v>7</v>
      </c>
      <c r="U626" s="1">
        <v>52870.57</v>
      </c>
      <c r="V626" s="1" t="s">
        <v>7</v>
      </c>
      <c r="W626" s="1" t="s">
        <v>7</v>
      </c>
    </row>
    <row r="627" spans="15:26" x14ac:dyDescent="0.25">
      <c r="O627" s="1">
        <v>4</v>
      </c>
      <c r="Q627" s="1">
        <v>533386.69999999995</v>
      </c>
      <c r="R627" s="1" t="s">
        <v>6</v>
      </c>
      <c r="S627" s="1">
        <v>0</v>
      </c>
      <c r="T627" s="1" t="s">
        <v>6</v>
      </c>
      <c r="U627" s="1">
        <v>533386.69999999995</v>
      </c>
      <c r="V627" s="1" t="s">
        <v>6</v>
      </c>
      <c r="W627" s="1" t="s">
        <v>6</v>
      </c>
      <c r="Z627" s="1">
        <f>U624-U625+U626-U627</f>
        <v>-2345859.92</v>
      </c>
    </row>
    <row r="629" spans="15:26" x14ac:dyDescent="0.25">
      <c r="Z629" s="2">
        <f>Z619-Z627</f>
        <v>11431884.110000001</v>
      </c>
    </row>
    <row r="631" spans="15:26" x14ac:dyDescent="0.25">
      <c r="O631" s="1" t="s">
        <v>0</v>
      </c>
      <c r="Q631" s="1" t="s">
        <v>1</v>
      </c>
      <c r="R631" s="1" t="s">
        <v>2</v>
      </c>
      <c r="S631" s="1" t="s">
        <v>3</v>
      </c>
      <c r="T631" s="1" t="s">
        <v>2</v>
      </c>
      <c r="U631" s="1" t="s">
        <v>4</v>
      </c>
      <c r="V631" s="1" t="s">
        <v>2</v>
      </c>
      <c r="W631" s="1" t="s">
        <v>2</v>
      </c>
    </row>
    <row r="632" spans="15:26" x14ac:dyDescent="0.25">
      <c r="Q632" s="1" t="s">
        <v>5</v>
      </c>
      <c r="R632" s="1" t="s">
        <v>6</v>
      </c>
      <c r="S632" s="1" t="s">
        <v>5</v>
      </c>
      <c r="T632" s="1" t="s">
        <v>6</v>
      </c>
      <c r="U632" s="1" t="s">
        <v>5</v>
      </c>
      <c r="V632" s="1" t="s">
        <v>6</v>
      </c>
      <c r="W632" s="1" t="s">
        <v>6</v>
      </c>
    </row>
    <row r="633" spans="15:26" x14ac:dyDescent="0.25">
      <c r="O633" s="1">
        <v>1</v>
      </c>
      <c r="Q633" s="1">
        <v>0</v>
      </c>
      <c r="R633" s="1" t="s">
        <v>6</v>
      </c>
      <c r="S633" s="1">
        <v>26111352.829999998</v>
      </c>
      <c r="T633" s="1" t="s">
        <v>7</v>
      </c>
      <c r="U633" s="1">
        <v>26111352.829999998</v>
      </c>
      <c r="V633" s="1" t="s">
        <v>7</v>
      </c>
      <c r="W633" s="1" t="s">
        <v>7</v>
      </c>
      <c r="Z633" s="1">
        <f>U633</f>
        <v>26111352.829999998</v>
      </c>
    </row>
    <row r="635" spans="15:26" x14ac:dyDescent="0.25">
      <c r="Z635" s="2">
        <f>Z627-Z633</f>
        <v>-28457212.75</v>
      </c>
    </row>
    <row r="637" spans="15:26" x14ac:dyDescent="0.25">
      <c r="O637" s="1" t="s">
        <v>0</v>
      </c>
      <c r="Q637" s="1" t="s">
        <v>1</v>
      </c>
      <c r="R637" s="1" t="s">
        <v>2</v>
      </c>
      <c r="S637" s="1" t="s">
        <v>3</v>
      </c>
      <c r="T637" s="1" t="s">
        <v>2</v>
      </c>
      <c r="U637" s="1" t="s">
        <v>4</v>
      </c>
      <c r="V637" s="1" t="s">
        <v>2</v>
      </c>
      <c r="W637" s="1" t="s">
        <v>2</v>
      </c>
    </row>
    <row r="638" spans="15:26" x14ac:dyDescent="0.25">
      <c r="Q638" s="1" t="s">
        <v>5</v>
      </c>
      <c r="R638" s="1" t="s">
        <v>6</v>
      </c>
      <c r="S638" s="1" t="s">
        <v>5</v>
      </c>
      <c r="T638" s="1" t="s">
        <v>6</v>
      </c>
      <c r="U638" s="1" t="s">
        <v>5</v>
      </c>
      <c r="V638" s="1" t="s">
        <v>6</v>
      </c>
      <c r="W638" s="1" t="s">
        <v>6</v>
      </c>
    </row>
    <row r="639" spans="15:26" x14ac:dyDescent="0.25">
      <c r="O639" s="1">
        <v>1</v>
      </c>
      <c r="Q639" s="1">
        <v>0</v>
      </c>
      <c r="R639" s="1" t="s">
        <v>6</v>
      </c>
      <c r="S639" s="1">
        <v>50785.78</v>
      </c>
      <c r="T639" s="1" t="s">
        <v>7</v>
      </c>
      <c r="U639" s="1">
        <v>50785.78</v>
      </c>
      <c r="V639" s="1" t="s">
        <v>7</v>
      </c>
      <c r="W639" s="1" t="s">
        <v>7</v>
      </c>
    </row>
    <row r="640" spans="15:26" x14ac:dyDescent="0.25">
      <c r="O640" s="1">
        <v>2</v>
      </c>
      <c r="Q640" s="1">
        <v>140171.88</v>
      </c>
      <c r="R640" s="1" t="s">
        <v>6</v>
      </c>
      <c r="S640" s="1">
        <v>0</v>
      </c>
      <c r="T640" s="1" t="s">
        <v>6</v>
      </c>
      <c r="U640" s="1">
        <v>140171.88</v>
      </c>
      <c r="V640" s="1" t="s">
        <v>6</v>
      </c>
      <c r="W640" s="1" t="s">
        <v>6</v>
      </c>
      <c r="Z640" s="1">
        <f>U639-U640</f>
        <v>-89386.1</v>
      </c>
    </row>
    <row r="642" spans="15:26" x14ac:dyDescent="0.25">
      <c r="Z642" s="2">
        <f>Z633-Z640</f>
        <v>26200738.93</v>
      </c>
    </row>
    <row r="644" spans="15:26" x14ac:dyDescent="0.25">
      <c r="O644" s="1" t="s">
        <v>0</v>
      </c>
      <c r="Q644" s="1" t="s">
        <v>1</v>
      </c>
      <c r="R644" s="1" t="s">
        <v>2</v>
      </c>
      <c r="S644" s="1" t="s">
        <v>3</v>
      </c>
      <c r="T644" s="1" t="s">
        <v>2</v>
      </c>
      <c r="U644" s="1" t="s">
        <v>4</v>
      </c>
      <c r="V644" s="1" t="s">
        <v>2</v>
      </c>
      <c r="W644" s="1" t="s">
        <v>2</v>
      </c>
    </row>
    <row r="645" spans="15:26" x14ac:dyDescent="0.25">
      <c r="Q645" s="1" t="s">
        <v>5</v>
      </c>
      <c r="R645" s="1" t="s">
        <v>6</v>
      </c>
      <c r="S645" s="1" t="s">
        <v>5</v>
      </c>
      <c r="T645" s="1" t="s">
        <v>6</v>
      </c>
      <c r="U645" s="1" t="s">
        <v>5</v>
      </c>
      <c r="V645" s="1" t="s">
        <v>6</v>
      </c>
      <c r="W645" s="1" t="s">
        <v>6</v>
      </c>
    </row>
    <row r="646" spans="15:26" x14ac:dyDescent="0.25">
      <c r="O646" s="1">
        <v>1</v>
      </c>
      <c r="Q646" s="1">
        <v>0</v>
      </c>
      <c r="R646" s="1" t="s">
        <v>6</v>
      </c>
      <c r="S646" s="1">
        <v>145398.23000000001</v>
      </c>
      <c r="T646" s="1" t="s">
        <v>7</v>
      </c>
      <c r="U646" s="1">
        <v>145398.23000000001</v>
      </c>
      <c r="V646" s="1" t="s">
        <v>7</v>
      </c>
      <c r="W646" s="1" t="s">
        <v>7</v>
      </c>
    </row>
    <row r="647" spans="15:26" x14ac:dyDescent="0.25">
      <c r="O647" s="1">
        <v>2</v>
      </c>
      <c r="Q647" s="1">
        <v>0</v>
      </c>
      <c r="R647" s="1" t="s">
        <v>6</v>
      </c>
      <c r="S647" s="1">
        <v>29455.75</v>
      </c>
      <c r="T647" s="1" t="s">
        <v>7</v>
      </c>
      <c r="U647" s="1">
        <v>29455.75</v>
      </c>
      <c r="V647" s="1" t="s">
        <v>7</v>
      </c>
      <c r="W647" s="1" t="s">
        <v>7</v>
      </c>
    </row>
    <row r="648" spans="15:26" x14ac:dyDescent="0.25">
      <c r="O648" s="1">
        <v>3</v>
      </c>
      <c r="Q648" s="1">
        <v>685569.02</v>
      </c>
      <c r="R648" s="1" t="s">
        <v>6</v>
      </c>
      <c r="S648" s="1">
        <v>0</v>
      </c>
      <c r="T648" s="1" t="s">
        <v>6</v>
      </c>
      <c r="U648" s="1">
        <v>685569.02</v>
      </c>
      <c r="V648" s="1" t="s">
        <v>6</v>
      </c>
      <c r="W648" s="1" t="s">
        <v>6</v>
      </c>
      <c r="Z648" s="1">
        <f>U646+U647-U648</f>
        <v>-510715.04000000004</v>
      </c>
    </row>
    <row r="650" spans="15:26" x14ac:dyDescent="0.25">
      <c r="Z650" s="2">
        <f>Z640-Z648</f>
        <v>421328.94000000006</v>
      </c>
    </row>
    <row r="652" spans="15:26" x14ac:dyDescent="0.25">
      <c r="O652" s="1" t="s">
        <v>0</v>
      </c>
      <c r="Q652" s="1" t="s">
        <v>1</v>
      </c>
      <c r="R652" s="1" t="s">
        <v>2</v>
      </c>
      <c r="S652" s="1" t="s">
        <v>3</v>
      </c>
      <c r="T652" s="1" t="s">
        <v>2</v>
      </c>
      <c r="U652" s="1" t="s">
        <v>4</v>
      </c>
      <c r="V652" s="1" t="s">
        <v>2</v>
      </c>
      <c r="W652" s="1" t="s">
        <v>2</v>
      </c>
    </row>
    <row r="653" spans="15:26" x14ac:dyDescent="0.25">
      <c r="Q653" s="1" t="s">
        <v>5</v>
      </c>
      <c r="R653" s="1" t="s">
        <v>6</v>
      </c>
      <c r="S653" s="1" t="s">
        <v>5</v>
      </c>
      <c r="T653" s="1" t="s">
        <v>6</v>
      </c>
      <c r="U653" s="1" t="s">
        <v>5</v>
      </c>
      <c r="V653" s="1" t="s">
        <v>6</v>
      </c>
      <c r="W653" s="1" t="s">
        <v>6</v>
      </c>
    </row>
    <row r="654" spans="15:26" x14ac:dyDescent="0.25">
      <c r="O654" s="1">
        <v>1</v>
      </c>
      <c r="Q654" s="1">
        <v>0</v>
      </c>
      <c r="R654" s="1" t="s">
        <v>6</v>
      </c>
      <c r="S654" s="1">
        <v>108490.36</v>
      </c>
      <c r="T654" s="1" t="s">
        <v>7</v>
      </c>
      <c r="U654" s="1">
        <v>108490.36</v>
      </c>
      <c r="V654" s="1" t="s">
        <v>7</v>
      </c>
      <c r="W654" s="1" t="s">
        <v>7</v>
      </c>
    </row>
    <row r="655" spans="15:26" x14ac:dyDescent="0.25">
      <c r="O655" s="1">
        <v>2</v>
      </c>
      <c r="Q655" s="1">
        <v>0</v>
      </c>
      <c r="R655" s="1" t="s">
        <v>6</v>
      </c>
      <c r="S655" s="1">
        <v>23971.49</v>
      </c>
      <c r="T655" s="1" t="s">
        <v>7</v>
      </c>
      <c r="U655" s="1">
        <v>23971.49</v>
      </c>
      <c r="V655" s="1" t="s">
        <v>7</v>
      </c>
      <c r="W655" s="1" t="s">
        <v>7</v>
      </c>
    </row>
    <row r="656" spans="15:26" x14ac:dyDescent="0.25">
      <c r="O656" s="1">
        <v>3</v>
      </c>
      <c r="Q656" s="1">
        <v>542437.1</v>
      </c>
      <c r="R656" s="1" t="s">
        <v>6</v>
      </c>
      <c r="S656" s="1">
        <v>0</v>
      </c>
      <c r="T656" s="1" t="s">
        <v>6</v>
      </c>
      <c r="U656" s="1">
        <v>542437.1</v>
      </c>
      <c r="V656" s="1" t="s">
        <v>6</v>
      </c>
      <c r="W656" s="1" t="s">
        <v>6</v>
      </c>
      <c r="Z656" s="1">
        <f>U654+U655-U656</f>
        <v>-409975.25</v>
      </c>
    </row>
    <row r="658" spans="15:26" x14ac:dyDescent="0.25">
      <c r="Z658" s="2">
        <f>Z648-Z656</f>
        <v>-100739.79000000004</v>
      </c>
    </row>
    <row r="660" spans="15:26" x14ac:dyDescent="0.25">
      <c r="O660" s="1" t="s">
        <v>0</v>
      </c>
      <c r="Q660" s="1" t="s">
        <v>1</v>
      </c>
      <c r="R660" s="1" t="s">
        <v>2</v>
      </c>
      <c r="S660" s="1" t="s">
        <v>3</v>
      </c>
      <c r="T660" s="1" t="s">
        <v>2</v>
      </c>
      <c r="U660" s="1" t="s">
        <v>4</v>
      </c>
      <c r="V660" s="1" t="s">
        <v>2</v>
      </c>
      <c r="W660" s="1" t="s">
        <v>2</v>
      </c>
    </row>
    <row r="661" spans="15:26" x14ac:dyDescent="0.25">
      <c r="Q661" s="1" t="s">
        <v>5</v>
      </c>
      <c r="R661" s="1" t="s">
        <v>6</v>
      </c>
      <c r="S661" s="1" t="s">
        <v>5</v>
      </c>
      <c r="T661" s="1" t="s">
        <v>6</v>
      </c>
      <c r="U661" s="1" t="s">
        <v>5</v>
      </c>
      <c r="V661" s="1" t="s">
        <v>6</v>
      </c>
      <c r="W661" s="1" t="s">
        <v>6</v>
      </c>
    </row>
    <row r="662" spans="15:26" x14ac:dyDescent="0.25">
      <c r="O662" s="1">
        <v>1</v>
      </c>
      <c r="Q662" s="1">
        <v>0</v>
      </c>
      <c r="R662" s="1" t="s">
        <v>6</v>
      </c>
      <c r="S662" s="1">
        <v>48427.25</v>
      </c>
      <c r="T662" s="1" t="s">
        <v>7</v>
      </c>
      <c r="U662" s="1">
        <v>48427.25</v>
      </c>
      <c r="V662" s="1" t="s">
        <v>7</v>
      </c>
      <c r="W662" s="1" t="s">
        <v>7</v>
      </c>
    </row>
    <row r="663" spans="15:26" x14ac:dyDescent="0.25">
      <c r="O663" s="1">
        <v>2</v>
      </c>
      <c r="Q663" s="1">
        <v>0</v>
      </c>
      <c r="R663" s="1" t="s">
        <v>6</v>
      </c>
      <c r="S663" s="1">
        <v>1697.45</v>
      </c>
      <c r="T663" s="1" t="s">
        <v>7</v>
      </c>
      <c r="U663" s="1">
        <v>1697.45</v>
      </c>
      <c r="V663" s="1" t="s">
        <v>7</v>
      </c>
      <c r="W663" s="1" t="s">
        <v>7</v>
      </c>
    </row>
    <row r="664" spans="15:26" x14ac:dyDescent="0.25">
      <c r="O664" s="1">
        <v>3</v>
      </c>
      <c r="Q664" s="1">
        <v>196081</v>
      </c>
      <c r="R664" s="1" t="s">
        <v>6</v>
      </c>
      <c r="S664" s="1">
        <v>0</v>
      </c>
      <c r="T664" s="1" t="s">
        <v>6</v>
      </c>
      <c r="U664" s="1">
        <v>196081</v>
      </c>
      <c r="V664" s="1" t="s">
        <v>6</v>
      </c>
      <c r="W664" s="1" t="s">
        <v>6</v>
      </c>
      <c r="Z664" s="1">
        <f>U662+U663-U664</f>
        <v>-145956.29999999999</v>
      </c>
    </row>
    <row r="666" spans="15:26" x14ac:dyDescent="0.25">
      <c r="Z666" s="2">
        <f>Z656-Z664</f>
        <v>-264018.95</v>
      </c>
    </row>
    <row r="668" spans="15:26" x14ac:dyDescent="0.25">
      <c r="O668" s="1" t="s">
        <v>0</v>
      </c>
      <c r="Q668" s="1" t="s">
        <v>1</v>
      </c>
      <c r="R668" s="1" t="s">
        <v>2</v>
      </c>
      <c r="S668" s="1" t="s">
        <v>3</v>
      </c>
      <c r="T668" s="1" t="s">
        <v>2</v>
      </c>
      <c r="U668" s="1" t="s">
        <v>4</v>
      </c>
      <c r="V668" s="1" t="s">
        <v>2</v>
      </c>
      <c r="W668" s="1" t="s">
        <v>2</v>
      </c>
    </row>
    <row r="669" spans="15:26" x14ac:dyDescent="0.25">
      <c r="Q669" s="1" t="s">
        <v>5</v>
      </c>
      <c r="R669" s="1" t="s">
        <v>6</v>
      </c>
      <c r="S669" s="1" t="s">
        <v>5</v>
      </c>
      <c r="T669" s="1" t="s">
        <v>6</v>
      </c>
      <c r="U669" s="1" t="s">
        <v>5</v>
      </c>
      <c r="V669" s="1" t="s">
        <v>6</v>
      </c>
      <c r="W669" s="1" t="s">
        <v>6</v>
      </c>
    </row>
    <row r="670" spans="15:26" x14ac:dyDescent="0.25">
      <c r="O670" s="1">
        <v>1</v>
      </c>
      <c r="Q670" s="1">
        <v>0</v>
      </c>
      <c r="R670" s="1" t="s">
        <v>6</v>
      </c>
      <c r="S670" s="1">
        <v>146743.20000000001</v>
      </c>
      <c r="T670" s="1" t="s">
        <v>7</v>
      </c>
      <c r="U670" s="1">
        <v>146743.20000000001</v>
      </c>
      <c r="V670" s="1" t="s">
        <v>7</v>
      </c>
      <c r="W670" s="1" t="s">
        <v>7</v>
      </c>
    </row>
    <row r="671" spans="15:26" x14ac:dyDescent="0.25">
      <c r="O671" s="1">
        <v>2</v>
      </c>
      <c r="Q671" s="1">
        <v>0</v>
      </c>
      <c r="R671" s="1" t="s">
        <v>6</v>
      </c>
      <c r="S671" s="1">
        <v>98077.66</v>
      </c>
      <c r="T671" s="1" t="s">
        <v>7</v>
      </c>
      <c r="U671" s="1">
        <v>98077.66</v>
      </c>
      <c r="V671" s="1" t="s">
        <v>7</v>
      </c>
      <c r="W671" s="1" t="s">
        <v>7</v>
      </c>
      <c r="Z671" s="1">
        <f>U670+U671</f>
        <v>244820.86000000002</v>
      </c>
    </row>
    <row r="673" spans="15:26" x14ac:dyDescent="0.25">
      <c r="Z673" s="2">
        <f>Z664-Z671</f>
        <v>-390777.16000000003</v>
      </c>
    </row>
    <row r="675" spans="15:26" x14ac:dyDescent="0.25">
      <c r="O675" s="1" t="s">
        <v>0</v>
      </c>
      <c r="Q675" s="1" t="s">
        <v>1</v>
      </c>
      <c r="R675" s="1" t="s">
        <v>2</v>
      </c>
      <c r="S675" s="1" t="s">
        <v>3</v>
      </c>
      <c r="T675" s="1" t="s">
        <v>2</v>
      </c>
      <c r="U675" s="1" t="s">
        <v>4</v>
      </c>
      <c r="V675" s="1" t="s">
        <v>2</v>
      </c>
      <c r="W675" s="1" t="s">
        <v>2</v>
      </c>
    </row>
    <row r="676" spans="15:26" x14ac:dyDescent="0.25">
      <c r="Q676" s="1" t="s">
        <v>5</v>
      </c>
      <c r="R676" s="1" t="s">
        <v>6</v>
      </c>
      <c r="S676" s="1" t="s">
        <v>5</v>
      </c>
      <c r="T676" s="1" t="s">
        <v>6</v>
      </c>
      <c r="U676" s="1" t="s">
        <v>5</v>
      </c>
      <c r="V676" s="1" t="s">
        <v>6</v>
      </c>
      <c r="W676" s="1" t="s">
        <v>6</v>
      </c>
    </row>
    <row r="677" spans="15:26" x14ac:dyDescent="0.25">
      <c r="O677" s="1">
        <v>1</v>
      </c>
      <c r="Q677" s="1">
        <v>0</v>
      </c>
      <c r="R677" s="1" t="s">
        <v>6</v>
      </c>
      <c r="S677" s="1">
        <v>9375.91</v>
      </c>
      <c r="T677" s="1" t="s">
        <v>7</v>
      </c>
      <c r="U677" s="1">
        <v>9375.91</v>
      </c>
      <c r="V677" s="1" t="s">
        <v>7</v>
      </c>
      <c r="W677" s="1" t="s">
        <v>7</v>
      </c>
    </row>
    <row r="678" spans="15:26" x14ac:dyDescent="0.25">
      <c r="O678" s="1">
        <v>2</v>
      </c>
      <c r="Q678" s="1">
        <v>0</v>
      </c>
      <c r="R678" s="1" t="s">
        <v>6</v>
      </c>
      <c r="S678" s="1">
        <v>249047.37</v>
      </c>
      <c r="T678" s="1" t="s">
        <v>7</v>
      </c>
      <c r="U678" s="1">
        <v>249047.37</v>
      </c>
      <c r="V678" s="1" t="s">
        <v>7</v>
      </c>
      <c r="W678" s="1" t="s">
        <v>7</v>
      </c>
    </row>
    <row r="679" spans="15:26" x14ac:dyDescent="0.25">
      <c r="O679" s="1">
        <v>3</v>
      </c>
      <c r="Q679" s="1">
        <v>231872.27</v>
      </c>
      <c r="R679" s="1" t="s">
        <v>6</v>
      </c>
      <c r="S679" s="1">
        <v>0</v>
      </c>
      <c r="T679" s="1" t="s">
        <v>6</v>
      </c>
      <c r="U679" s="1">
        <v>231872.27</v>
      </c>
      <c r="V679" s="1" t="s">
        <v>6</v>
      </c>
      <c r="W679" s="1" t="s">
        <v>6</v>
      </c>
      <c r="Z679" s="1">
        <f>U677+U678-U679</f>
        <v>26551.010000000009</v>
      </c>
    </row>
    <row r="681" spans="15:26" x14ac:dyDescent="0.25">
      <c r="Z681" s="2">
        <f>Z671-Z679</f>
        <v>218269.85</v>
      </c>
    </row>
    <row r="683" spans="15:26" x14ac:dyDescent="0.25">
      <c r="O683" s="1" t="s">
        <v>0</v>
      </c>
      <c r="Q683" s="1" t="s">
        <v>1</v>
      </c>
      <c r="R683" s="1" t="s">
        <v>2</v>
      </c>
      <c r="S683" s="1" t="s">
        <v>3</v>
      </c>
      <c r="T683" s="1" t="s">
        <v>2</v>
      </c>
      <c r="U683" s="1" t="s">
        <v>4</v>
      </c>
      <c r="V683" s="1" t="s">
        <v>2</v>
      </c>
      <c r="W683" s="1" t="s">
        <v>2</v>
      </c>
    </row>
    <row r="684" spans="15:26" x14ac:dyDescent="0.25">
      <c r="Q684" s="1" t="s">
        <v>5</v>
      </c>
      <c r="R684" s="1" t="s">
        <v>6</v>
      </c>
      <c r="S684" s="1" t="s">
        <v>5</v>
      </c>
      <c r="T684" s="1" t="s">
        <v>6</v>
      </c>
      <c r="U684" s="1" t="s">
        <v>5</v>
      </c>
      <c r="V684" s="1" t="s">
        <v>6</v>
      </c>
      <c r="W684" s="1" t="s">
        <v>6</v>
      </c>
    </row>
    <row r="685" spans="15:26" x14ac:dyDescent="0.25">
      <c r="O685" s="1">
        <v>1</v>
      </c>
      <c r="Q685" s="1">
        <v>0</v>
      </c>
      <c r="R685" s="1" t="s">
        <v>6</v>
      </c>
      <c r="S685" s="1">
        <v>60858.57</v>
      </c>
      <c r="T685" s="1" t="s">
        <v>7</v>
      </c>
      <c r="U685" s="1">
        <v>60858.57</v>
      </c>
      <c r="V685" s="1" t="s">
        <v>7</v>
      </c>
      <c r="W685" s="1" t="s">
        <v>7</v>
      </c>
    </row>
    <row r="686" spans="15:26" x14ac:dyDescent="0.25">
      <c r="O686" s="1">
        <v>2</v>
      </c>
      <c r="Q686" s="1">
        <v>0</v>
      </c>
      <c r="R686" s="1" t="s">
        <v>6</v>
      </c>
      <c r="S686" s="1">
        <v>109254.87</v>
      </c>
      <c r="T686" s="1" t="s">
        <v>7</v>
      </c>
      <c r="U686" s="1">
        <v>109254.87</v>
      </c>
      <c r="V686" s="1" t="s">
        <v>7</v>
      </c>
      <c r="W686" s="1" t="s">
        <v>7</v>
      </c>
    </row>
    <row r="687" spans="15:26" x14ac:dyDescent="0.25">
      <c r="O687" s="1">
        <v>3</v>
      </c>
      <c r="Q687" s="1">
        <v>421096.11</v>
      </c>
      <c r="R687" s="1" t="s">
        <v>6</v>
      </c>
      <c r="S687" s="1">
        <v>0</v>
      </c>
      <c r="T687" s="1" t="s">
        <v>6</v>
      </c>
      <c r="U687" s="1">
        <v>421096.11</v>
      </c>
      <c r="V687" s="1" t="s">
        <v>6</v>
      </c>
      <c r="W687" s="1" t="s">
        <v>6</v>
      </c>
      <c r="Z687" s="1">
        <f>U685+U686-U687</f>
        <v>-250982.66999999998</v>
      </c>
    </row>
    <row r="689" spans="15:26" x14ac:dyDescent="0.25">
      <c r="Z689" s="2">
        <f>Z679-Z687</f>
        <v>277533.68</v>
      </c>
    </row>
    <row r="691" spans="15:26" x14ac:dyDescent="0.25">
      <c r="O691" s="1" t="s">
        <v>0</v>
      </c>
      <c r="Q691" s="1" t="s">
        <v>1</v>
      </c>
      <c r="R691" s="1" t="s">
        <v>2</v>
      </c>
      <c r="S691" s="1" t="s">
        <v>3</v>
      </c>
      <c r="T691" s="1" t="s">
        <v>2</v>
      </c>
      <c r="U691" s="1" t="s">
        <v>4</v>
      </c>
      <c r="V691" s="1" t="s">
        <v>2</v>
      </c>
      <c r="W691" s="1" t="s">
        <v>2</v>
      </c>
    </row>
    <row r="692" spans="15:26" x14ac:dyDescent="0.25">
      <c r="Q692" s="1" t="s">
        <v>5</v>
      </c>
      <c r="R692" s="1" t="s">
        <v>6</v>
      </c>
      <c r="S692" s="1" t="s">
        <v>5</v>
      </c>
      <c r="T692" s="1" t="s">
        <v>6</v>
      </c>
      <c r="U692" s="1" t="s">
        <v>5</v>
      </c>
      <c r="V692" s="1" t="s">
        <v>6</v>
      </c>
      <c r="W692" s="1" t="s">
        <v>6</v>
      </c>
    </row>
    <row r="693" spans="15:26" x14ac:dyDescent="0.25">
      <c r="O693" s="1">
        <v>1</v>
      </c>
      <c r="Q693" s="1">
        <v>0</v>
      </c>
      <c r="R693" s="1" t="s">
        <v>6</v>
      </c>
      <c r="S693" s="1">
        <v>24378.400000000001</v>
      </c>
      <c r="T693" s="1" t="s">
        <v>7</v>
      </c>
      <c r="U693" s="1">
        <v>24378.400000000001</v>
      </c>
      <c r="V693" s="1" t="s">
        <v>7</v>
      </c>
      <c r="W693" s="1" t="s">
        <v>7</v>
      </c>
    </row>
    <row r="694" spans="15:26" x14ac:dyDescent="0.25">
      <c r="O694" s="1">
        <v>2</v>
      </c>
      <c r="Q694" s="1">
        <v>0</v>
      </c>
      <c r="R694" s="1" t="s">
        <v>6</v>
      </c>
      <c r="S694" s="1">
        <v>276163.15999999997</v>
      </c>
      <c r="T694" s="1" t="s">
        <v>7</v>
      </c>
      <c r="U694" s="1">
        <v>276163.15999999997</v>
      </c>
      <c r="V694" s="1" t="s">
        <v>7</v>
      </c>
      <c r="W694" s="1" t="s">
        <v>7</v>
      </c>
    </row>
    <row r="695" spans="15:26" x14ac:dyDescent="0.25">
      <c r="O695" s="1">
        <v>3</v>
      </c>
      <c r="Q695" s="1">
        <v>0</v>
      </c>
      <c r="R695" s="1" t="s">
        <v>6</v>
      </c>
      <c r="S695" s="1">
        <v>2596.1</v>
      </c>
      <c r="T695" s="1" t="s">
        <v>7</v>
      </c>
      <c r="U695" s="1">
        <v>2596.1</v>
      </c>
      <c r="V695" s="1" t="s">
        <v>7</v>
      </c>
      <c r="W695" s="1" t="s">
        <v>7</v>
      </c>
    </row>
    <row r="696" spans="15:26" x14ac:dyDescent="0.25">
      <c r="O696" s="1">
        <v>4</v>
      </c>
      <c r="Q696" s="1">
        <v>500677.12</v>
      </c>
      <c r="R696" s="1" t="s">
        <v>6</v>
      </c>
      <c r="S696" s="1">
        <v>0</v>
      </c>
      <c r="T696" s="1" t="s">
        <v>6</v>
      </c>
      <c r="U696" s="1">
        <v>500677.12</v>
      </c>
      <c r="V696" s="1" t="s">
        <v>6</v>
      </c>
      <c r="W696" s="1" t="s">
        <v>6</v>
      </c>
      <c r="Z696" s="1">
        <f>U693+U694+U695-U696</f>
        <v>-197539.46000000002</v>
      </c>
    </row>
    <row r="698" spans="15:26" x14ac:dyDescent="0.25">
      <c r="Z698" s="2">
        <f>Z687-Z696</f>
        <v>-53443.209999999963</v>
      </c>
    </row>
    <row r="699" spans="15:26" x14ac:dyDescent="0.25">
      <c r="O699" s="1" t="s">
        <v>0</v>
      </c>
      <c r="Q699" s="1" t="s">
        <v>1</v>
      </c>
      <c r="R699" s="1" t="s">
        <v>2</v>
      </c>
      <c r="S699" s="1" t="s">
        <v>3</v>
      </c>
      <c r="T699" s="1" t="s">
        <v>2</v>
      </c>
      <c r="U699" s="1" t="s">
        <v>4</v>
      </c>
      <c r="V699" s="1" t="s">
        <v>2</v>
      </c>
      <c r="W699" s="1" t="s">
        <v>2</v>
      </c>
    </row>
    <row r="700" spans="15:26" x14ac:dyDescent="0.25">
      <c r="Q700" s="1" t="s">
        <v>5</v>
      </c>
      <c r="R700" s="1" t="s">
        <v>6</v>
      </c>
      <c r="S700" s="1" t="s">
        <v>5</v>
      </c>
      <c r="T700" s="1" t="s">
        <v>6</v>
      </c>
      <c r="U700" s="1" t="s">
        <v>5</v>
      </c>
      <c r="V700" s="1" t="s">
        <v>6</v>
      </c>
      <c r="W700" s="1" t="s">
        <v>6</v>
      </c>
    </row>
    <row r="701" spans="15:26" x14ac:dyDescent="0.25">
      <c r="O701" s="1">
        <v>1</v>
      </c>
      <c r="Q701" s="1">
        <v>0</v>
      </c>
      <c r="R701" s="1" t="s">
        <v>6</v>
      </c>
      <c r="S701" s="1">
        <v>267761.25</v>
      </c>
      <c r="T701" s="1" t="s">
        <v>7</v>
      </c>
      <c r="U701" s="1">
        <v>267761.25</v>
      </c>
      <c r="V701" s="1" t="s">
        <v>7</v>
      </c>
      <c r="W701" s="1" t="s">
        <v>7</v>
      </c>
    </row>
    <row r="702" spans="15:26" x14ac:dyDescent="0.25">
      <c r="O702" s="1">
        <v>2</v>
      </c>
      <c r="Q702" s="1">
        <v>0</v>
      </c>
      <c r="R702" s="1" t="s">
        <v>6</v>
      </c>
      <c r="S702" s="1">
        <v>10200</v>
      </c>
      <c r="T702" s="1" t="s">
        <v>7</v>
      </c>
      <c r="U702" s="1">
        <v>10200</v>
      </c>
      <c r="V702" s="1" t="s">
        <v>7</v>
      </c>
      <c r="W702" s="1" t="s">
        <v>7</v>
      </c>
    </row>
    <row r="703" spans="15:26" x14ac:dyDescent="0.25">
      <c r="O703" s="1">
        <v>3</v>
      </c>
      <c r="Q703" s="1">
        <v>1185631.6000000001</v>
      </c>
      <c r="R703" s="1" t="s">
        <v>6</v>
      </c>
      <c r="S703" s="1">
        <v>0</v>
      </c>
      <c r="T703" s="1" t="s">
        <v>6</v>
      </c>
      <c r="U703" s="1">
        <v>1185631.6000000001</v>
      </c>
      <c r="V703" s="1" t="s">
        <v>6</v>
      </c>
      <c r="W703" s="1" t="s">
        <v>6</v>
      </c>
      <c r="Z703" s="1">
        <f>U701+U702-U703</f>
        <v>-907670.35000000009</v>
      </c>
    </row>
    <row r="705" spans="15:26" x14ac:dyDescent="0.25">
      <c r="Z705" s="2">
        <f>Z696-Z703</f>
        <v>710130.89000000013</v>
      </c>
    </row>
    <row r="706" spans="15:26" x14ac:dyDescent="0.25">
      <c r="O706" s="1" t="s">
        <v>0</v>
      </c>
      <c r="Q706" s="1" t="s">
        <v>1</v>
      </c>
      <c r="R706" s="1" t="s">
        <v>2</v>
      </c>
      <c r="S706" s="1" t="s">
        <v>3</v>
      </c>
      <c r="T706" s="1" t="s">
        <v>2</v>
      </c>
      <c r="U706" s="1" t="s">
        <v>4</v>
      </c>
      <c r="V706" s="1" t="s">
        <v>2</v>
      </c>
      <c r="W706" s="1" t="s">
        <v>2</v>
      </c>
    </row>
    <row r="707" spans="15:26" x14ac:dyDescent="0.25">
      <c r="Q707" s="1" t="s">
        <v>5</v>
      </c>
      <c r="R707" s="1" t="s">
        <v>6</v>
      </c>
      <c r="S707" s="1" t="s">
        <v>5</v>
      </c>
      <c r="T707" s="1" t="s">
        <v>6</v>
      </c>
      <c r="U707" s="1" t="s">
        <v>5</v>
      </c>
      <c r="V707" s="1" t="s">
        <v>6</v>
      </c>
      <c r="W707" s="1" t="s">
        <v>6</v>
      </c>
    </row>
    <row r="708" spans="15:26" x14ac:dyDescent="0.25">
      <c r="O708" s="1">
        <v>1</v>
      </c>
      <c r="Q708" s="1">
        <v>0</v>
      </c>
      <c r="R708" s="1" t="s">
        <v>6</v>
      </c>
      <c r="S708" s="1">
        <v>332440.82</v>
      </c>
      <c r="T708" s="1" t="s">
        <v>7</v>
      </c>
      <c r="U708" s="1">
        <v>332440.82</v>
      </c>
      <c r="V708" s="1" t="s">
        <v>7</v>
      </c>
      <c r="W708" s="1" t="s">
        <v>7</v>
      </c>
      <c r="Z708" s="1">
        <f>U708</f>
        <v>332440.82</v>
      </c>
    </row>
    <row r="710" spans="15:26" x14ac:dyDescent="0.25">
      <c r="Z710" s="2">
        <f>Z703-Z708</f>
        <v>-1240111.1700000002</v>
      </c>
    </row>
    <row r="711" spans="15:26" x14ac:dyDescent="0.25">
      <c r="O711" s="1" t="s">
        <v>0</v>
      </c>
      <c r="Q711" s="1" t="s">
        <v>1</v>
      </c>
      <c r="R711" s="1" t="s">
        <v>2</v>
      </c>
      <c r="S711" s="1" t="s">
        <v>3</v>
      </c>
      <c r="T711" s="1" t="s">
        <v>2</v>
      </c>
      <c r="U711" s="1" t="s">
        <v>4</v>
      </c>
      <c r="V711" s="1" t="s">
        <v>2</v>
      </c>
      <c r="W711" s="1" t="s">
        <v>2</v>
      </c>
    </row>
    <row r="712" spans="15:26" x14ac:dyDescent="0.25">
      <c r="Q712" s="1" t="s">
        <v>5</v>
      </c>
      <c r="R712" s="1" t="s">
        <v>6</v>
      </c>
      <c r="S712" s="1" t="s">
        <v>5</v>
      </c>
      <c r="T712" s="1" t="s">
        <v>6</v>
      </c>
      <c r="U712" s="1" t="s">
        <v>5</v>
      </c>
      <c r="V712" s="1" t="s">
        <v>6</v>
      </c>
      <c r="W712" s="1" t="s">
        <v>6</v>
      </c>
    </row>
    <row r="713" spans="15:26" x14ac:dyDescent="0.25">
      <c r="O713" s="1">
        <v>1</v>
      </c>
      <c r="Q713" s="1">
        <v>0</v>
      </c>
      <c r="R713" s="1" t="s">
        <v>6</v>
      </c>
      <c r="S713" s="1">
        <v>7869384.4299999997</v>
      </c>
      <c r="T713" s="1" t="s">
        <v>7</v>
      </c>
      <c r="U713" s="1">
        <v>7869384.4299999997</v>
      </c>
      <c r="V713" s="1" t="s">
        <v>7</v>
      </c>
      <c r="W713" s="1" t="s">
        <v>7</v>
      </c>
    </row>
    <row r="714" spans="15:26" x14ac:dyDescent="0.25">
      <c r="O714" s="1">
        <v>2</v>
      </c>
      <c r="Q714" s="1">
        <v>0</v>
      </c>
      <c r="R714" s="1" t="s">
        <v>6</v>
      </c>
      <c r="S714" s="1">
        <v>104092.19</v>
      </c>
      <c r="T714" s="1" t="s">
        <v>7</v>
      </c>
      <c r="U714" s="1">
        <v>104092.19</v>
      </c>
      <c r="V714" s="1" t="s">
        <v>7</v>
      </c>
      <c r="W714" s="1" t="s">
        <v>7</v>
      </c>
    </row>
    <row r="715" spans="15:26" x14ac:dyDescent="0.25">
      <c r="O715" s="1">
        <v>3</v>
      </c>
      <c r="Q715" s="1">
        <v>970176.08</v>
      </c>
      <c r="R715" s="1" t="s">
        <v>6</v>
      </c>
      <c r="S715" s="1">
        <v>0</v>
      </c>
      <c r="T715" s="1" t="s">
        <v>6</v>
      </c>
      <c r="U715" s="1">
        <v>970176.08</v>
      </c>
      <c r="V715" s="1" t="s">
        <v>6</v>
      </c>
      <c r="W715" s="1" t="s">
        <v>6</v>
      </c>
      <c r="Z715" s="1">
        <f>U713+U714-U715</f>
        <v>7003300.54</v>
      </c>
    </row>
    <row r="717" spans="15:26" x14ac:dyDescent="0.25">
      <c r="Z717" s="2">
        <f>Z708-Z715</f>
        <v>-6670859.7199999997</v>
      </c>
    </row>
    <row r="719" spans="15:26" x14ac:dyDescent="0.25">
      <c r="O719" s="1" t="s">
        <v>0</v>
      </c>
      <c r="Q719" s="1" t="s">
        <v>1</v>
      </c>
      <c r="R719" s="1" t="s">
        <v>2</v>
      </c>
      <c r="S719" s="1" t="s">
        <v>3</v>
      </c>
      <c r="T719" s="1" t="s">
        <v>2</v>
      </c>
      <c r="U719" s="1" t="s">
        <v>4</v>
      </c>
      <c r="V719" s="1" t="s">
        <v>2</v>
      </c>
      <c r="W719" s="1" t="s">
        <v>2</v>
      </c>
    </row>
    <row r="720" spans="15:26" x14ac:dyDescent="0.25">
      <c r="Q720" s="1" t="s">
        <v>5</v>
      </c>
      <c r="R720" s="1" t="s">
        <v>6</v>
      </c>
      <c r="S720" s="1" t="s">
        <v>5</v>
      </c>
      <c r="T720" s="1" t="s">
        <v>6</v>
      </c>
      <c r="U720" s="1" t="s">
        <v>5</v>
      </c>
      <c r="V720" s="1" t="s">
        <v>6</v>
      </c>
      <c r="W720" s="1" t="s">
        <v>6</v>
      </c>
    </row>
    <row r="721" spans="15:26" x14ac:dyDescent="0.25">
      <c r="O721" s="1">
        <v>1</v>
      </c>
      <c r="Q721" s="1">
        <v>0</v>
      </c>
      <c r="R721" s="1" t="s">
        <v>6</v>
      </c>
      <c r="S721" s="1">
        <v>146151.12</v>
      </c>
      <c r="T721" s="1" t="s">
        <v>7</v>
      </c>
      <c r="U721" s="1">
        <v>146151.12</v>
      </c>
      <c r="V721" s="1" t="s">
        <v>7</v>
      </c>
      <c r="W721" s="1" t="s">
        <v>7</v>
      </c>
    </row>
    <row r="722" spans="15:26" x14ac:dyDescent="0.25">
      <c r="O722" s="1">
        <v>2</v>
      </c>
      <c r="Q722" s="1">
        <v>1275545</v>
      </c>
      <c r="R722" s="1" t="s">
        <v>6</v>
      </c>
      <c r="S722" s="1">
        <v>0</v>
      </c>
      <c r="T722" s="1" t="s">
        <v>6</v>
      </c>
      <c r="U722" s="1">
        <v>1275545</v>
      </c>
      <c r="V722" s="1" t="s">
        <v>6</v>
      </c>
      <c r="W722" s="1" t="s">
        <v>6</v>
      </c>
    </row>
    <row r="723" spans="15:26" x14ac:dyDescent="0.25">
      <c r="O723" s="1">
        <v>3</v>
      </c>
      <c r="Q723" s="1">
        <v>20000</v>
      </c>
      <c r="R723" s="1" t="s">
        <v>6</v>
      </c>
      <c r="S723" s="1">
        <v>0</v>
      </c>
      <c r="T723" s="1" t="s">
        <v>6</v>
      </c>
      <c r="U723" s="1">
        <v>20000</v>
      </c>
      <c r="V723" s="1" t="s">
        <v>6</v>
      </c>
      <c r="W723" s="1" t="s">
        <v>6</v>
      </c>
      <c r="Z723" s="1">
        <f>U721-U722-U723</f>
        <v>-1149393.8799999999</v>
      </c>
    </row>
    <row r="725" spans="15:26" x14ac:dyDescent="0.25">
      <c r="Z725" s="2">
        <f>Z715-Z723</f>
        <v>8152694.4199999999</v>
      </c>
    </row>
    <row r="727" spans="15:26" x14ac:dyDescent="0.25">
      <c r="O727" s="1" t="s">
        <v>0</v>
      </c>
      <c r="Q727" s="1" t="s">
        <v>1</v>
      </c>
      <c r="R727" s="1" t="s">
        <v>2</v>
      </c>
      <c r="S727" s="1" t="s">
        <v>3</v>
      </c>
      <c r="T727" s="1" t="s">
        <v>2</v>
      </c>
      <c r="U727" s="1" t="s">
        <v>4</v>
      </c>
      <c r="V727" s="1" t="s">
        <v>2</v>
      </c>
      <c r="W727" s="1" t="s">
        <v>2</v>
      </c>
    </row>
    <row r="728" spans="15:26" x14ac:dyDescent="0.25">
      <c r="Q728" s="1" t="s">
        <v>5</v>
      </c>
      <c r="R728" s="1" t="s">
        <v>6</v>
      </c>
      <c r="S728" s="1" t="s">
        <v>5</v>
      </c>
      <c r="T728" s="1" t="s">
        <v>6</v>
      </c>
      <c r="U728" s="1" t="s">
        <v>5</v>
      </c>
      <c r="V728" s="1" t="s">
        <v>6</v>
      </c>
      <c r="W728" s="1" t="s">
        <v>6</v>
      </c>
    </row>
    <row r="729" spans="15:26" x14ac:dyDescent="0.25">
      <c r="O729" s="1">
        <v>1</v>
      </c>
      <c r="Q729" s="1">
        <v>0</v>
      </c>
      <c r="R729" s="1" t="s">
        <v>6</v>
      </c>
      <c r="S729" s="1">
        <v>17039.419999999998</v>
      </c>
      <c r="T729" s="1" t="s">
        <v>7</v>
      </c>
      <c r="U729" s="1">
        <v>17039.419999999998</v>
      </c>
      <c r="V729" s="1" t="s">
        <v>7</v>
      </c>
      <c r="W729" s="1" t="s">
        <v>7</v>
      </c>
    </row>
    <row r="730" spans="15:26" x14ac:dyDescent="0.25">
      <c r="O730" s="1">
        <v>2</v>
      </c>
      <c r="Q730" s="1">
        <v>0</v>
      </c>
      <c r="R730" s="1" t="s">
        <v>6</v>
      </c>
      <c r="S730" s="1">
        <v>227016.29</v>
      </c>
      <c r="T730" s="1" t="s">
        <v>7</v>
      </c>
      <c r="U730" s="1">
        <v>227016.29</v>
      </c>
      <c r="V730" s="1" t="s">
        <v>7</v>
      </c>
      <c r="W730" s="1" t="s">
        <v>7</v>
      </c>
    </row>
    <row r="731" spans="15:26" x14ac:dyDescent="0.25">
      <c r="O731" s="1">
        <v>3</v>
      </c>
      <c r="Q731" s="1">
        <v>315106.36</v>
      </c>
      <c r="R731" s="1" t="s">
        <v>6</v>
      </c>
      <c r="S731" s="1">
        <v>0</v>
      </c>
      <c r="T731" s="1" t="s">
        <v>6</v>
      </c>
      <c r="U731" s="1">
        <v>315106.36</v>
      </c>
      <c r="V731" s="1" t="s">
        <v>6</v>
      </c>
      <c r="W731" s="1" t="s">
        <v>6</v>
      </c>
      <c r="Z731" s="1">
        <f>U729+U730-U731</f>
        <v>-71050.649999999965</v>
      </c>
    </row>
    <row r="733" spans="15:26" x14ac:dyDescent="0.25">
      <c r="Z733" s="2">
        <f>Z723-Z731</f>
        <v>-1078343.23</v>
      </c>
    </row>
    <row r="738" spans="1:27" x14ac:dyDescent="0.25">
      <c r="A738" t="s">
        <v>129</v>
      </c>
      <c r="B738" s="1" t="s">
        <v>130</v>
      </c>
      <c r="C738" s="1" t="s">
        <v>131</v>
      </c>
      <c r="D738" s="1" t="s">
        <v>132</v>
      </c>
      <c r="E738" s="1" t="s">
        <v>133</v>
      </c>
      <c r="F738" s="1" t="s">
        <v>134</v>
      </c>
      <c r="G738" s="1" t="s">
        <v>135</v>
      </c>
      <c r="H738" s="1" t="s">
        <v>136</v>
      </c>
      <c r="I738" s="1" t="s">
        <v>137</v>
      </c>
      <c r="J738" s="1" t="s">
        <v>138</v>
      </c>
      <c r="K738" s="1" t="s">
        <v>139</v>
      </c>
      <c r="L738" s="1" t="s">
        <v>140</v>
      </c>
      <c r="M738" s="1" t="s">
        <v>141</v>
      </c>
      <c r="N738" s="1" t="s">
        <v>142</v>
      </c>
      <c r="O738" s="1" t="s">
        <v>143</v>
      </c>
      <c r="P738" s="1" t="s">
        <v>144</v>
      </c>
      <c r="Q738" s="1" t="s">
        <v>145</v>
      </c>
      <c r="R738" s="1" t="s">
        <v>146</v>
      </c>
      <c r="S738" s="1" t="s">
        <v>147</v>
      </c>
      <c r="T738" s="1" t="s">
        <v>148</v>
      </c>
      <c r="U738" s="1" t="s">
        <v>149</v>
      </c>
      <c r="V738" s="1" t="s">
        <v>150</v>
      </c>
      <c r="W738" s="1" t="s">
        <v>151</v>
      </c>
      <c r="X738" s="1" t="s">
        <v>152</v>
      </c>
      <c r="Y738" s="1" t="s">
        <v>144</v>
      </c>
      <c r="Z738" s="1" t="s">
        <v>153</v>
      </c>
    </row>
    <row r="739" spans="1:27" x14ac:dyDescent="0.25">
      <c r="I739" s="3"/>
    </row>
    <row r="740" spans="1:27" x14ac:dyDescent="0.25">
      <c r="I740" s="3"/>
    </row>
    <row r="741" spans="1:27" x14ac:dyDescent="0.25">
      <c r="A741" t="s">
        <v>1516</v>
      </c>
      <c r="B741" s="90"/>
      <c r="D741" s="90"/>
      <c r="E741" s="90"/>
      <c r="I741" s="35"/>
      <c r="J741" s="35"/>
      <c r="K741" s="35"/>
      <c r="L741" s="35"/>
      <c r="O741" s="90"/>
      <c r="P741" s="3">
        <f t="shared" ref="P741:P748" si="0">O741-L742-K742-J742-I742-E741-D741-B741-N741-M741-H741-G741-F741</f>
        <v>0</v>
      </c>
      <c r="R741" s="90"/>
      <c r="S741" s="16">
        <f t="shared" ref="S741:S743" si="1">-R741+O741+Q741</f>
        <v>0</v>
      </c>
      <c r="T741" s="90"/>
      <c r="X741" s="90"/>
      <c r="Y741" s="1">
        <f t="shared" ref="Y741:Y749" si="2">X741-W741-V741-U741-T741</f>
        <v>0</v>
      </c>
      <c r="Z741" s="90"/>
      <c r="AA741" s="1">
        <f t="shared" ref="AA741:AA743" si="3">-Z741+T741+U741-S741+L742+J742+I742+E741+B741+K742+D741+V741+W741+N741+M741+Q741+H741+G741+F741</f>
        <v>0</v>
      </c>
    </row>
    <row r="742" spans="1:27" x14ac:dyDescent="0.25">
      <c r="A742" t="s">
        <v>1517</v>
      </c>
      <c r="B742" s="5"/>
      <c r="E742" s="5"/>
      <c r="I742" s="90"/>
      <c r="J742" s="90"/>
      <c r="K742" s="90"/>
      <c r="L742" s="90"/>
      <c r="O742" s="5"/>
      <c r="P742" s="3">
        <f t="shared" si="0"/>
        <v>0</v>
      </c>
      <c r="R742" s="5"/>
      <c r="S742" s="16">
        <f t="shared" si="1"/>
        <v>0</v>
      </c>
      <c r="T742" s="5"/>
      <c r="X742" s="5"/>
      <c r="Y742" s="1">
        <f t="shared" si="2"/>
        <v>0</v>
      </c>
      <c r="Z742" s="5"/>
      <c r="AA742" s="1">
        <f t="shared" si="3"/>
        <v>0</v>
      </c>
    </row>
    <row r="743" spans="1:27" x14ac:dyDescent="0.25">
      <c r="A743" t="s">
        <v>1518</v>
      </c>
      <c r="B743" s="37"/>
      <c r="D743" s="37"/>
      <c r="I743" s="5"/>
      <c r="J743" s="5"/>
      <c r="K743" s="5"/>
      <c r="L743" s="5"/>
      <c r="O743" s="37"/>
      <c r="P743" s="3">
        <f t="shared" si="0"/>
        <v>0</v>
      </c>
      <c r="R743" s="37"/>
      <c r="S743" s="16">
        <f t="shared" si="1"/>
        <v>0</v>
      </c>
      <c r="T743" s="37"/>
      <c r="X743" s="37"/>
      <c r="Y743" s="1">
        <f t="shared" si="2"/>
        <v>0</v>
      </c>
      <c r="Z743" s="37"/>
      <c r="AA743" s="1">
        <f t="shared" si="3"/>
        <v>0</v>
      </c>
    </row>
    <row r="744" spans="1:27" x14ac:dyDescent="0.25">
      <c r="A744" t="s">
        <v>1520</v>
      </c>
      <c r="B744" s="33"/>
      <c r="D744" s="33"/>
      <c r="I744" s="37"/>
      <c r="L744" s="37"/>
      <c r="O744" s="33"/>
      <c r="P744" s="3">
        <f t="shared" si="0"/>
        <v>0</v>
      </c>
      <c r="T744" s="33"/>
      <c r="Y744" s="1">
        <f t="shared" si="2"/>
        <v>0</v>
      </c>
    </row>
    <row r="745" spans="1:27" x14ac:dyDescent="0.25">
      <c r="A745" t="s">
        <v>1521</v>
      </c>
      <c r="B745" s="33"/>
      <c r="D745" s="33"/>
      <c r="I745" s="33"/>
      <c r="J745" s="33"/>
      <c r="K745" s="33"/>
      <c r="O745" s="33"/>
      <c r="P745" s="3">
        <f t="shared" si="0"/>
        <v>0</v>
      </c>
      <c r="Q745" s="33"/>
      <c r="T745" s="33"/>
      <c r="Y745" s="1">
        <f t="shared" si="2"/>
        <v>0</v>
      </c>
    </row>
    <row r="746" spans="1:27" x14ac:dyDescent="0.25">
      <c r="A746" t="s">
        <v>1522</v>
      </c>
      <c r="B746" s="33"/>
      <c r="F746" s="33"/>
      <c r="I746" s="33"/>
      <c r="J746" s="33"/>
      <c r="O746" s="33"/>
      <c r="P746" s="3">
        <f t="shared" si="0"/>
        <v>0</v>
      </c>
      <c r="R746" s="33"/>
      <c r="S746" s="16">
        <f>-R746+O746+O744+Q745+O745</f>
        <v>0</v>
      </c>
      <c r="T746" s="33"/>
      <c r="X746" s="33"/>
      <c r="Y746" s="1">
        <f t="shared" si="2"/>
        <v>0</v>
      </c>
      <c r="Z746" s="33"/>
      <c r="AA746" s="1">
        <f>-Z746+T746+U746+N746+L747+J747+I747+E746+B746+L745+J745+I745+E745+B745+B744+E744+T745+T744+U744+U745+W744+W745+N744+I746+K745+K747+J746+D744+H746+V744+V745+V746+H745+H744+D745+D746+N745+Q745-S746+M745+M746+G744+G745+G746+F744+F745+F746+M744+K746+L746</f>
        <v>0</v>
      </c>
    </row>
    <row r="747" spans="1:27" x14ac:dyDescent="0.25">
      <c r="A747" t="s">
        <v>1523</v>
      </c>
      <c r="B747" s="134"/>
      <c r="D747" s="134"/>
      <c r="E747" s="134"/>
      <c r="I747" s="33"/>
      <c r="J747" s="33"/>
      <c r="L747" s="33"/>
      <c r="O747" s="134"/>
      <c r="P747" s="3">
        <f t="shared" si="0"/>
        <v>0</v>
      </c>
      <c r="R747" s="134"/>
      <c r="S747" s="16">
        <f>-R747+O747+Q747</f>
        <v>0</v>
      </c>
      <c r="T747" s="134"/>
      <c r="X747" s="134"/>
      <c r="Y747" s="1">
        <f t="shared" si="2"/>
        <v>0</v>
      </c>
      <c r="Z747" s="134"/>
      <c r="AA747" s="1">
        <f t="shared" ref="AA747:AA748" si="4">-Z747+T747+U747-S747+L748+J748+I748+E747+B747+K748+D747+V747+W747+N747+M747+Q747+H747+G747+F747</f>
        <v>0</v>
      </c>
    </row>
    <row r="748" spans="1:27" x14ac:dyDescent="0.25">
      <c r="A748" t="s">
        <v>1524</v>
      </c>
      <c r="B748" s="34"/>
      <c r="D748" s="34"/>
      <c r="E748" s="34"/>
      <c r="I748" s="134"/>
      <c r="J748" s="134"/>
      <c r="K748" s="134"/>
      <c r="L748" s="134"/>
      <c r="O748" s="34"/>
      <c r="P748" s="3">
        <f t="shared" si="0"/>
        <v>0</v>
      </c>
      <c r="R748" s="34"/>
      <c r="S748" s="16">
        <f>-R748+O748+Q748</f>
        <v>0</v>
      </c>
      <c r="T748" s="34"/>
      <c r="X748" s="34"/>
      <c r="Y748" s="1">
        <f t="shared" si="2"/>
        <v>0</v>
      </c>
      <c r="Z748" s="34"/>
      <c r="AA748" s="1">
        <f t="shared" si="4"/>
        <v>0</v>
      </c>
    </row>
    <row r="749" spans="1:27" x14ac:dyDescent="0.25">
      <c r="A749" t="s">
        <v>1525</v>
      </c>
      <c r="D749"/>
      <c r="I749" s="34"/>
      <c r="J749" s="34"/>
      <c r="K749" s="34"/>
      <c r="L749" s="34"/>
      <c r="Y749" s="1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1948"/>
  <sheetViews>
    <sheetView topLeftCell="K1" zoomScale="85" zoomScaleNormal="85" workbookViewId="0">
      <pane ySplit="1" topLeftCell="A1333" activePane="bottomLeft" state="frozen"/>
      <selection activeCell="V1953" sqref="V1953"/>
      <selection pane="bottomLeft" activeCell="M1349" sqref="M1349"/>
    </sheetView>
  </sheetViews>
  <sheetFormatPr defaultRowHeight="15" x14ac:dyDescent="0.25"/>
  <cols>
    <col min="1" max="1" width="10.28515625" bestFit="1" customWidth="1"/>
    <col min="2" max="2" width="16.140625" style="1" bestFit="1" customWidth="1"/>
    <col min="3" max="3" width="12.28515625" style="1" customWidth="1"/>
    <col min="4" max="4" width="20.140625" style="1" bestFit="1" customWidth="1"/>
    <col min="5" max="5" width="11.5703125" style="1" bestFit="1" customWidth="1"/>
    <col min="6" max="6" width="17.7109375" style="1" customWidth="1"/>
    <col min="7" max="7" width="15.140625" style="1" customWidth="1"/>
    <col min="8" max="8" width="13.42578125" style="1" customWidth="1"/>
    <col min="9" max="9" width="13.85546875" style="1" customWidth="1"/>
    <col min="10" max="10" width="14.5703125" style="1" customWidth="1"/>
    <col min="11" max="12" width="11.42578125" style="1" customWidth="1"/>
    <col min="13" max="13" width="17.42578125" style="1" customWidth="1"/>
    <col min="14" max="14" width="14.28515625" style="1" customWidth="1"/>
    <col min="15" max="15" width="15" style="1" customWidth="1"/>
    <col min="16" max="16" width="12.85546875" style="1" bestFit="1" customWidth="1"/>
    <col min="17" max="17" width="12.42578125" style="1" customWidth="1"/>
    <col min="18" max="18" width="12.85546875" style="1" customWidth="1"/>
    <col min="19" max="19" width="14.140625" style="1" customWidth="1"/>
    <col min="20" max="20" width="11.7109375" style="1" customWidth="1"/>
    <col min="21" max="21" width="18" style="1" customWidth="1"/>
    <col min="22" max="22" width="16.42578125" style="1" bestFit="1" customWidth="1"/>
    <col min="23" max="23" width="62.42578125" style="1" bestFit="1" customWidth="1"/>
  </cols>
  <sheetData>
    <row r="1" spans="1:22" x14ac:dyDescent="0.25">
      <c r="A1" t="s">
        <v>129</v>
      </c>
      <c r="B1" s="1" t="s">
        <v>130</v>
      </c>
      <c r="C1" s="1" t="s">
        <v>132</v>
      </c>
      <c r="D1" s="1" t="s">
        <v>1443</v>
      </c>
      <c r="E1" s="1" t="s">
        <v>1444</v>
      </c>
      <c r="F1" s="1" t="s">
        <v>1445</v>
      </c>
      <c r="G1" s="1" t="s">
        <v>138</v>
      </c>
      <c r="H1" s="1" t="s">
        <v>1446</v>
      </c>
      <c r="I1" s="1" t="s">
        <v>1447</v>
      </c>
      <c r="J1" s="1" t="s">
        <v>141</v>
      </c>
      <c r="K1" s="1" t="s">
        <v>142</v>
      </c>
      <c r="L1" s="1" t="s">
        <v>1448</v>
      </c>
      <c r="M1" s="1" t="s">
        <v>1449</v>
      </c>
      <c r="N1" s="1" t="s">
        <v>1450</v>
      </c>
      <c r="O1" s="1" t="s">
        <v>144</v>
      </c>
      <c r="P1" s="1" t="s">
        <v>148</v>
      </c>
      <c r="Q1" s="1" t="s">
        <v>149</v>
      </c>
      <c r="R1" s="1" t="s">
        <v>151</v>
      </c>
      <c r="S1" s="1" t="s">
        <v>1451</v>
      </c>
      <c r="T1" s="1" t="s">
        <v>144</v>
      </c>
      <c r="U1" s="1" t="s">
        <v>1452</v>
      </c>
    </row>
    <row r="2" spans="1:22" x14ac:dyDescent="0.25">
      <c r="A2" t="s">
        <v>1453</v>
      </c>
      <c r="N2" s="1">
        <v>57127.59</v>
      </c>
      <c r="P2" s="1">
        <v>-253.24</v>
      </c>
      <c r="R2" s="1">
        <v>1742.85</v>
      </c>
      <c r="U2" s="1">
        <v>58617.2</v>
      </c>
      <c r="V2" s="1">
        <f>U2-P2-N2-Q2-R2+N2-I3-G3-F3-D2-E2-B2</f>
        <v>23478.16</v>
      </c>
    </row>
    <row r="3" spans="1:22" x14ac:dyDescent="0.25">
      <c r="A3" t="s">
        <v>1454</v>
      </c>
      <c r="B3" s="10">
        <v>9126.56</v>
      </c>
      <c r="E3" s="10">
        <v>449.06</v>
      </c>
      <c r="F3" s="1">
        <v>32406.829999999998</v>
      </c>
      <c r="G3" s="1">
        <v>-899.2299999999999</v>
      </c>
      <c r="I3" s="1">
        <v>2141.83</v>
      </c>
      <c r="N3" s="10">
        <v>36126.26</v>
      </c>
      <c r="P3" s="10">
        <v>-1059.93</v>
      </c>
      <c r="U3" s="10">
        <v>35066.33</v>
      </c>
      <c r="V3" s="1">
        <f>U3-P3-N3-Q3-R3+N3-I4-G4-F4-D3-E3-B3</f>
        <v>0</v>
      </c>
    </row>
    <row r="4" spans="1:22" x14ac:dyDescent="0.25">
      <c r="A4" t="s">
        <v>1455</v>
      </c>
      <c r="B4" s="9">
        <v>16879.75</v>
      </c>
      <c r="E4" s="9">
        <v>32.680000000000007</v>
      </c>
      <c r="F4" s="10">
        <v>27572.639999999999</v>
      </c>
      <c r="G4" s="10">
        <v>-1945.9</v>
      </c>
      <c r="H4" s="10"/>
      <c r="I4" s="10">
        <v>923.89999999999986</v>
      </c>
      <c r="P4" s="9">
        <v>-913.08</v>
      </c>
      <c r="Q4" s="9">
        <v>-230.52</v>
      </c>
    </row>
    <row r="5" spans="1:22" x14ac:dyDescent="0.25">
      <c r="A5" t="s">
        <v>1456</v>
      </c>
      <c r="B5" s="9">
        <v>13823.47</v>
      </c>
      <c r="E5" s="9">
        <v>108.67999999999999</v>
      </c>
      <c r="F5" s="9">
        <v>30105.52</v>
      </c>
      <c r="G5" s="9">
        <v>-2667.61</v>
      </c>
      <c r="H5" s="9"/>
      <c r="I5" s="9">
        <v>-561.31000000000006</v>
      </c>
      <c r="M5" s="25">
        <v>45797.79</v>
      </c>
      <c r="O5" s="25"/>
      <c r="P5" s="9">
        <v>-1377.26</v>
      </c>
      <c r="R5" s="9">
        <v>2076.83</v>
      </c>
      <c r="S5" s="9"/>
      <c r="T5" s="9"/>
    </row>
    <row r="6" spans="1:22" x14ac:dyDescent="0.25">
      <c r="A6" t="s">
        <v>1457</v>
      </c>
      <c r="B6" s="9">
        <v>13662.21</v>
      </c>
      <c r="E6" s="9">
        <v>1.29</v>
      </c>
      <c r="N6" s="9">
        <v>165577.03</v>
      </c>
      <c r="P6" s="9">
        <v>-701.62</v>
      </c>
      <c r="Q6" s="9">
        <v>-14.08</v>
      </c>
      <c r="U6" s="9">
        <v>164417.29999999999</v>
      </c>
      <c r="V6" s="1">
        <f>U6-P6-N6-Q6-R6+N6-I7-G7-F7-D6-E6-B6-K7-M6-G6-F6-E4-D4-B5-B4-M5-D5-F5-G5-I5-K5-P4-P5-Q4-Q5-R5-E5</f>
        <v>-2.19841922444175E-11</v>
      </c>
    </row>
    <row r="7" spans="1:22" x14ac:dyDescent="0.25">
      <c r="A7" t="s">
        <v>154</v>
      </c>
      <c r="B7" s="2">
        <v>13609.019999999999</v>
      </c>
      <c r="E7" s="2">
        <v>10.309999999999999</v>
      </c>
      <c r="F7" s="9">
        <v>48895.839999999997</v>
      </c>
      <c r="G7" s="9">
        <v>-519.16</v>
      </c>
      <c r="H7" s="9"/>
      <c r="I7" s="9">
        <v>17.880000000000003</v>
      </c>
      <c r="N7" s="2">
        <v>42555.12</v>
      </c>
      <c r="P7" s="2">
        <v>-574.79</v>
      </c>
      <c r="U7" s="2">
        <v>41980.33</v>
      </c>
      <c r="V7" s="1">
        <f>U7-P7-N7-Q7-R7+N7-I8-G8-F8-D7-E7-B7</f>
        <v>0</v>
      </c>
    </row>
    <row r="8" spans="1:22" x14ac:dyDescent="0.25">
      <c r="A8" t="s">
        <v>155</v>
      </c>
      <c r="B8" s="5">
        <v>12565.11</v>
      </c>
      <c r="F8" s="2">
        <v>28828.66</v>
      </c>
      <c r="G8" s="2">
        <v>-1249.42</v>
      </c>
      <c r="H8" s="2"/>
      <c r="I8" s="2">
        <v>1356.55</v>
      </c>
      <c r="N8" s="5">
        <v>43748.41</v>
      </c>
      <c r="P8" s="5">
        <v>-1272.26</v>
      </c>
      <c r="R8" s="5">
        <v>0.08</v>
      </c>
      <c r="S8" s="5"/>
      <c r="T8" s="5"/>
      <c r="U8" s="5">
        <v>42476.23</v>
      </c>
      <c r="V8" s="1">
        <f>U8-P8-N8-Q8-R8+N8-I9-G9-F9-D8-E8-B8</f>
        <v>0</v>
      </c>
    </row>
    <row r="9" spans="1:22" x14ac:dyDescent="0.25">
      <c r="A9" t="s">
        <v>156</v>
      </c>
      <c r="B9" s="4">
        <v>19069.150000000001</v>
      </c>
      <c r="C9" s="4"/>
      <c r="D9" s="4">
        <v>-86.02</v>
      </c>
      <c r="E9" s="4">
        <v>222.69</v>
      </c>
      <c r="F9" s="5">
        <v>32161.66</v>
      </c>
      <c r="G9" s="5">
        <v>-978.36</v>
      </c>
      <c r="N9" s="4">
        <v>57368.34</v>
      </c>
      <c r="P9" s="4">
        <v>-1326.7</v>
      </c>
      <c r="U9" s="4">
        <v>56041.64</v>
      </c>
      <c r="V9" s="1">
        <f>U9-P9-N9-Q9-R9+N9-I10-G10-F10-D9-E9-B9</f>
        <v>0</v>
      </c>
    </row>
    <row r="10" spans="1:22" x14ac:dyDescent="0.25">
      <c r="A10" t="s">
        <v>157</v>
      </c>
      <c r="B10" s="6">
        <v>14894.050000000001</v>
      </c>
      <c r="F10" s="4">
        <v>38882.269999999997</v>
      </c>
      <c r="G10" s="4">
        <v>-994.33</v>
      </c>
      <c r="H10" s="4"/>
      <c r="I10" s="4">
        <v>274.58000000000004</v>
      </c>
      <c r="N10" s="6">
        <v>74862.350000000006</v>
      </c>
      <c r="P10" s="6">
        <v>-1145.8499999999999</v>
      </c>
      <c r="U10" s="6">
        <v>73716.5</v>
      </c>
      <c r="V10" s="1">
        <f>U10-P10-N10-Q10-R10+N10-I11-G11-F11-D10-E10-B10</f>
        <v>0</v>
      </c>
    </row>
    <row r="11" spans="1:22" x14ac:dyDescent="0.25">
      <c r="A11" t="s">
        <v>158</v>
      </c>
      <c r="B11" s="7">
        <v>14505.98</v>
      </c>
      <c r="E11" s="7">
        <v>19.88</v>
      </c>
      <c r="F11" s="6">
        <v>60789.760000000002</v>
      </c>
      <c r="G11" s="6">
        <v>-831.84</v>
      </c>
      <c r="H11" s="6"/>
      <c r="I11" s="6">
        <v>10.38</v>
      </c>
      <c r="P11" s="7">
        <v>-579.66999999999996</v>
      </c>
      <c r="Q11" s="7">
        <v>-261.23</v>
      </c>
    </row>
    <row r="12" spans="1:22" x14ac:dyDescent="0.25">
      <c r="A12" t="s">
        <v>159</v>
      </c>
      <c r="B12" s="7">
        <v>9508.1200000000008</v>
      </c>
      <c r="E12" s="7">
        <v>21.67</v>
      </c>
      <c r="F12" s="7">
        <v>40204.29</v>
      </c>
      <c r="G12" s="7">
        <v>-2836.79</v>
      </c>
      <c r="M12" s="23">
        <v>9606.14</v>
      </c>
      <c r="O12" s="23"/>
      <c r="P12" s="7">
        <v>-599.84</v>
      </c>
      <c r="R12" s="7">
        <v>371.3</v>
      </c>
      <c r="S12" s="7"/>
      <c r="T12" s="7"/>
    </row>
    <row r="13" spans="1:22" x14ac:dyDescent="0.25">
      <c r="A13" t="s">
        <v>160</v>
      </c>
      <c r="B13" s="7">
        <v>8991.73</v>
      </c>
      <c r="E13" s="7">
        <v>42</v>
      </c>
      <c r="N13" s="7">
        <v>133762.84</v>
      </c>
      <c r="P13" s="7">
        <v>-347.51</v>
      </c>
      <c r="U13" s="7">
        <v>132345.89000000001</v>
      </c>
      <c r="V13" s="1">
        <f>U13-P13-N13-Q13-R13+N13-I14-G14-F14-D13-E13-B13-K14-M13-G13-F13-E11-D11-B12-B11-M12-D12-F12-G12-I12-K12-P11-P12-Q11-Q12-R12-E12</f>
        <v>9.5639052233309485E-12</v>
      </c>
    </row>
    <row r="14" spans="1:22" x14ac:dyDescent="0.25">
      <c r="A14" t="s">
        <v>161</v>
      </c>
      <c r="B14" s="8">
        <v>5578.93</v>
      </c>
      <c r="E14" s="8">
        <v>134.78</v>
      </c>
      <c r="F14" s="7">
        <v>55050.73</v>
      </c>
      <c r="G14" s="7">
        <v>-1350.9099999999999</v>
      </c>
      <c r="N14" s="8">
        <v>42163.8</v>
      </c>
      <c r="P14" s="8">
        <v>-799.01</v>
      </c>
      <c r="U14" s="8">
        <v>41364.79</v>
      </c>
      <c r="V14" s="1">
        <f>U14-P14-N14-Q14-R14+N14-I15-G15-F15-D14-E14-B14</f>
        <v>0</v>
      </c>
    </row>
    <row r="15" spans="1:22" x14ac:dyDescent="0.25">
      <c r="A15" t="s">
        <v>162</v>
      </c>
      <c r="B15" s="10">
        <v>11099.17</v>
      </c>
      <c r="E15" s="10">
        <v>285.36999999999995</v>
      </c>
      <c r="F15" s="8">
        <v>37978.79</v>
      </c>
      <c r="G15" s="8">
        <v>-1592.28</v>
      </c>
      <c r="H15" s="8"/>
      <c r="I15" s="8">
        <v>63.580000000000005</v>
      </c>
      <c r="N15" s="10">
        <v>41493.449999999997</v>
      </c>
      <c r="P15" s="10">
        <v>-1662.52</v>
      </c>
      <c r="Q15" s="10">
        <v>-47.65</v>
      </c>
      <c r="U15" s="10">
        <v>39783.279999999999</v>
      </c>
      <c r="V15" s="1">
        <f>U15-P15-N15-Q15-R15+N15-I16-G16-F16-D15-E15-B15</f>
        <v>0</v>
      </c>
    </row>
    <row r="16" spans="1:22" x14ac:dyDescent="0.25">
      <c r="A16" t="s">
        <v>163</v>
      </c>
      <c r="B16" s="9">
        <v>12406.550000000001</v>
      </c>
      <c r="E16" s="9">
        <v>187.79999999999998</v>
      </c>
      <c r="F16" s="10">
        <v>32545.190000000002</v>
      </c>
      <c r="G16" s="10">
        <v>-2700.25</v>
      </c>
      <c r="H16" s="10"/>
      <c r="I16" s="10">
        <v>263.96999999999997</v>
      </c>
      <c r="N16" s="9">
        <v>35738.58</v>
      </c>
      <c r="P16" s="9">
        <v>-609.38</v>
      </c>
      <c r="Q16" s="9">
        <v>-18.93</v>
      </c>
      <c r="U16" s="9">
        <v>35110.269999999997</v>
      </c>
      <c r="V16" s="1">
        <f>U16-P16-N16-Q16-R16+N16-I17-G17-F17-D16-E16-B16</f>
        <v>0</v>
      </c>
    </row>
    <row r="17" spans="1:23" x14ac:dyDescent="0.25">
      <c r="A17" t="s">
        <v>164</v>
      </c>
      <c r="B17" s="2">
        <v>13955.800000000001</v>
      </c>
      <c r="E17" s="2">
        <v>397.86</v>
      </c>
      <c r="F17" s="9">
        <v>29082.600000000002</v>
      </c>
      <c r="G17" s="9">
        <v>-5829.1600000000008</v>
      </c>
      <c r="H17" s="9"/>
      <c r="I17" s="9">
        <v>-109.21</v>
      </c>
      <c r="N17" s="2">
        <v>45319.53</v>
      </c>
      <c r="P17" s="2">
        <v>-1806.56</v>
      </c>
      <c r="Q17" s="2">
        <v>-48.64</v>
      </c>
      <c r="U17" s="2">
        <v>43464.33</v>
      </c>
      <c r="V17" s="1">
        <f>U17-P17-N17-Q17-R17+N17-I18-G18-F18-D17-E17-B17</f>
        <v>0</v>
      </c>
    </row>
    <row r="18" spans="1:23" x14ac:dyDescent="0.25">
      <c r="A18" t="s">
        <v>165</v>
      </c>
      <c r="B18" s="5">
        <v>13645.710000000001</v>
      </c>
      <c r="E18" s="5">
        <v>279.56</v>
      </c>
      <c r="F18" s="2">
        <v>31751.920000000002</v>
      </c>
      <c r="G18" s="2">
        <v>-736.9</v>
      </c>
      <c r="H18" s="2"/>
      <c r="I18" s="2">
        <v>-49.150000000000006</v>
      </c>
      <c r="P18" s="5">
        <v>-463.17</v>
      </c>
      <c r="Q18" s="5">
        <v>-86.72</v>
      </c>
    </row>
    <row r="19" spans="1:23" x14ac:dyDescent="0.25">
      <c r="A19" t="s">
        <v>166</v>
      </c>
      <c r="B19" s="5">
        <v>12825.77</v>
      </c>
      <c r="E19" s="5">
        <v>885.06</v>
      </c>
      <c r="F19" s="5">
        <v>28768.15</v>
      </c>
      <c r="G19" s="5">
        <v>-780.67</v>
      </c>
      <c r="H19" s="5"/>
      <c r="I19" s="5">
        <v>-1899.57</v>
      </c>
      <c r="M19" s="21">
        <v>13711.52</v>
      </c>
      <c r="O19" s="21"/>
      <c r="P19" s="5">
        <v>-1277.3800000000001</v>
      </c>
      <c r="R19" s="5">
        <v>427.13</v>
      </c>
      <c r="S19" s="5"/>
      <c r="T19" s="5"/>
    </row>
    <row r="20" spans="1:23" x14ac:dyDescent="0.25">
      <c r="A20" t="s">
        <v>167</v>
      </c>
      <c r="B20" s="5">
        <v>11499.91</v>
      </c>
      <c r="E20" s="5">
        <v>333.69</v>
      </c>
      <c r="N20" s="5">
        <v>140795.75</v>
      </c>
      <c r="P20" s="5">
        <v>-791.94</v>
      </c>
      <c r="Q20" s="5">
        <v>-39.130000000000003</v>
      </c>
      <c r="U20" s="5">
        <v>138564.54</v>
      </c>
      <c r="V20" s="1">
        <f>U20-P20-N20-Q20-R20+N20-I21-G21-F21-D20-E20-B20-K21-M20-G20-F20-E18-D18-B19-B18-M19-D19-F19-G19-I19-K19-P18-P19-Q18-Q19-R19-E19</f>
        <v>1.1482370609883219E-11</v>
      </c>
    </row>
    <row r="21" spans="1:23" x14ac:dyDescent="0.25">
      <c r="A21" t="s">
        <v>168</v>
      </c>
      <c r="B21" s="4">
        <v>9884.119999999999</v>
      </c>
      <c r="E21" s="4">
        <v>20.36</v>
      </c>
      <c r="F21" s="5">
        <v>63022.159999999996</v>
      </c>
      <c r="G21" s="5">
        <v>-1495.54</v>
      </c>
      <c r="N21" s="4">
        <v>41486.9</v>
      </c>
      <c r="P21" s="4">
        <v>-867.53</v>
      </c>
      <c r="Q21" s="4">
        <f>-107.65-10.79</f>
        <v>-118.44</v>
      </c>
      <c r="U21" s="4">
        <v>40500.93</v>
      </c>
      <c r="V21" s="1">
        <f>U21-P21-N21-Q21-R21+N21-I22-G22-F22-D21-E21-B21</f>
        <v>0</v>
      </c>
    </row>
    <row r="22" spans="1:23" x14ac:dyDescent="0.25">
      <c r="A22" t="s">
        <v>169</v>
      </c>
      <c r="B22" s="6">
        <v>15047.710000000001</v>
      </c>
      <c r="E22" s="6">
        <v>48.089999999999996</v>
      </c>
      <c r="F22" s="4">
        <v>29626.079999999998</v>
      </c>
      <c r="G22" s="4">
        <v>-1373.65</v>
      </c>
      <c r="H22" s="4"/>
      <c r="I22" s="4">
        <v>3329.99</v>
      </c>
      <c r="N22" s="6">
        <v>40209.18</v>
      </c>
      <c r="P22" s="6">
        <v>-777.82</v>
      </c>
      <c r="Q22" s="6">
        <v>-17.55</v>
      </c>
      <c r="U22" s="6">
        <v>39413.81</v>
      </c>
      <c r="V22" s="1">
        <f>U22-P22-N22-Q22-R22+N22-I23-G23-F23-D22-E22-B22</f>
        <v>0</v>
      </c>
    </row>
    <row r="23" spans="1:23" x14ac:dyDescent="0.25">
      <c r="A23" t="s">
        <v>170</v>
      </c>
      <c r="B23" s="7">
        <v>16487.34</v>
      </c>
      <c r="F23" s="6">
        <v>30381.949999999997</v>
      </c>
      <c r="G23" s="6">
        <v>-5283.15</v>
      </c>
      <c r="H23" s="6"/>
      <c r="I23" s="6">
        <v>14.58</v>
      </c>
      <c r="N23" s="7">
        <v>55011.63</v>
      </c>
      <c r="P23" s="7">
        <v>-490.06</v>
      </c>
      <c r="Q23" s="7">
        <f>-9.71-116.13</f>
        <v>-125.84</v>
      </c>
      <c r="U23" s="7">
        <v>54395.73</v>
      </c>
      <c r="V23" s="1">
        <f>U23-P23-N23-Q23-R23+N23-I24-G24-F24-D23-E23-B23</f>
        <v>0</v>
      </c>
    </row>
    <row r="24" spans="1:23" x14ac:dyDescent="0.25">
      <c r="A24" t="s">
        <v>171</v>
      </c>
      <c r="B24" s="8">
        <v>12384.009999999998</v>
      </c>
      <c r="C24" s="8"/>
      <c r="D24" s="8">
        <v>343.07000000000005</v>
      </c>
      <c r="E24" s="8">
        <v>62.73</v>
      </c>
      <c r="F24" s="7">
        <v>40091.47</v>
      </c>
      <c r="G24" s="7">
        <v>-483.36</v>
      </c>
      <c r="H24" s="7"/>
      <c r="I24" s="7">
        <v>-1083.8200000000002</v>
      </c>
      <c r="N24" s="8">
        <v>42689.34</v>
      </c>
      <c r="P24" s="8">
        <v>-1220.29</v>
      </c>
      <c r="Q24" s="8">
        <v>-335.9</v>
      </c>
      <c r="U24" s="8">
        <v>41133.15</v>
      </c>
      <c r="V24" s="1">
        <f>U24-P24-N24-Q24-R24+N24-I25-G25-F25-D24-E24-B24</f>
        <v>0</v>
      </c>
    </row>
    <row r="25" spans="1:23" x14ac:dyDescent="0.25">
      <c r="A25" t="s">
        <v>172</v>
      </c>
      <c r="B25" s="10">
        <v>11089.45</v>
      </c>
      <c r="C25" s="10"/>
      <c r="D25" s="10">
        <v>-391.28</v>
      </c>
      <c r="E25" s="10">
        <v>516.01</v>
      </c>
      <c r="F25" s="8">
        <v>30727.65</v>
      </c>
      <c r="G25" s="8">
        <v>-543.34</v>
      </c>
      <c r="H25" s="8"/>
      <c r="I25" s="8">
        <v>-284.78000000000003</v>
      </c>
      <c r="P25" s="10">
        <v>-1065.6400000000001</v>
      </c>
      <c r="Q25" s="10">
        <v>-121.71</v>
      </c>
    </row>
    <row r="26" spans="1:23" x14ac:dyDescent="0.25">
      <c r="A26" t="s">
        <v>173</v>
      </c>
      <c r="B26" s="10">
        <v>9197.3700000000008</v>
      </c>
      <c r="F26" s="10">
        <v>27692.42</v>
      </c>
      <c r="G26" s="10">
        <v>-606.32000000000005</v>
      </c>
      <c r="H26" s="10"/>
      <c r="I26" s="10">
        <v>-292.94</v>
      </c>
      <c r="M26" s="19">
        <v>32021.07</v>
      </c>
      <c r="O26" s="19"/>
      <c r="P26" s="10">
        <v>-777.69</v>
      </c>
      <c r="Q26" s="10">
        <v>-55.48</v>
      </c>
      <c r="R26" s="10">
        <v>2347.81</v>
      </c>
      <c r="S26" s="10"/>
      <c r="T26" s="10"/>
    </row>
    <row r="27" spans="1:23" x14ac:dyDescent="0.25">
      <c r="A27" t="s">
        <v>174</v>
      </c>
      <c r="B27" s="10">
        <v>9321.1</v>
      </c>
      <c r="C27" s="10"/>
      <c r="D27" s="10">
        <v>10.79</v>
      </c>
      <c r="N27" s="10">
        <v>135170.07</v>
      </c>
      <c r="Q27" s="10">
        <f>-289.89-31.12</f>
        <v>-321.01</v>
      </c>
      <c r="U27" s="10">
        <v>135176.35</v>
      </c>
      <c r="V27" s="1">
        <f>U27-P27-N27-Q27-R27+N27-I28-G28-F28-D27-E27-B27-K28-M27-G27-F27-E25-D25-B26-B25-M26-D26-F26-G26-I26-K26-P25-P26-Q25-Q26-R26</f>
        <v>3.5470293369144201E-11</v>
      </c>
    </row>
    <row r="28" spans="1:23" x14ac:dyDescent="0.25">
      <c r="A28" t="s">
        <v>175</v>
      </c>
      <c r="B28" s="9">
        <v>10533.14</v>
      </c>
      <c r="C28" s="9"/>
      <c r="D28" s="9">
        <v>-1517.24</v>
      </c>
      <c r="E28" s="9">
        <v>232.18</v>
      </c>
      <c r="F28" s="10">
        <v>47177.78</v>
      </c>
      <c r="G28" s="10">
        <v>-337.49</v>
      </c>
      <c r="H28" s="10"/>
      <c r="I28" s="10">
        <v>-227.89000000000001</v>
      </c>
      <c r="N28" s="9">
        <v>42503.16</v>
      </c>
      <c r="P28" s="9">
        <v>-499.49</v>
      </c>
      <c r="Q28" s="9">
        <v>-403.16</v>
      </c>
      <c r="R28" s="9"/>
      <c r="S28" s="9"/>
      <c r="T28" s="9"/>
      <c r="U28" s="9">
        <v>41600.51</v>
      </c>
      <c r="V28" s="1">
        <f>U28-P28-N28-Q28-R28+N28-I29-G29-F29-D28-E28-B28</f>
        <v>0</v>
      </c>
    </row>
    <row r="29" spans="1:23" x14ac:dyDescent="0.25">
      <c r="A29" t="s">
        <v>176</v>
      </c>
      <c r="B29" s="2">
        <v>12995.099999999999</v>
      </c>
      <c r="C29" s="2"/>
      <c r="D29" s="2">
        <v>-114.17</v>
      </c>
      <c r="E29" s="2">
        <v>69.819999999999993</v>
      </c>
      <c r="F29" s="9">
        <v>33272.57</v>
      </c>
      <c r="G29" s="9">
        <v>-490.82</v>
      </c>
      <c r="H29" s="9"/>
      <c r="I29" s="9">
        <v>473.33</v>
      </c>
      <c r="N29" s="2">
        <v>42467.48</v>
      </c>
      <c r="P29" s="2">
        <v>-502.38</v>
      </c>
      <c r="Q29" s="2">
        <v>-52.14</v>
      </c>
      <c r="R29" s="2"/>
      <c r="S29" s="2"/>
      <c r="T29" s="2"/>
      <c r="U29" s="2">
        <v>41912.959999999999</v>
      </c>
      <c r="V29" s="1">
        <f>U29-P29-N29-Q29-R29+N29-I30-G30-F30-D29-E29-B29</f>
        <v>0</v>
      </c>
    </row>
    <row r="30" spans="1:23" x14ac:dyDescent="0.25">
      <c r="A30" t="s">
        <v>177</v>
      </c>
      <c r="B30" s="5">
        <v>11812.21</v>
      </c>
      <c r="E30" s="5">
        <v>17.38</v>
      </c>
      <c r="F30" s="2">
        <v>30520.329999999998</v>
      </c>
      <c r="G30" s="2">
        <v>-788.2</v>
      </c>
      <c r="H30" s="2"/>
      <c r="I30" s="2">
        <v>-215.4</v>
      </c>
      <c r="N30" s="5">
        <v>46830.84</v>
      </c>
      <c r="P30" s="5">
        <v>-598.44000000000005</v>
      </c>
      <c r="Q30" s="5"/>
      <c r="R30" s="5"/>
      <c r="S30" s="5"/>
      <c r="T30" s="5"/>
      <c r="U30" s="5">
        <v>46232.4</v>
      </c>
      <c r="V30" s="1">
        <f>U30-P30-N30-Q30-R30+N30-I31-G31-F31-D30-E30-B30-K31-M30</f>
        <v>-0.81999999999338513</v>
      </c>
      <c r="W30" s="17" t="s">
        <v>1458</v>
      </c>
    </row>
    <row r="31" spans="1:23" x14ac:dyDescent="0.25">
      <c r="A31" t="s">
        <v>178</v>
      </c>
      <c r="B31" s="4">
        <v>10450.030000000001</v>
      </c>
      <c r="C31" s="4"/>
      <c r="D31" s="4">
        <v>-185.91</v>
      </c>
      <c r="E31" s="4">
        <v>447.8</v>
      </c>
      <c r="F31" s="5">
        <v>37602.959999999999</v>
      </c>
      <c r="G31" s="5">
        <v>-1970.6</v>
      </c>
      <c r="H31" s="5"/>
      <c r="I31" s="5">
        <v>-755.08</v>
      </c>
      <c r="K31" s="5">
        <v>124.79</v>
      </c>
      <c r="L31" s="5"/>
      <c r="M31" s="4">
        <v>-750</v>
      </c>
      <c r="N31" s="4">
        <v>53932.75</v>
      </c>
      <c r="O31" s="4"/>
      <c r="P31" s="4">
        <v>-415.74</v>
      </c>
      <c r="Q31" s="4"/>
      <c r="R31" s="4"/>
      <c r="S31" s="4"/>
      <c r="T31" s="4"/>
      <c r="U31" s="4">
        <v>53517.01</v>
      </c>
      <c r="V31" s="1">
        <f>U31-P31-N31-Q31-R31+N31-I32-G32-F32-D31-E31-B31-K32-M31</f>
        <v>4.5474735088646412E-12</v>
      </c>
      <c r="W31" t="s">
        <v>1459</v>
      </c>
    </row>
    <row r="32" spans="1:23" x14ac:dyDescent="0.25">
      <c r="A32" t="s">
        <v>179</v>
      </c>
      <c r="B32" s="6">
        <v>12832.36</v>
      </c>
      <c r="F32" s="4">
        <v>44548.06</v>
      </c>
      <c r="G32" s="4">
        <v>-417.37</v>
      </c>
      <c r="H32" s="4"/>
      <c r="I32" s="4">
        <v>-35.070000000000022</v>
      </c>
      <c r="K32" s="4">
        <v>-124.79</v>
      </c>
      <c r="L32" s="4"/>
    </row>
    <row r="33" spans="1:24" x14ac:dyDescent="0.25">
      <c r="A33" t="s">
        <v>180</v>
      </c>
      <c r="B33" s="6">
        <v>12025.84</v>
      </c>
      <c r="E33" s="6">
        <v>280.86</v>
      </c>
      <c r="F33" s="6">
        <v>30089.760000000002</v>
      </c>
      <c r="G33" s="6">
        <v>-1452.29</v>
      </c>
      <c r="H33" s="6"/>
      <c r="I33" s="6">
        <v>-29.419999999999998</v>
      </c>
      <c r="M33" s="24">
        <v>9430.2199999999993</v>
      </c>
      <c r="O33" s="24"/>
    </row>
    <row r="34" spans="1:24" x14ac:dyDescent="0.25">
      <c r="A34" t="s">
        <v>181</v>
      </c>
      <c r="B34" s="6">
        <v>15303.32</v>
      </c>
      <c r="C34" s="6"/>
      <c r="D34" s="6">
        <v>3.62</v>
      </c>
      <c r="M34" s="24">
        <v>13720.05</v>
      </c>
      <c r="O34" s="24"/>
    </row>
    <row r="35" spans="1:24" x14ac:dyDescent="0.25">
      <c r="A35" t="s">
        <v>182</v>
      </c>
      <c r="B35" s="6">
        <v>11984.16</v>
      </c>
      <c r="E35" s="6">
        <v>374.55</v>
      </c>
      <c r="F35" s="6">
        <v>51674.64</v>
      </c>
      <c r="G35" s="6">
        <v>-271.14</v>
      </c>
      <c r="N35" s="6">
        <v>183407.13</v>
      </c>
      <c r="P35" s="6">
        <v>-3281.74</v>
      </c>
      <c r="Q35" s="6">
        <v>-987.76</v>
      </c>
      <c r="R35" s="6">
        <f>1686.47+2072.02+0.08</f>
        <v>3758.5699999999997</v>
      </c>
      <c r="S35" s="6"/>
      <c r="T35" s="6"/>
      <c r="U35" s="6">
        <v>182896.2</v>
      </c>
      <c r="V35" s="1">
        <f>U35-P35-N35-Q35-R35+N35-I36-G36-F36-D35-E35-B35-K36-M35-K33-G35-F35-I33-G33-F33-E33-D33-D32-E32-B34-B33-B32-M34-M33-D34</f>
        <v>-1.2100000000056026</v>
      </c>
      <c r="W35" s="17" t="s">
        <v>1460</v>
      </c>
    </row>
    <row r="36" spans="1:24" x14ac:dyDescent="0.25">
      <c r="A36" t="s">
        <v>183</v>
      </c>
      <c r="B36" s="7">
        <v>15121.38</v>
      </c>
      <c r="F36" s="6">
        <v>29608.79</v>
      </c>
      <c r="G36" s="6">
        <v>-2186.65</v>
      </c>
      <c r="H36" s="6"/>
      <c r="I36" s="6">
        <v>19.669999999999998</v>
      </c>
      <c r="N36" s="7">
        <v>-50595.14</v>
      </c>
      <c r="P36" s="1">
        <v>298.85000000000002</v>
      </c>
      <c r="U36" s="1">
        <v>-50296.29</v>
      </c>
    </row>
    <row r="37" spans="1:24" x14ac:dyDescent="0.25">
      <c r="A37" t="s">
        <v>184</v>
      </c>
      <c r="B37" s="8">
        <v>14041.74</v>
      </c>
      <c r="C37" s="8"/>
      <c r="D37" s="8">
        <v>55.190000000000005</v>
      </c>
      <c r="E37" s="8">
        <v>288.36999999999995</v>
      </c>
      <c r="F37" s="7">
        <v>35081.82</v>
      </c>
      <c r="G37" s="7">
        <v>-564.15</v>
      </c>
      <c r="H37" s="7"/>
      <c r="I37" s="7">
        <v>914.87</v>
      </c>
      <c r="K37" s="7">
        <v>41.22</v>
      </c>
      <c r="L37" s="7"/>
      <c r="M37" s="7"/>
      <c r="N37" s="8">
        <v>-41362.559999999998</v>
      </c>
      <c r="O37" s="7"/>
      <c r="P37" s="1">
        <v>790.16</v>
      </c>
      <c r="U37" s="1">
        <v>-40572.400000000001</v>
      </c>
    </row>
    <row r="38" spans="1:24" x14ac:dyDescent="0.25">
      <c r="A38" t="s">
        <v>185</v>
      </c>
      <c r="B38" s="10">
        <v>11466.439999999999</v>
      </c>
      <c r="F38" s="8">
        <v>27986.880000000001</v>
      </c>
      <c r="G38" s="8">
        <v>-1632.38</v>
      </c>
      <c r="H38" s="8"/>
      <c r="I38" s="8">
        <v>663.98</v>
      </c>
      <c r="K38" s="8">
        <v>-41.22</v>
      </c>
      <c r="L38" s="8"/>
      <c r="M38" s="8"/>
      <c r="N38" s="10">
        <v>-48008.35</v>
      </c>
      <c r="O38" s="8"/>
      <c r="P38" s="1">
        <v>496.21</v>
      </c>
      <c r="U38" s="1">
        <v>-47512.14</v>
      </c>
    </row>
    <row r="39" spans="1:24" x14ac:dyDescent="0.25">
      <c r="A39" t="s">
        <v>186</v>
      </c>
      <c r="B39" s="9">
        <v>16238.31</v>
      </c>
      <c r="F39" s="10">
        <v>36788.1</v>
      </c>
      <c r="G39" s="10">
        <v>-1090.07</v>
      </c>
      <c r="H39" s="10"/>
      <c r="I39" s="10">
        <v>843.87999999999988</v>
      </c>
      <c r="K39" s="10"/>
      <c r="L39" s="10"/>
    </row>
    <row r="40" spans="1:24" x14ac:dyDescent="0.25">
      <c r="A40" t="s">
        <v>187</v>
      </c>
      <c r="B40" s="9">
        <v>11613.16</v>
      </c>
      <c r="E40" s="9">
        <v>901.93999999999994</v>
      </c>
      <c r="F40" s="9">
        <v>37273.310000000005</v>
      </c>
      <c r="G40" s="9">
        <v>-628.78</v>
      </c>
      <c r="H40" s="9"/>
      <c r="I40" s="9">
        <v>1096.94</v>
      </c>
      <c r="K40" s="9"/>
      <c r="L40" s="9"/>
      <c r="M40" s="25">
        <v>8271.75</v>
      </c>
      <c r="O40" s="25"/>
      <c r="X40" s="26"/>
    </row>
    <row r="41" spans="1:24" x14ac:dyDescent="0.25">
      <c r="A41" t="s">
        <v>188</v>
      </c>
      <c r="B41" s="9">
        <v>12106.2</v>
      </c>
      <c r="E41" s="9">
        <v>248.94</v>
      </c>
      <c r="K41" s="9">
        <v>195.74</v>
      </c>
      <c r="L41" s="9"/>
      <c r="M41" s="9"/>
      <c r="N41" s="9">
        <v>-136135.46</v>
      </c>
      <c r="O41" s="9"/>
      <c r="P41" s="1">
        <v>1070.48</v>
      </c>
      <c r="U41" s="1">
        <v>-135064.98000000001</v>
      </c>
    </row>
    <row r="42" spans="1:24" x14ac:dyDescent="0.25">
      <c r="A42" t="s">
        <v>189</v>
      </c>
      <c r="B42" s="2">
        <v>10689.41</v>
      </c>
      <c r="E42" s="2">
        <v>291.72000000000003</v>
      </c>
      <c r="F42" s="9">
        <v>51287.38</v>
      </c>
      <c r="G42" s="9">
        <v>-2733.69</v>
      </c>
      <c r="H42" s="9"/>
      <c r="I42" s="9">
        <v>195.47</v>
      </c>
      <c r="K42" s="9">
        <v>68.790000000000006</v>
      </c>
      <c r="L42" s="9"/>
      <c r="M42" s="9"/>
      <c r="N42" s="2">
        <v>-44383.93</v>
      </c>
      <c r="O42" s="9"/>
      <c r="P42" s="1">
        <v>915.77</v>
      </c>
      <c r="U42" s="1">
        <v>-43468.160000000003</v>
      </c>
    </row>
    <row r="43" spans="1:24" x14ac:dyDescent="0.25">
      <c r="A43" t="s">
        <v>190</v>
      </c>
      <c r="B43" s="5">
        <v>11619.73</v>
      </c>
      <c r="F43" s="2">
        <v>34215.78</v>
      </c>
      <c r="G43" s="2">
        <v>-896.57</v>
      </c>
      <c r="H43" s="2"/>
      <c r="I43" s="2">
        <v>348.12</v>
      </c>
      <c r="K43" s="2">
        <v>-264.52999999999997</v>
      </c>
      <c r="L43" s="2"/>
      <c r="M43" s="2"/>
      <c r="N43" s="5">
        <v>-34441.129999999997</v>
      </c>
      <c r="O43" s="2"/>
      <c r="P43" s="1">
        <v>322.02</v>
      </c>
      <c r="U43" s="1">
        <v>-34119.11</v>
      </c>
      <c r="V43" s="1">
        <f>-N43-I44-D43-G44-F44-B43</f>
        <v>0</v>
      </c>
    </row>
    <row r="44" spans="1:24" x14ac:dyDescent="0.25">
      <c r="A44" t="s">
        <v>191</v>
      </c>
      <c r="B44" s="4">
        <v>10481.98</v>
      </c>
      <c r="E44" s="4">
        <v>126.2</v>
      </c>
      <c r="F44" s="5">
        <v>30438.400000000001</v>
      </c>
      <c r="G44" s="5">
        <v>-5652.95</v>
      </c>
      <c r="H44" s="5"/>
      <c r="I44" s="5">
        <v>-1964.05</v>
      </c>
      <c r="K44" s="5"/>
      <c r="L44" s="5"/>
      <c r="N44" s="4">
        <v>-45512.68</v>
      </c>
      <c r="P44" s="1">
        <v>297.77</v>
      </c>
      <c r="U44" s="1">
        <v>-45214.91</v>
      </c>
      <c r="V44" s="1">
        <f>-N44-I45-D44-G45-F45-B44-M44-E44</f>
        <v>8.0007112046587281E-12</v>
      </c>
    </row>
    <row r="45" spans="1:24" x14ac:dyDescent="0.25">
      <c r="A45" t="s">
        <v>192</v>
      </c>
      <c r="B45" s="6">
        <v>14456.22</v>
      </c>
      <c r="F45" s="4">
        <v>36637.089999999997</v>
      </c>
      <c r="G45" s="4">
        <v>-1556.76</v>
      </c>
      <c r="H45" s="4"/>
      <c r="I45" s="4">
        <v>-175.83</v>
      </c>
      <c r="K45" s="6"/>
      <c r="L45" s="6"/>
      <c r="M45" s="6"/>
      <c r="N45" s="6">
        <v>-39197.919999999998</v>
      </c>
      <c r="O45" s="6"/>
      <c r="P45" s="1">
        <v>995.79</v>
      </c>
      <c r="U45" s="1">
        <v>-38202.129999999997</v>
      </c>
      <c r="V45" s="1">
        <f>-N45-I46-D45-G46-F46-B45-M45-E45</f>
        <v>5.4799999999941065</v>
      </c>
      <c r="W45" s="17" t="s">
        <v>1461</v>
      </c>
    </row>
    <row r="46" spans="1:24" x14ac:dyDescent="0.25">
      <c r="A46" t="s">
        <v>193</v>
      </c>
      <c r="B46" s="7">
        <v>11592.48</v>
      </c>
      <c r="F46" s="6">
        <v>24678.84</v>
      </c>
      <c r="G46" s="6">
        <v>-613.41999999999996</v>
      </c>
      <c r="H46" s="6"/>
      <c r="I46" s="6">
        <v>670.80000000000007</v>
      </c>
      <c r="K46" s="7">
        <v>-6.25</v>
      </c>
      <c r="L46" s="7"/>
      <c r="M46" s="7"/>
      <c r="O46" s="7"/>
    </row>
    <row r="47" spans="1:24" x14ac:dyDescent="0.25">
      <c r="A47" t="s">
        <v>194</v>
      </c>
      <c r="B47" s="7">
        <v>13199.6</v>
      </c>
      <c r="E47" s="7">
        <v>26.21</v>
      </c>
      <c r="F47" s="7">
        <v>28650.75</v>
      </c>
      <c r="G47" s="7">
        <v>-468.45</v>
      </c>
      <c r="H47" s="7"/>
      <c r="I47" s="7">
        <v>-1451.61</v>
      </c>
      <c r="K47" s="7"/>
      <c r="L47" s="7"/>
    </row>
    <row r="48" spans="1:24" x14ac:dyDescent="0.25">
      <c r="A48" t="s">
        <v>195</v>
      </c>
      <c r="B48" s="7">
        <v>11329.73</v>
      </c>
      <c r="E48" s="7">
        <v>7.04</v>
      </c>
      <c r="M48" s="23">
        <v>10251.530000000001</v>
      </c>
      <c r="N48" s="7">
        <v>-116512.63</v>
      </c>
      <c r="O48" s="23"/>
      <c r="P48" s="1">
        <v>1614.8</v>
      </c>
      <c r="U48" s="1">
        <v>-114897.83</v>
      </c>
      <c r="V48" s="1">
        <f>-N48-M48-I47-D46-G47-G49-F49-F47-B48-B47-B46-I49-E47-E48-E46-D47-D48-M46</f>
        <v>-6.2499999999855058</v>
      </c>
    </row>
    <row r="49" spans="1:23" x14ac:dyDescent="0.25">
      <c r="A49" t="s">
        <v>196</v>
      </c>
      <c r="B49" s="8">
        <v>10994.96</v>
      </c>
      <c r="E49" s="8">
        <v>7.96</v>
      </c>
      <c r="F49" s="7">
        <v>44569.869999999995</v>
      </c>
      <c r="G49" s="7">
        <v>-683.34999999999991</v>
      </c>
      <c r="H49" s="7"/>
      <c r="I49" s="7">
        <v>-504.92</v>
      </c>
      <c r="K49" s="7"/>
      <c r="L49" s="7"/>
      <c r="N49" s="8">
        <v>-32056.54</v>
      </c>
      <c r="P49" s="1">
        <v>571.11</v>
      </c>
      <c r="U49" s="1">
        <v>-31485.43</v>
      </c>
    </row>
    <row r="50" spans="1:23" x14ac:dyDescent="0.25">
      <c r="A50" t="s">
        <v>197</v>
      </c>
      <c r="B50" s="10">
        <v>12070.66</v>
      </c>
      <c r="E50" s="10">
        <v>80.36</v>
      </c>
      <c r="F50" s="8">
        <v>23408.6</v>
      </c>
      <c r="G50" s="8">
        <v>-548.56000000000006</v>
      </c>
      <c r="H50" s="8"/>
      <c r="I50" s="8">
        <v>-1806.4199999999998</v>
      </c>
      <c r="K50" s="10">
        <v>3</v>
      </c>
      <c r="L50" s="10"/>
      <c r="M50" s="10"/>
      <c r="N50" s="10">
        <v>-38659.800000000003</v>
      </c>
      <c r="O50" s="10"/>
      <c r="P50" s="1">
        <v>603.61</v>
      </c>
      <c r="U50" s="1">
        <v>-38056.19</v>
      </c>
      <c r="V50" s="1">
        <v>-3</v>
      </c>
      <c r="W50" s="17" t="s">
        <v>1462</v>
      </c>
    </row>
    <row r="51" spans="1:23" x14ac:dyDescent="0.25">
      <c r="A51" t="s">
        <v>198</v>
      </c>
      <c r="B51" s="9">
        <v>13736.41</v>
      </c>
      <c r="F51" s="10">
        <v>27033.87</v>
      </c>
      <c r="G51" s="10">
        <v>-519.19000000000005</v>
      </c>
      <c r="H51" s="10"/>
      <c r="I51" s="10">
        <v>-2.9000000000000004</v>
      </c>
      <c r="K51" s="10"/>
      <c r="L51" s="10"/>
      <c r="N51" s="9">
        <v>-45607.32</v>
      </c>
      <c r="P51" s="1">
        <v>531.19000000000005</v>
      </c>
      <c r="U51" s="1">
        <v>-45076.13</v>
      </c>
    </row>
    <row r="52" spans="1:23" x14ac:dyDescent="0.25">
      <c r="A52" t="s">
        <v>199</v>
      </c>
      <c r="B52" s="2">
        <v>10116.049999999999</v>
      </c>
      <c r="E52" s="2">
        <v>540.07000000000005</v>
      </c>
      <c r="F52" s="9">
        <v>33309.56</v>
      </c>
      <c r="G52" s="9">
        <v>-1596.05</v>
      </c>
      <c r="H52" s="9"/>
      <c r="I52" s="9">
        <v>157.4</v>
      </c>
      <c r="K52" s="9"/>
      <c r="L52" s="9"/>
      <c r="N52" s="2">
        <v>-50999.11</v>
      </c>
      <c r="P52" s="1">
        <v>1136.56</v>
      </c>
      <c r="U52" s="1">
        <v>-49862.55</v>
      </c>
    </row>
    <row r="53" spans="1:23" x14ac:dyDescent="0.25">
      <c r="A53" t="s">
        <v>200</v>
      </c>
      <c r="B53" s="5">
        <v>9787.9299999999985</v>
      </c>
      <c r="C53" s="5"/>
      <c r="D53" s="5">
        <v>-760.24</v>
      </c>
      <c r="F53" s="2">
        <v>41454.93</v>
      </c>
      <c r="G53" s="2">
        <v>-579.63</v>
      </c>
      <c r="H53" s="2"/>
      <c r="I53" s="2">
        <v>-532.30999999999995</v>
      </c>
      <c r="K53" s="2"/>
      <c r="L53" s="2"/>
    </row>
    <row r="54" spans="1:23" x14ac:dyDescent="0.25">
      <c r="A54" t="s">
        <v>201</v>
      </c>
      <c r="B54" s="5">
        <v>13202.67</v>
      </c>
      <c r="E54" s="5">
        <v>45.96</v>
      </c>
      <c r="F54" s="5">
        <v>30237.579999999998</v>
      </c>
      <c r="G54" s="5">
        <v>-712.28</v>
      </c>
      <c r="H54" s="5"/>
      <c r="I54" s="5">
        <v>-1300.6999999999998</v>
      </c>
      <c r="K54" s="5"/>
      <c r="L54" s="5"/>
      <c r="M54" s="21">
        <v>19480.77</v>
      </c>
      <c r="O54" s="21"/>
    </row>
    <row r="55" spans="1:23" x14ac:dyDescent="0.25">
      <c r="A55" t="s">
        <v>202</v>
      </c>
      <c r="B55" s="5">
        <v>11185.77</v>
      </c>
      <c r="E55" s="5">
        <v>356.34999999999997</v>
      </c>
      <c r="N55" s="5">
        <v>-159554.47</v>
      </c>
      <c r="P55" s="1">
        <v>-1635.16</v>
      </c>
      <c r="U55" s="1">
        <v>-161189.63</v>
      </c>
    </row>
    <row r="56" spans="1:23" x14ac:dyDescent="0.25">
      <c r="A56" t="s">
        <v>203</v>
      </c>
      <c r="B56" s="4">
        <v>11654.78</v>
      </c>
      <c r="E56" s="4"/>
      <c r="F56" s="5">
        <v>78510.95</v>
      </c>
      <c r="G56" s="5">
        <v>-480.29</v>
      </c>
      <c r="K56" s="4">
        <v>7.35</v>
      </c>
      <c r="L56" s="4"/>
      <c r="M56" s="4"/>
      <c r="N56" s="4">
        <v>-42125.7</v>
      </c>
      <c r="O56" s="4"/>
      <c r="P56" s="1">
        <v>401.45</v>
      </c>
      <c r="U56" s="1">
        <v>-41724.25</v>
      </c>
      <c r="V56" s="1">
        <f>-N56-I57-D56-G57-F57-B56-M56</f>
        <v>7.3499999999967258</v>
      </c>
    </row>
    <row r="57" spans="1:23" x14ac:dyDescent="0.25">
      <c r="A57" t="s">
        <v>204</v>
      </c>
      <c r="B57" s="6">
        <v>15006.57</v>
      </c>
      <c r="C57" s="6"/>
      <c r="D57" s="6">
        <v>58.980000000000004</v>
      </c>
      <c r="E57" s="6"/>
      <c r="F57" s="4">
        <v>30965.58</v>
      </c>
      <c r="G57" s="4">
        <v>-1733.21</v>
      </c>
      <c r="H57" s="4"/>
      <c r="I57" s="4">
        <v>1231.2</v>
      </c>
      <c r="K57" s="6">
        <v>-7.35</v>
      </c>
      <c r="L57" s="6"/>
      <c r="M57" s="6"/>
      <c r="N57" s="6">
        <v>-40947.97</v>
      </c>
      <c r="O57" s="6"/>
      <c r="P57" s="1">
        <v>568.63</v>
      </c>
      <c r="U57" s="1">
        <v>-40379.339999999997</v>
      </c>
      <c r="V57" s="1">
        <f>-N57-I58-D57-G58-F58-B57-M57</f>
        <v>-7.3499999999985448</v>
      </c>
    </row>
    <row r="58" spans="1:23" x14ac:dyDescent="0.25">
      <c r="A58" t="s">
        <v>205</v>
      </c>
      <c r="B58" s="7">
        <v>15528.14</v>
      </c>
      <c r="E58" s="7"/>
      <c r="F58" s="6">
        <v>30413.54</v>
      </c>
      <c r="G58" s="6">
        <v>-3575.37</v>
      </c>
      <c r="H58" s="6"/>
      <c r="I58" s="6">
        <v>-948.4</v>
      </c>
      <c r="K58" s="6"/>
      <c r="L58" s="6"/>
      <c r="N58" s="7">
        <v>-41579.19</v>
      </c>
      <c r="P58" s="1">
        <v>310.92</v>
      </c>
      <c r="U58" s="1">
        <v>-41268.269999999997</v>
      </c>
      <c r="V58" s="1">
        <f>-N58-I59-D58-G59-F59-B58-M58</f>
        <v>3.637978807091713E-12</v>
      </c>
    </row>
    <row r="59" spans="1:23" x14ac:dyDescent="0.25">
      <c r="A59" t="s">
        <v>206</v>
      </c>
      <c r="B59" s="8">
        <v>13418.92</v>
      </c>
      <c r="C59" s="8"/>
      <c r="D59" s="8">
        <v>-55.78</v>
      </c>
      <c r="E59" s="8"/>
      <c r="F59" s="7">
        <v>25876.7</v>
      </c>
      <c r="G59" s="7">
        <v>-1318.53</v>
      </c>
      <c r="H59" s="7"/>
      <c r="I59" s="7">
        <v>1492.8799999999999</v>
      </c>
      <c r="K59" s="7"/>
      <c r="L59" s="7"/>
      <c r="N59" s="8">
        <v>-50676.67</v>
      </c>
      <c r="P59" s="1">
        <v>236.49</v>
      </c>
      <c r="U59" s="1">
        <v>-50440.18</v>
      </c>
      <c r="V59" s="1">
        <f>-N59-I60-D59-G60-F60-B59-M59</f>
        <v>-1.8189894035458565E-12</v>
      </c>
    </row>
    <row r="60" spans="1:23" x14ac:dyDescent="0.25">
      <c r="A60" t="s">
        <v>207</v>
      </c>
      <c r="B60" s="10">
        <v>13486.92</v>
      </c>
      <c r="E60" s="10"/>
      <c r="F60" s="8">
        <v>38448.15</v>
      </c>
      <c r="G60" s="8">
        <v>-1389.83</v>
      </c>
      <c r="H60" s="8"/>
      <c r="I60" s="8">
        <v>255.21</v>
      </c>
      <c r="K60" s="8"/>
      <c r="L60" s="8"/>
    </row>
    <row r="61" spans="1:23" x14ac:dyDescent="0.25">
      <c r="A61" t="s">
        <v>208</v>
      </c>
      <c r="B61" s="10">
        <v>15342.3</v>
      </c>
      <c r="C61" s="10"/>
      <c r="D61" s="10"/>
      <c r="E61" s="10"/>
      <c r="F61" s="10">
        <v>35146.9</v>
      </c>
      <c r="G61" s="10">
        <v>-867.87</v>
      </c>
      <c r="H61" s="10"/>
      <c r="I61" s="10">
        <v>-920.28</v>
      </c>
      <c r="K61" s="10"/>
      <c r="L61" s="10"/>
    </row>
    <row r="62" spans="1:23" x14ac:dyDescent="0.25">
      <c r="A62" t="s">
        <v>209</v>
      </c>
      <c r="B62" s="10">
        <v>9477.16</v>
      </c>
      <c r="E62" s="10"/>
      <c r="M62" s="19">
        <v>28768.46</v>
      </c>
      <c r="N62" s="10">
        <v>-155936.04</v>
      </c>
      <c r="O62" s="19"/>
      <c r="P62" s="1">
        <v>-330.83</v>
      </c>
      <c r="U62" s="1">
        <v>-155605.21</v>
      </c>
      <c r="V62" s="1">
        <f>-N62-M62-I61-D60-G61-G63-F63-F61-B62-B61-B60-I63</f>
        <v>-5.8975047068088315E-12</v>
      </c>
    </row>
    <row r="63" spans="1:23" x14ac:dyDescent="0.25">
      <c r="A63" t="s">
        <v>210</v>
      </c>
      <c r="B63" s="9">
        <v>15395.76</v>
      </c>
      <c r="E63" s="9"/>
      <c r="F63" s="10">
        <v>58834.490000000005</v>
      </c>
      <c r="G63" s="10">
        <v>-3386.7700000000004</v>
      </c>
      <c r="H63" s="10"/>
      <c r="I63" s="10">
        <v>54.730000000000004</v>
      </c>
      <c r="K63" s="9">
        <v>9.85</v>
      </c>
      <c r="L63" s="9"/>
      <c r="M63" s="9">
        <v>7671.98</v>
      </c>
      <c r="N63" s="9">
        <v>-56672.87</v>
      </c>
      <c r="O63" s="9"/>
      <c r="P63" s="1">
        <v>-864.9</v>
      </c>
      <c r="U63" s="1">
        <v>-57537.77</v>
      </c>
    </row>
    <row r="64" spans="1:23" x14ac:dyDescent="0.25">
      <c r="A64" t="s">
        <v>211</v>
      </c>
      <c r="B64" s="2">
        <v>14685.58</v>
      </c>
      <c r="C64" s="2"/>
      <c r="D64" s="2">
        <v>-80.33</v>
      </c>
      <c r="E64" s="2"/>
      <c r="F64" s="9">
        <v>34982.54</v>
      </c>
      <c r="G64" s="9">
        <v>-1701.25</v>
      </c>
      <c r="H64" s="9"/>
      <c r="I64" s="9">
        <v>313.98999999999995</v>
      </c>
      <c r="K64" s="2">
        <v>-9.85</v>
      </c>
      <c r="L64" s="2"/>
      <c r="M64" s="2"/>
      <c r="N64" s="2">
        <v>-48848.36</v>
      </c>
      <c r="O64" s="2"/>
      <c r="P64" s="1">
        <v>421.12</v>
      </c>
      <c r="U64" s="1">
        <v>-48427.24</v>
      </c>
    </row>
    <row r="65" spans="1:22" x14ac:dyDescent="0.25">
      <c r="A65" t="s">
        <v>212</v>
      </c>
      <c r="B65" s="4">
        <v>13533.31</v>
      </c>
      <c r="E65" s="4"/>
      <c r="F65" s="2">
        <v>34685</v>
      </c>
      <c r="G65" s="2">
        <v>-558.91999999999996</v>
      </c>
      <c r="H65" s="2"/>
      <c r="I65" s="2">
        <v>126.88000000000001</v>
      </c>
      <c r="K65" s="2"/>
      <c r="L65" s="2"/>
      <c r="M65" s="4">
        <f>-N65-I66-G66-F66-B65</f>
        <v>0</v>
      </c>
      <c r="N65" s="4">
        <v>-37578.92</v>
      </c>
      <c r="O65" s="4"/>
      <c r="P65" s="1">
        <v>-1069.2</v>
      </c>
      <c r="U65" s="1">
        <v>-36509.72</v>
      </c>
    </row>
    <row r="66" spans="1:22" x14ac:dyDescent="0.25">
      <c r="A66" t="s">
        <v>213</v>
      </c>
      <c r="B66" s="6">
        <v>15887.87</v>
      </c>
      <c r="E66" s="6"/>
      <c r="F66" s="4">
        <v>26504.91</v>
      </c>
      <c r="G66" s="4">
        <v>-2618.96</v>
      </c>
      <c r="H66" s="4"/>
      <c r="I66" s="4">
        <v>159.66</v>
      </c>
      <c r="K66" s="4"/>
      <c r="L66" s="4"/>
      <c r="M66" s="6">
        <f>-N66-I67-G67-F67-B66</f>
        <v>0</v>
      </c>
      <c r="N66" s="6">
        <v>-43973.91</v>
      </c>
      <c r="O66" s="6"/>
      <c r="P66" s="1">
        <v>609.65</v>
      </c>
      <c r="U66" s="1">
        <v>-43364.26</v>
      </c>
    </row>
    <row r="67" spans="1:22" x14ac:dyDescent="0.25">
      <c r="A67" t="s">
        <v>214</v>
      </c>
      <c r="B67" s="7">
        <v>16581.13</v>
      </c>
      <c r="C67" s="7"/>
      <c r="D67" s="7">
        <v>-58.980000000000004</v>
      </c>
      <c r="E67" s="7"/>
      <c r="F67" s="6">
        <v>28578.239999999998</v>
      </c>
      <c r="G67" s="6">
        <v>-1546.61</v>
      </c>
      <c r="H67" s="6"/>
      <c r="I67" s="6">
        <v>1054.4100000000001</v>
      </c>
      <c r="K67" s="6"/>
      <c r="L67" s="6"/>
      <c r="M67" s="7"/>
      <c r="O67" s="7"/>
    </row>
    <row r="68" spans="1:22" x14ac:dyDescent="0.25">
      <c r="A68" t="s">
        <v>215</v>
      </c>
      <c r="B68" s="7">
        <v>13150.46</v>
      </c>
      <c r="E68" s="7"/>
      <c r="F68" s="7">
        <v>31995.23</v>
      </c>
      <c r="G68" s="7">
        <v>-463.9</v>
      </c>
      <c r="H68" s="7"/>
      <c r="I68" s="7">
        <v>10.98</v>
      </c>
      <c r="K68" s="7"/>
      <c r="L68" s="7"/>
      <c r="M68" s="7"/>
      <c r="O68" s="7"/>
    </row>
    <row r="69" spans="1:22" x14ac:dyDescent="0.25">
      <c r="A69" t="s">
        <v>216</v>
      </c>
      <c r="B69" s="7">
        <v>10680.14</v>
      </c>
      <c r="E69" s="7"/>
      <c r="F69" s="7"/>
      <c r="M69" s="7">
        <v>22305.73</v>
      </c>
      <c r="N69" s="7">
        <v>-134401.60999999999</v>
      </c>
      <c r="O69" s="7"/>
      <c r="P69" s="1">
        <v>2229.86</v>
      </c>
      <c r="U69" s="1">
        <v>-132171.75</v>
      </c>
      <c r="V69" s="1">
        <f>-N69-M69-I68-D67-G68-G70-F70-F68-B69-B68-B67</f>
        <v>0</v>
      </c>
    </row>
    <row r="70" spans="1:22" x14ac:dyDescent="0.25">
      <c r="A70" t="s">
        <v>217</v>
      </c>
      <c r="B70" s="11">
        <v>13740.470000000001</v>
      </c>
      <c r="D70" s="1">
        <v>0</v>
      </c>
      <c r="E70" s="11"/>
      <c r="F70" s="7">
        <v>40575.879999999997</v>
      </c>
      <c r="G70" s="7">
        <v>-375.06</v>
      </c>
      <c r="M70" s="11">
        <v>0</v>
      </c>
      <c r="N70" s="11">
        <v>-40681.26</v>
      </c>
      <c r="O70" s="11"/>
      <c r="P70" s="1">
        <v>359.14</v>
      </c>
      <c r="U70" s="1">
        <v>-40322.120000000003</v>
      </c>
    </row>
    <row r="71" spans="1:22" x14ac:dyDescent="0.25">
      <c r="A71" t="s">
        <v>218</v>
      </c>
      <c r="B71" s="8">
        <v>14400.58</v>
      </c>
      <c r="E71" s="8"/>
      <c r="F71" s="11">
        <v>31127.57</v>
      </c>
      <c r="G71" s="11">
        <v>-1082.76</v>
      </c>
      <c r="H71" s="11"/>
      <c r="I71" s="11">
        <v>-3104.02</v>
      </c>
      <c r="K71" s="11"/>
      <c r="L71" s="11"/>
      <c r="M71" s="8">
        <f>-N71-I72-G72-F72-B71</f>
        <v>0</v>
      </c>
      <c r="N71" s="8">
        <v>-47596.7</v>
      </c>
      <c r="O71" s="8"/>
      <c r="P71" s="1">
        <v>672.62</v>
      </c>
      <c r="U71" s="1">
        <v>-46924.08</v>
      </c>
    </row>
    <row r="72" spans="1:22" x14ac:dyDescent="0.25">
      <c r="A72" t="s">
        <v>219</v>
      </c>
      <c r="B72" s="10">
        <v>11825.88</v>
      </c>
      <c r="E72" s="10"/>
      <c r="F72" s="8">
        <v>35232.06</v>
      </c>
      <c r="G72" s="8">
        <v>-2827.02</v>
      </c>
      <c r="H72" s="8"/>
      <c r="I72" s="8">
        <v>791.07999999999993</v>
      </c>
      <c r="K72" s="8"/>
      <c r="L72" s="8"/>
      <c r="M72" s="10">
        <f>-N72-I73-G73-F73-B72</f>
        <v>0</v>
      </c>
      <c r="N72" s="10">
        <v>-43638.65</v>
      </c>
      <c r="O72" s="10"/>
      <c r="P72" s="1">
        <v>658.75</v>
      </c>
      <c r="U72" s="1">
        <v>-42979.9</v>
      </c>
    </row>
    <row r="73" spans="1:22" x14ac:dyDescent="0.25">
      <c r="A73" t="s">
        <v>220</v>
      </c>
      <c r="B73" s="9">
        <v>16017.9</v>
      </c>
      <c r="E73" s="9"/>
      <c r="F73" s="10">
        <v>32278.59</v>
      </c>
      <c r="G73" s="10">
        <v>-478.59999999999997</v>
      </c>
      <c r="H73" s="10"/>
      <c r="I73" s="10">
        <v>12.78</v>
      </c>
      <c r="K73" s="9">
        <f>-N73-I74-G74-F74-B73</f>
        <v>28.930000000005748</v>
      </c>
      <c r="L73" s="9"/>
      <c r="M73" s="9"/>
      <c r="N73" s="9">
        <v>-42139.1</v>
      </c>
      <c r="O73" s="9"/>
      <c r="P73" s="1">
        <v>1081.6400000000001</v>
      </c>
      <c r="U73" s="1">
        <v>-41057.46</v>
      </c>
    </row>
    <row r="74" spans="1:22" x14ac:dyDescent="0.25">
      <c r="A74" t="s">
        <v>221</v>
      </c>
      <c r="B74" s="2">
        <v>18371.830000000002</v>
      </c>
      <c r="E74" s="2"/>
      <c r="F74" s="9">
        <v>27441.759999999998</v>
      </c>
      <c r="G74" s="9">
        <v>-703.68999999999994</v>
      </c>
      <c r="H74" s="9"/>
      <c r="I74" s="9">
        <v>-645.79999999999995</v>
      </c>
      <c r="K74" s="9"/>
      <c r="L74" s="9"/>
      <c r="N74" s="2">
        <v>-50108.41</v>
      </c>
    </row>
    <row r="75" spans="1:22" x14ac:dyDescent="0.25">
      <c r="A75" t="s">
        <v>222</v>
      </c>
      <c r="B75" s="2">
        <v>11704.69</v>
      </c>
      <c r="E75" s="2"/>
      <c r="F75" s="2">
        <v>33217.979999999996</v>
      </c>
      <c r="G75" s="2">
        <v>-418.20000000000005</v>
      </c>
      <c r="H75" s="2"/>
      <c r="I75" s="2">
        <v>-1093.52</v>
      </c>
      <c r="K75" s="2"/>
      <c r="L75" s="2"/>
    </row>
    <row r="76" spans="1:22" x14ac:dyDescent="0.25">
      <c r="A76" t="s">
        <v>223</v>
      </c>
      <c r="B76" s="2">
        <v>14173.130000000001</v>
      </c>
      <c r="E76" s="2"/>
      <c r="N76" s="2">
        <v>-73502.23</v>
      </c>
    </row>
    <row r="77" spans="1:22" x14ac:dyDescent="0.25">
      <c r="A77" t="s">
        <v>224</v>
      </c>
      <c r="B77" s="2">
        <v>10459.11</v>
      </c>
      <c r="E77" s="2"/>
      <c r="F77" s="2">
        <v>36998.730000000003</v>
      </c>
      <c r="G77" s="2">
        <v>-448.32</v>
      </c>
      <c r="M77" s="2">
        <v>11103.28</v>
      </c>
      <c r="N77" s="2">
        <v>-56862.64</v>
      </c>
      <c r="O77" s="2"/>
      <c r="P77" s="1">
        <v>2483.92</v>
      </c>
      <c r="U77" s="1">
        <v>-177989.36</v>
      </c>
    </row>
    <row r="78" spans="1:22" x14ac:dyDescent="0.25">
      <c r="A78" t="s">
        <v>225</v>
      </c>
      <c r="B78" s="9">
        <v>17249.59</v>
      </c>
      <c r="E78" s="9">
        <f>-N78-I79-G79-F79-B78</f>
        <v>69.590000000000146</v>
      </c>
      <c r="F78" s="2">
        <v>48119.43</v>
      </c>
      <c r="G78" s="2">
        <v>-1390.1</v>
      </c>
      <c r="H78" s="2"/>
      <c r="I78" s="2">
        <v>-357.85</v>
      </c>
      <c r="N78" s="9">
        <v>-44450.66</v>
      </c>
      <c r="P78" s="1">
        <v>876.9</v>
      </c>
      <c r="U78" s="1">
        <v>-43573.760000000002</v>
      </c>
    </row>
    <row r="79" spans="1:22" x14ac:dyDescent="0.25">
      <c r="A79" t="s">
        <v>226</v>
      </c>
      <c r="B79" s="5">
        <v>14679.17</v>
      </c>
      <c r="E79" s="5"/>
      <c r="F79" s="9">
        <v>28530.699999999997</v>
      </c>
      <c r="G79" s="9">
        <v>-1340.1999999999998</v>
      </c>
      <c r="H79" s="9"/>
      <c r="I79" s="9">
        <v>-59.019999999999996</v>
      </c>
      <c r="K79" s="5">
        <f>-N79-I80-G80-F80-B79</f>
        <v>-100.98999999999978</v>
      </c>
      <c r="L79" s="5"/>
      <c r="N79" s="5">
        <v>-48874.25</v>
      </c>
      <c r="P79" s="1">
        <v>806.67</v>
      </c>
      <c r="U79" s="1">
        <v>-48067.58</v>
      </c>
    </row>
    <row r="80" spans="1:22" x14ac:dyDescent="0.25">
      <c r="A80" t="s">
        <v>227</v>
      </c>
      <c r="B80" s="4">
        <v>16796.329999999998</v>
      </c>
      <c r="E80" s="4">
        <f>-N80-I81-G81-F81-B80</f>
        <v>78.629999999997381</v>
      </c>
      <c r="F80" s="5">
        <v>38089.049999999996</v>
      </c>
      <c r="G80" s="5">
        <v>-3666.38</v>
      </c>
      <c r="H80" s="5"/>
      <c r="I80" s="5">
        <v>-126.60000000000001</v>
      </c>
      <c r="N80" s="4">
        <v>-44645</v>
      </c>
      <c r="P80" s="1">
        <v>865.05</v>
      </c>
      <c r="U80" s="1">
        <v>-43779.95</v>
      </c>
    </row>
    <row r="81" spans="1:22" x14ac:dyDescent="0.25">
      <c r="A81" t="s">
        <v>228</v>
      </c>
      <c r="B81" s="6">
        <v>17739.810000000001</v>
      </c>
      <c r="E81" s="6"/>
      <c r="F81" s="4">
        <v>32586.720000000005</v>
      </c>
      <c r="G81" s="4">
        <v>-606.4</v>
      </c>
      <c r="H81" s="4"/>
      <c r="I81" s="4">
        <v>-4210.28</v>
      </c>
      <c r="K81" s="4"/>
      <c r="L81" s="4"/>
    </row>
    <row r="82" spans="1:22" x14ac:dyDescent="0.25">
      <c r="A82" t="s">
        <v>229</v>
      </c>
      <c r="B82" s="6">
        <v>13160.59</v>
      </c>
      <c r="E82" s="6"/>
      <c r="F82" s="6">
        <v>33908.67</v>
      </c>
      <c r="G82" s="6">
        <v>-1407.57</v>
      </c>
      <c r="H82" s="6"/>
      <c r="I82" s="6">
        <v>-826.4799999999999</v>
      </c>
      <c r="K82" s="6"/>
      <c r="L82" s="6"/>
    </row>
    <row r="83" spans="1:22" x14ac:dyDescent="0.25">
      <c r="A83" t="s">
        <v>230</v>
      </c>
      <c r="B83" s="6">
        <v>13569.43</v>
      </c>
      <c r="E83" s="6"/>
      <c r="M83" s="6">
        <v>11223.32</v>
      </c>
      <c r="N83" s="6">
        <v>-123612.68</v>
      </c>
      <c r="O83" s="6"/>
      <c r="P83" s="1">
        <v>1278.33</v>
      </c>
      <c r="U83" s="1">
        <v>-122334.35</v>
      </c>
    </row>
    <row r="84" spans="1:22" x14ac:dyDescent="0.25">
      <c r="A84" t="s">
        <v>231</v>
      </c>
      <c r="B84" s="7">
        <v>15516.17</v>
      </c>
      <c r="C84" s="7"/>
      <c r="D84" s="7">
        <v>-130.01000000000002</v>
      </c>
      <c r="E84" s="7"/>
      <c r="F84" s="6">
        <v>37625.06</v>
      </c>
      <c r="G84" s="6">
        <v>-734.28</v>
      </c>
      <c r="H84" s="6"/>
      <c r="I84" s="6">
        <v>-437.05</v>
      </c>
      <c r="K84" s="7">
        <v>-394.1</v>
      </c>
      <c r="L84" s="7"/>
      <c r="N84" s="7">
        <v>-51386.95</v>
      </c>
      <c r="P84" s="1">
        <v>408.61</v>
      </c>
      <c r="U84" s="1">
        <v>-50978.34</v>
      </c>
    </row>
    <row r="85" spans="1:22" x14ac:dyDescent="0.25">
      <c r="A85" t="s">
        <v>232</v>
      </c>
      <c r="B85" s="8">
        <v>16346.880000000001</v>
      </c>
      <c r="E85" s="8"/>
      <c r="F85" s="7">
        <v>33307.83</v>
      </c>
      <c r="G85" s="7">
        <v>-444.15</v>
      </c>
      <c r="H85" s="7"/>
      <c r="I85" s="7">
        <v>3531.21</v>
      </c>
      <c r="K85" s="7"/>
      <c r="L85" s="7"/>
      <c r="N85" s="8">
        <v>-41004.839999999997</v>
      </c>
      <c r="P85" s="1">
        <v>937</v>
      </c>
      <c r="U85" s="1">
        <v>-40067.839999999997</v>
      </c>
    </row>
    <row r="86" spans="1:22" x14ac:dyDescent="0.25">
      <c r="A86" t="s">
        <v>233</v>
      </c>
      <c r="B86" s="10">
        <v>12654.19</v>
      </c>
      <c r="E86" s="10"/>
      <c r="F86" s="8">
        <v>25948.440000000002</v>
      </c>
      <c r="G86" s="8">
        <v>-1181.8699999999999</v>
      </c>
      <c r="H86" s="8"/>
      <c r="I86" s="8">
        <v>-108.61</v>
      </c>
      <c r="K86" s="8"/>
      <c r="L86" s="8"/>
      <c r="N86" s="10">
        <v>-38292.43</v>
      </c>
      <c r="P86" s="1">
        <v>520.45000000000005</v>
      </c>
      <c r="U86" s="1">
        <v>-37771.980000000003</v>
      </c>
    </row>
    <row r="87" spans="1:22" x14ac:dyDescent="0.25">
      <c r="A87" t="s">
        <v>234</v>
      </c>
      <c r="B87" s="9">
        <v>17330.82</v>
      </c>
      <c r="C87" s="9"/>
      <c r="D87" s="9">
        <v>-13.180000000000001</v>
      </c>
      <c r="E87" s="9"/>
      <c r="F87" s="10">
        <v>27573.149999999998</v>
      </c>
      <c r="G87" s="10">
        <v>-669.69999999999993</v>
      </c>
      <c r="H87" s="10"/>
      <c r="I87" s="10">
        <v>-1265.21</v>
      </c>
      <c r="K87" s="10"/>
      <c r="L87" s="10"/>
      <c r="M87" s="9"/>
      <c r="N87" s="9">
        <v>-52030.86</v>
      </c>
      <c r="O87" s="9"/>
      <c r="P87" s="1">
        <v>469.79</v>
      </c>
      <c r="U87" s="1">
        <v>-51561.07</v>
      </c>
      <c r="V87" s="1">
        <f>-N87-I88-D87-G88-F88-B87</f>
        <v>2071.6099999999933</v>
      </c>
    </row>
    <row r="88" spans="1:22" x14ac:dyDescent="0.25">
      <c r="A88" t="s">
        <v>235</v>
      </c>
      <c r="B88" s="2">
        <v>15160.97</v>
      </c>
      <c r="C88" s="2"/>
      <c r="D88" s="2"/>
      <c r="E88" s="2"/>
      <c r="F88" s="9">
        <v>34457.450000000004</v>
      </c>
      <c r="G88" s="9">
        <v>-1285.25</v>
      </c>
      <c r="H88" s="9"/>
      <c r="I88" s="9">
        <v>-530.59</v>
      </c>
      <c r="K88" s="9"/>
      <c r="L88" s="9"/>
    </row>
    <row r="89" spans="1:22" x14ac:dyDescent="0.25">
      <c r="A89" t="s">
        <v>236</v>
      </c>
      <c r="B89" s="2">
        <v>13241.51</v>
      </c>
      <c r="E89" s="2"/>
      <c r="F89" s="2">
        <v>34952.43</v>
      </c>
      <c r="G89" s="2">
        <v>-1674.95</v>
      </c>
      <c r="H89" s="2"/>
      <c r="I89" s="2">
        <v>44.410000000000004</v>
      </c>
      <c r="K89" s="2"/>
      <c r="L89" s="2"/>
    </row>
    <row r="90" spans="1:22" x14ac:dyDescent="0.25">
      <c r="A90" t="s">
        <v>237</v>
      </c>
      <c r="B90" s="2">
        <v>12606.32</v>
      </c>
      <c r="E90" s="2"/>
      <c r="M90" s="2">
        <v>35372.800000000003</v>
      </c>
      <c r="N90" s="2">
        <v>-156547.31</v>
      </c>
      <c r="O90" s="2"/>
      <c r="P90" s="1">
        <v>2216.48</v>
      </c>
      <c r="U90" s="1">
        <v>-154330.82999999999</v>
      </c>
      <c r="V90" s="1">
        <f>-N90-M90-I89-D88-G89-G91-F91-F89-B90-B89-B88-I91</f>
        <v>-1.5276668818842154E-11</v>
      </c>
    </row>
    <row r="91" spans="1:22" x14ac:dyDescent="0.25">
      <c r="A91" t="s">
        <v>238</v>
      </c>
      <c r="B91" s="5">
        <v>13107.11</v>
      </c>
      <c r="E91" s="5"/>
      <c r="F91" s="2">
        <v>47583.360000000001</v>
      </c>
      <c r="G91" s="2">
        <v>-807.84</v>
      </c>
      <c r="H91" s="2"/>
      <c r="I91" s="2">
        <v>68.3</v>
      </c>
      <c r="K91" s="2"/>
      <c r="L91" s="2"/>
      <c r="N91" s="5">
        <v>-48198.73</v>
      </c>
      <c r="P91" s="1">
        <v>900.95</v>
      </c>
      <c r="U91" s="1">
        <v>-47297.78</v>
      </c>
      <c r="V91" s="1">
        <f>-N91-I92-D91-G92-F92-B91</f>
        <v>0</v>
      </c>
    </row>
    <row r="92" spans="1:22" x14ac:dyDescent="0.25">
      <c r="A92" t="s">
        <v>239</v>
      </c>
      <c r="B92" s="4">
        <v>14961.630000000001</v>
      </c>
      <c r="C92" s="4"/>
      <c r="D92" s="4">
        <v>-278.5</v>
      </c>
      <c r="E92" s="4"/>
      <c r="F92" s="5">
        <v>34821.51</v>
      </c>
      <c r="G92" s="5">
        <v>-794.32</v>
      </c>
      <c r="H92" s="5"/>
      <c r="I92" s="5">
        <v>1064.43</v>
      </c>
      <c r="K92" s="5"/>
      <c r="L92" s="5"/>
      <c r="N92" s="4">
        <v>-43391.05</v>
      </c>
      <c r="P92" s="1">
        <v>839.87</v>
      </c>
      <c r="U92" s="1">
        <v>-42551.18</v>
      </c>
      <c r="V92" s="1">
        <f>-N92-I93-D92-G93-F93-B92</f>
        <v>0</v>
      </c>
    </row>
    <row r="93" spans="1:22" x14ac:dyDescent="0.25">
      <c r="A93" t="s">
        <v>240</v>
      </c>
      <c r="B93" s="6">
        <v>11936.83</v>
      </c>
      <c r="C93" s="6"/>
      <c r="D93" s="6">
        <v>397.09000000000003</v>
      </c>
      <c r="E93" s="6"/>
      <c r="F93" s="4">
        <v>28766.19</v>
      </c>
      <c r="G93" s="4">
        <v>-616.05000000000007</v>
      </c>
      <c r="H93" s="4"/>
      <c r="I93" s="4">
        <v>557.78</v>
      </c>
      <c r="K93" s="4"/>
      <c r="L93" s="4"/>
      <c r="M93" s="6">
        <f>10.93+15000</f>
        <v>15010.93</v>
      </c>
      <c r="N93" s="6">
        <v>-63848.19</v>
      </c>
      <c r="O93" s="6"/>
      <c r="P93" s="1">
        <v>505.68</v>
      </c>
      <c r="U93" s="1">
        <v>-63342.51</v>
      </c>
      <c r="V93" s="1">
        <f>-N93-I94-D93-G94-F94-B93-M93</f>
        <v>0</v>
      </c>
    </row>
    <row r="94" spans="1:22" x14ac:dyDescent="0.25">
      <c r="A94" t="s">
        <v>241</v>
      </c>
      <c r="B94" s="8">
        <v>19704.84</v>
      </c>
      <c r="E94" s="8"/>
      <c r="F94" s="6">
        <v>38940.310000000005</v>
      </c>
      <c r="G94" s="6">
        <v>-1840.24</v>
      </c>
      <c r="H94" s="6"/>
      <c r="I94" s="6">
        <v>-596.7299999999999</v>
      </c>
      <c r="K94" s="6"/>
      <c r="L94" s="6"/>
      <c r="M94" s="8">
        <v>7317.2800000000025</v>
      </c>
      <c r="N94" s="8">
        <v>-56647.73</v>
      </c>
      <c r="O94" s="8"/>
      <c r="P94" s="1">
        <v>-1167.0999999999999</v>
      </c>
      <c r="U94" s="1">
        <v>-57814.83</v>
      </c>
    </row>
    <row r="95" spans="1:22" x14ac:dyDescent="0.25">
      <c r="A95" t="s">
        <v>242</v>
      </c>
      <c r="B95" s="10">
        <v>17050.330000000002</v>
      </c>
      <c r="C95" s="10"/>
      <c r="D95" s="10">
        <v>-184.73</v>
      </c>
      <c r="E95" s="10"/>
      <c r="F95" s="8">
        <v>30649.040000000001</v>
      </c>
      <c r="G95" s="8">
        <v>-1217.4199999999998</v>
      </c>
      <c r="H95" s="8"/>
      <c r="I95" s="8">
        <v>193.99</v>
      </c>
      <c r="K95" s="10">
        <v>-10.93</v>
      </c>
      <c r="L95" s="10"/>
      <c r="M95" s="10"/>
      <c r="O95" s="10"/>
    </row>
    <row r="96" spans="1:22" x14ac:dyDescent="0.25">
      <c r="A96" t="s">
        <v>243</v>
      </c>
      <c r="B96" s="10">
        <v>20099.68</v>
      </c>
      <c r="C96" s="10"/>
      <c r="D96" s="10">
        <v>-34.880000000000003</v>
      </c>
      <c r="E96" s="10"/>
      <c r="F96" s="10">
        <v>41279.14</v>
      </c>
      <c r="G96" s="10">
        <v>-1111.8900000000001</v>
      </c>
      <c r="H96" s="10"/>
      <c r="I96" s="10">
        <v>-359.5</v>
      </c>
      <c r="K96" s="10"/>
      <c r="L96" s="10"/>
      <c r="M96" s="19">
        <v>45149.99</v>
      </c>
      <c r="O96" s="19"/>
    </row>
    <row r="97" spans="1:23" x14ac:dyDescent="0.25">
      <c r="A97" t="s">
        <v>244</v>
      </c>
      <c r="B97" s="10">
        <v>13921.210000000001</v>
      </c>
      <c r="E97" s="10"/>
      <c r="K97" s="10">
        <v>92.21</v>
      </c>
      <c r="L97" s="10"/>
      <c r="M97" s="10"/>
      <c r="N97" s="10">
        <v>-180911.02</v>
      </c>
      <c r="O97" s="10"/>
      <c r="P97" s="1">
        <v>172.32</v>
      </c>
      <c r="U97" s="1">
        <v>-180738.7</v>
      </c>
      <c r="V97" s="1">
        <f>-N97-M97-I96-D95-G96-G98-F98-F96-B97-B96-B95-I98-M95-M96-D96-E95-E96-E97</f>
        <v>81.280000000016003</v>
      </c>
    </row>
    <row r="98" spans="1:23" x14ac:dyDescent="0.25">
      <c r="A98" t="s">
        <v>245</v>
      </c>
      <c r="B98" s="9">
        <v>15429.58</v>
      </c>
      <c r="E98" s="9"/>
      <c r="F98" s="10">
        <v>45803.99</v>
      </c>
      <c r="G98" s="10">
        <v>-759.59</v>
      </c>
      <c r="H98" s="10"/>
      <c r="I98" s="10">
        <v>-24.01</v>
      </c>
      <c r="K98" s="10"/>
      <c r="L98" s="10"/>
      <c r="M98" s="9">
        <v>-50000</v>
      </c>
      <c r="N98" s="9">
        <v>3662.29</v>
      </c>
      <c r="O98" s="9"/>
      <c r="P98" s="1">
        <v>1145.1199999999999</v>
      </c>
      <c r="U98" s="1">
        <v>4807.41</v>
      </c>
      <c r="V98" s="1">
        <f>-N98-I99-D98-G99-F99-B98-M98-M99</f>
        <v>-92.210000000006403</v>
      </c>
    </row>
    <row r="99" spans="1:23" x14ac:dyDescent="0.25">
      <c r="A99" t="s">
        <v>246</v>
      </c>
      <c r="B99" s="2">
        <v>24001.079999999998</v>
      </c>
      <c r="E99" s="2"/>
      <c r="F99" s="9">
        <v>32068.45</v>
      </c>
      <c r="G99" s="9">
        <v>-1692.99</v>
      </c>
      <c r="H99" s="9"/>
      <c r="I99" s="9">
        <v>624.88</v>
      </c>
      <c r="K99" s="9">
        <v>-92.21</v>
      </c>
      <c r="L99" s="9"/>
      <c r="M99" s="9"/>
      <c r="N99" s="2">
        <v>-57196.4</v>
      </c>
      <c r="O99" s="9"/>
      <c r="P99" s="1">
        <v>1064.55</v>
      </c>
      <c r="U99" s="1">
        <v>-56131.85</v>
      </c>
      <c r="V99" s="1">
        <f>-N99-I100-D99-G100-F100-B99-M99-M100-E99</f>
        <v>-3.637978807091713E-12</v>
      </c>
    </row>
    <row r="100" spans="1:23" x14ac:dyDescent="0.25">
      <c r="A100" t="s">
        <v>247</v>
      </c>
      <c r="B100" s="5">
        <v>17511.489999999998</v>
      </c>
      <c r="F100" s="2">
        <v>35739.08</v>
      </c>
      <c r="G100" s="2">
        <v>-2604.77</v>
      </c>
      <c r="H100" s="2"/>
      <c r="I100" s="2">
        <v>61.01</v>
      </c>
      <c r="K100" s="2"/>
      <c r="L100" s="2"/>
      <c r="N100" s="5">
        <v>-49725.47</v>
      </c>
      <c r="P100" s="1">
        <v>394.37</v>
      </c>
      <c r="U100" s="1">
        <v>-49331.1</v>
      </c>
      <c r="V100" s="1">
        <f>-N100-I101-D100-G101-F101-B100-M100-M101</f>
        <v>3.637978807091713E-12</v>
      </c>
    </row>
    <row r="101" spans="1:23" x14ac:dyDescent="0.25">
      <c r="A101" t="s">
        <v>248</v>
      </c>
      <c r="B101" s="4">
        <v>20028.62</v>
      </c>
      <c r="E101" s="4">
        <v>87.27</v>
      </c>
      <c r="F101" s="5">
        <v>32738.74</v>
      </c>
      <c r="G101" s="5">
        <v>-2381.5100000000002</v>
      </c>
      <c r="H101" s="5"/>
      <c r="I101" s="5">
        <v>1856.75</v>
      </c>
      <c r="K101" s="5"/>
      <c r="L101" s="5"/>
      <c r="N101" s="4">
        <v>-51527.67</v>
      </c>
      <c r="P101" s="1">
        <v>1077.7</v>
      </c>
      <c r="U101" s="1">
        <v>-50449.97</v>
      </c>
      <c r="V101" s="1">
        <f>-N101-I102-D101-G102-F102-B101-M101-M102-E101</f>
        <v>4.4053649617126212E-13</v>
      </c>
    </row>
    <row r="102" spans="1:23" x14ac:dyDescent="0.25">
      <c r="A102" t="s">
        <v>249</v>
      </c>
      <c r="B102" s="6">
        <v>17655.09</v>
      </c>
      <c r="F102" s="4">
        <v>36586.11</v>
      </c>
      <c r="G102" s="4">
        <v>-4593.54</v>
      </c>
      <c r="H102" s="4"/>
      <c r="I102" s="4">
        <v>-580.79000000000008</v>
      </c>
      <c r="K102" s="4"/>
      <c r="L102" s="4"/>
    </row>
    <row r="103" spans="1:23" x14ac:dyDescent="0.25">
      <c r="A103" t="s">
        <v>250</v>
      </c>
      <c r="B103" s="6">
        <v>19549.120000000003</v>
      </c>
      <c r="F103" s="6">
        <v>37990.51</v>
      </c>
      <c r="G103" s="6">
        <v>-1224.8899999999999</v>
      </c>
      <c r="H103" s="6"/>
      <c r="I103" s="6">
        <v>2147.6600000000003</v>
      </c>
      <c r="K103" s="6"/>
      <c r="L103" s="6"/>
      <c r="M103" s="24">
        <v>11601.56</v>
      </c>
      <c r="O103" s="24"/>
    </row>
    <row r="104" spans="1:23" x14ac:dyDescent="0.25">
      <c r="A104" t="s">
        <v>251</v>
      </c>
      <c r="B104" s="6">
        <v>14892.380000000001</v>
      </c>
      <c r="E104" s="6">
        <v>18.05</v>
      </c>
    </row>
    <row r="105" spans="1:23" x14ac:dyDescent="0.25">
      <c r="A105" t="s">
        <v>252</v>
      </c>
      <c r="B105" s="6">
        <v>13221.51</v>
      </c>
      <c r="E105" s="6">
        <v>78.94</v>
      </c>
      <c r="F105" s="6">
        <v>56680.71</v>
      </c>
      <c r="G105" s="6">
        <v>-2324.54</v>
      </c>
      <c r="N105" s="6">
        <v>-208686.13</v>
      </c>
      <c r="P105" s="1">
        <v>3533.6</v>
      </c>
      <c r="U105" s="1">
        <v>-205152.53</v>
      </c>
      <c r="V105" s="1">
        <f>-N105-M105-I104-D103-G104-G106-F106-F104-B105-B104-B103-I106-M103-M104-D104-E103-E104-E105-B102-F103-G103-I103-F105-G105</f>
        <v>-8.1854523159563541E-12</v>
      </c>
    </row>
    <row r="106" spans="1:23" x14ac:dyDescent="0.25">
      <c r="A106" t="s">
        <v>253</v>
      </c>
      <c r="B106" s="7">
        <v>21559.7</v>
      </c>
      <c r="E106" s="7">
        <v>23.72</v>
      </c>
      <c r="F106" s="6">
        <v>40844.019999999997</v>
      </c>
      <c r="G106" s="6">
        <v>-2443.9900000000002</v>
      </c>
      <c r="N106" s="7">
        <v>-60282.97</v>
      </c>
      <c r="P106" s="1">
        <v>752.98</v>
      </c>
      <c r="U106" s="1">
        <v>-59529.99</v>
      </c>
      <c r="V106" s="1">
        <f>-N106-I107-D106-G107-F107-B106-M106-M107-E106</f>
        <v>-2.4726887204451486E-12</v>
      </c>
    </row>
    <row r="107" spans="1:23" x14ac:dyDescent="0.25">
      <c r="A107" t="s">
        <v>254</v>
      </c>
      <c r="B107" s="8">
        <v>18366.280000000002</v>
      </c>
      <c r="E107" s="8">
        <v>50</v>
      </c>
      <c r="F107" s="7">
        <v>39632.36</v>
      </c>
      <c r="G107" s="7">
        <v>-830.79</v>
      </c>
      <c r="H107" s="7"/>
      <c r="I107" s="7">
        <v>-102.02</v>
      </c>
      <c r="K107" s="7"/>
      <c r="L107" s="7"/>
      <c r="N107" s="8">
        <v>-50177.31</v>
      </c>
      <c r="P107" s="1">
        <v>2058.85</v>
      </c>
      <c r="U107" s="1">
        <v>-48118.46</v>
      </c>
      <c r="V107" s="1">
        <f>-N107-I108-D107-G108-F108-B107-M107-M108-E107</f>
        <v>-1.0913936421275139E-11</v>
      </c>
    </row>
    <row r="108" spans="1:23" x14ac:dyDescent="0.25">
      <c r="A108" t="s">
        <v>255</v>
      </c>
      <c r="B108" s="10">
        <v>20607.54</v>
      </c>
      <c r="F108" s="8">
        <v>36461.590000000004</v>
      </c>
      <c r="G108" s="8">
        <v>-4282.8499999999995</v>
      </c>
      <c r="H108" s="8"/>
      <c r="I108" s="8">
        <v>-417.71</v>
      </c>
      <c r="N108" s="10">
        <v>-62884.28</v>
      </c>
      <c r="P108" s="1">
        <v>1564.13</v>
      </c>
      <c r="U108" s="1">
        <v>-61320.15</v>
      </c>
      <c r="V108" s="1">
        <f>-N108-I109-D108-G109-F109-B108-M108-M109-E108</f>
        <v>0</v>
      </c>
    </row>
    <row r="109" spans="1:23" x14ac:dyDescent="0.25">
      <c r="A109" t="s">
        <v>256</v>
      </c>
      <c r="B109" s="9">
        <v>25353.539999999997</v>
      </c>
      <c r="F109" s="10">
        <v>42416.76</v>
      </c>
      <c r="G109" s="10">
        <v>-835.91000000000008</v>
      </c>
      <c r="H109" s="10"/>
      <c r="I109" s="10">
        <v>695.89</v>
      </c>
    </row>
    <row r="110" spans="1:23" x14ac:dyDescent="0.25">
      <c r="A110" t="s">
        <v>257</v>
      </c>
      <c r="B110" s="9">
        <v>17323.23</v>
      </c>
      <c r="C110" s="9"/>
      <c r="D110" s="9">
        <v>130.01000000000002</v>
      </c>
      <c r="E110" s="9">
        <v>44.85</v>
      </c>
      <c r="F110" s="9">
        <v>34930.560000000005</v>
      </c>
      <c r="G110" s="9">
        <v>-1484.41</v>
      </c>
      <c r="H110" s="9"/>
      <c r="I110" s="9">
        <v>-2177.46</v>
      </c>
      <c r="M110" s="9">
        <v>17311.73</v>
      </c>
      <c r="O110" s="9"/>
    </row>
    <row r="111" spans="1:23" x14ac:dyDescent="0.25">
      <c r="A111" t="s">
        <v>258</v>
      </c>
      <c r="B111" s="9">
        <v>14408.93</v>
      </c>
      <c r="E111" s="9">
        <v>40.299999999999997</v>
      </c>
      <c r="N111" s="9">
        <v>-154325.62</v>
      </c>
      <c r="P111" s="1">
        <v>3466.83</v>
      </c>
      <c r="U111" s="1">
        <v>-150858.79</v>
      </c>
      <c r="V111" s="1">
        <f>-N111-M111-I110-D109-G110-G112-F112-F110-B111-B110-B109-I112-M109-M110-D110-E109-E110-E111</f>
        <v>-3.290523409305024E-11</v>
      </c>
    </row>
    <row r="112" spans="1:23" x14ac:dyDescent="0.25">
      <c r="A112" t="s">
        <v>259</v>
      </c>
      <c r="B112" s="2">
        <v>16201.470000000001</v>
      </c>
      <c r="E112" s="2">
        <v>29.62</v>
      </c>
      <c r="F112" s="9">
        <v>49039.360000000001</v>
      </c>
      <c r="G112" s="9">
        <v>-469.27</v>
      </c>
      <c r="H112" s="9"/>
      <c r="I112" s="9">
        <v>-125.75</v>
      </c>
      <c r="N112" s="2">
        <v>48583.040000000001</v>
      </c>
      <c r="P112" s="2">
        <v>-968.07</v>
      </c>
      <c r="Q112" s="2">
        <v>-82.05</v>
      </c>
      <c r="U112" s="2">
        <v>47532.92</v>
      </c>
      <c r="V112" s="1">
        <f>U112-P112-N112-Q112-R112+N112-I113-G113-F113-D112-E112-B112-K113-M112</f>
        <v>-1.000000000005457</v>
      </c>
      <c r="W112" s="17" t="s">
        <v>1463</v>
      </c>
    </row>
    <row r="113" spans="1:22" x14ac:dyDescent="0.25">
      <c r="A113" t="s">
        <v>260</v>
      </c>
      <c r="B113" s="5">
        <v>19524</v>
      </c>
      <c r="C113" s="5"/>
      <c r="D113" s="5">
        <v>34.869999999999997</v>
      </c>
      <c r="E113" s="5">
        <v>211.14</v>
      </c>
      <c r="F113" s="2">
        <v>34766.51</v>
      </c>
      <c r="G113" s="2">
        <v>-953.6</v>
      </c>
      <c r="H113" s="2"/>
      <c r="I113" s="2">
        <v>-1459.9600000000003</v>
      </c>
      <c r="N113" s="5">
        <v>52507.57</v>
      </c>
      <c r="P113" s="5">
        <v>-720.68</v>
      </c>
      <c r="Q113" s="5">
        <v>-1083.42</v>
      </c>
      <c r="U113" s="5">
        <v>50703.47</v>
      </c>
      <c r="V113" s="1">
        <f>U113-P113-N113-Q113-R113+N113-I114-G114-F114-D113-E113-B113-K114-M113</f>
        <v>3.637978807091713E-12</v>
      </c>
    </row>
    <row r="114" spans="1:22" x14ac:dyDescent="0.25">
      <c r="A114" t="s">
        <v>261</v>
      </c>
      <c r="B114" s="4">
        <v>14224.89</v>
      </c>
      <c r="C114" s="4"/>
      <c r="D114" s="4"/>
      <c r="E114" s="4">
        <v>257.47999999999996</v>
      </c>
      <c r="F114" s="5">
        <v>34373.65</v>
      </c>
      <c r="G114" s="5">
        <v>-1820.22</v>
      </c>
      <c r="H114" s="5"/>
      <c r="I114" s="5">
        <v>184.13</v>
      </c>
      <c r="N114" s="4">
        <v>32144.48</v>
      </c>
      <c r="P114" s="4">
        <v>-450.18</v>
      </c>
      <c r="Q114" s="4">
        <v>914.92</v>
      </c>
      <c r="U114" s="4">
        <v>32609.22</v>
      </c>
      <c r="V114" s="1">
        <f>U114-P114-N114-Q114-R114+N114-I115-G115-F115-D114-E114-B114-K115-M114</f>
        <v>3.637978807091713E-12</v>
      </c>
    </row>
    <row r="115" spans="1:22" x14ac:dyDescent="0.25">
      <c r="A115" t="s">
        <v>262</v>
      </c>
      <c r="B115" s="6">
        <v>18465.02</v>
      </c>
      <c r="C115" s="6"/>
      <c r="D115" s="6">
        <v>-169.9</v>
      </c>
      <c r="E115" s="6">
        <v>330.01</v>
      </c>
      <c r="F115" s="4">
        <v>20752.260000000002</v>
      </c>
      <c r="G115" s="4">
        <v>-3012.38</v>
      </c>
      <c r="H115" s="4"/>
      <c r="I115" s="4">
        <v>-77.77000000000001</v>
      </c>
      <c r="N115" s="6">
        <v>57272.72</v>
      </c>
      <c r="P115" s="6">
        <v>-1812.31</v>
      </c>
      <c r="U115" s="6">
        <v>55460.41</v>
      </c>
      <c r="V115" s="1">
        <f>U115-P115-N115-Q115-R115+N115-I116-G116-F116-D115-E115-B115-K116-M115</f>
        <v>7.2759576141834259E-12</v>
      </c>
    </row>
    <row r="116" spans="1:22" x14ac:dyDescent="0.25">
      <c r="A116" t="s">
        <v>263</v>
      </c>
      <c r="B116" s="7">
        <v>17945.580000000002</v>
      </c>
      <c r="E116" s="7">
        <v>99.4</v>
      </c>
      <c r="F116" s="6">
        <v>38958.26</v>
      </c>
      <c r="G116" s="6">
        <v>-392.44</v>
      </c>
      <c r="H116" s="6"/>
      <c r="I116" s="6">
        <v>81.77</v>
      </c>
      <c r="M116" s="27">
        <v>283.04000000000002</v>
      </c>
      <c r="O116" s="27"/>
      <c r="P116" s="7">
        <v>-1094.05</v>
      </c>
    </row>
    <row r="117" spans="1:22" x14ac:dyDescent="0.25">
      <c r="A117" t="s">
        <v>264</v>
      </c>
      <c r="B117" s="7">
        <v>16408.150000000001</v>
      </c>
      <c r="E117" s="7">
        <v>33.229999999999997</v>
      </c>
      <c r="F117" s="7">
        <v>36989.800000000003</v>
      </c>
      <c r="G117" s="7">
        <v>-425.71000000000004</v>
      </c>
      <c r="H117" s="7"/>
      <c r="I117" s="7">
        <v>-3179.4700000000003</v>
      </c>
      <c r="K117" s="7">
        <v>102.02</v>
      </c>
      <c r="L117" s="7"/>
      <c r="M117" s="23">
        <v>33711.360000000001</v>
      </c>
      <c r="O117" s="23"/>
      <c r="P117" s="7">
        <v>-810.74</v>
      </c>
      <c r="R117" s="7">
        <v>710.31</v>
      </c>
      <c r="S117" s="7"/>
      <c r="T117" s="7"/>
    </row>
    <row r="118" spans="1:22" x14ac:dyDescent="0.25">
      <c r="A118" t="s">
        <v>265</v>
      </c>
      <c r="B118" s="7">
        <v>19521.740000000002</v>
      </c>
      <c r="C118" s="7"/>
      <c r="D118" s="7">
        <v>-81.510000000000005</v>
      </c>
      <c r="E118" s="7">
        <v>0.81</v>
      </c>
      <c r="N118" s="7">
        <v>167127.85999999999</v>
      </c>
      <c r="P118" s="7">
        <v>-443.14</v>
      </c>
      <c r="R118" s="7">
        <v>1786.92</v>
      </c>
      <c r="S118" s="7"/>
      <c r="T118" s="7"/>
      <c r="U118" s="7">
        <v>167277.16</v>
      </c>
      <c r="V118" s="1">
        <f>U118-P118-N118-Q118-R118+N118-I119-G119-F119-D118-E118-B118-K119-M117-R117-R116-Q117-Q116-P116-P117-K118-K117-I117-G117-F117-E117-E116-B117-B116-M116</f>
        <v>8.5265128291212022E-13</v>
      </c>
    </row>
    <row r="119" spans="1:22" x14ac:dyDescent="0.25">
      <c r="A119" t="s">
        <v>266</v>
      </c>
      <c r="B119" s="8">
        <v>20351.099999999999</v>
      </c>
      <c r="E119" s="8">
        <v>303.83</v>
      </c>
      <c r="F119" s="7">
        <v>46544.979999999996</v>
      </c>
      <c r="G119" s="7">
        <v>-825.56000000000006</v>
      </c>
      <c r="N119" s="8">
        <v>54511.57</v>
      </c>
      <c r="P119" s="8">
        <v>-700.66</v>
      </c>
      <c r="U119" s="8">
        <v>53810.91</v>
      </c>
      <c r="V119" s="1">
        <f>U119-P119-N119-Q119-R119+N119-I120-G120-F120-D119-E119-B119-K120-M119</f>
        <v>1.0473399925103877E-11</v>
      </c>
    </row>
    <row r="120" spans="1:22" x14ac:dyDescent="0.25">
      <c r="A120" t="s">
        <v>267</v>
      </c>
      <c r="B120" s="10">
        <v>18639.649999999998</v>
      </c>
      <c r="E120" s="10">
        <v>106.77</v>
      </c>
      <c r="F120" s="8">
        <v>34605.480000000003</v>
      </c>
      <c r="G120" s="8">
        <v>-831.16</v>
      </c>
      <c r="H120" s="8"/>
      <c r="I120" s="8">
        <v>184.34</v>
      </c>
      <c r="K120" s="8">
        <v>-102.02</v>
      </c>
      <c r="L120" s="8"/>
      <c r="N120" s="10">
        <v>55715.12</v>
      </c>
      <c r="P120" s="10">
        <v>-908.88</v>
      </c>
      <c r="Q120" s="10">
        <v>-12.43</v>
      </c>
      <c r="U120" s="10">
        <v>54793.81</v>
      </c>
      <c r="V120" s="1">
        <f>U120-P120-N120-Q120-R120+N120-I121-G121-F121-D120-E120-B120-K121-M120</f>
        <v>-7.2759576141834259E-12</v>
      </c>
    </row>
    <row r="121" spans="1:22" x14ac:dyDescent="0.25">
      <c r="A121" t="s">
        <v>268</v>
      </c>
      <c r="B121" s="9">
        <v>23808.799999999999</v>
      </c>
      <c r="E121" s="9">
        <v>70.849999999999994</v>
      </c>
      <c r="F121" s="10">
        <v>37711.79</v>
      </c>
      <c r="G121" s="10">
        <v>-1111.02</v>
      </c>
      <c r="H121" s="10"/>
      <c r="I121" s="10">
        <v>367.93</v>
      </c>
      <c r="P121" s="9">
        <v>-722.01</v>
      </c>
    </row>
    <row r="122" spans="1:22" x14ac:dyDescent="0.25">
      <c r="A122" t="s">
        <v>269</v>
      </c>
      <c r="B122" s="9">
        <v>20041.330000000002</v>
      </c>
      <c r="E122" s="9">
        <v>157.32</v>
      </c>
      <c r="F122" s="9">
        <v>40035.9</v>
      </c>
      <c r="G122" s="9">
        <v>-1219.92</v>
      </c>
      <c r="H122" s="9"/>
      <c r="I122" s="9">
        <v>2919.94</v>
      </c>
      <c r="N122" s="9">
        <v>109592.1</v>
      </c>
      <c r="P122" s="9">
        <v>-440.1</v>
      </c>
      <c r="U122" s="9">
        <v>108429.99</v>
      </c>
      <c r="V122" s="1">
        <f>U122-P122-N122-Q122-R122+N122-I123-G123-F123-D122-E122-B122-K123-M122-P121-I122-G122-F122-E121-B121</f>
        <v>0</v>
      </c>
    </row>
    <row r="123" spans="1:22" x14ac:dyDescent="0.25">
      <c r="A123" t="s">
        <v>270</v>
      </c>
      <c r="B123" s="2">
        <v>19739.61</v>
      </c>
      <c r="F123" s="9">
        <v>24576.22</v>
      </c>
      <c r="G123" s="9">
        <v>-1416.9099999999999</v>
      </c>
      <c r="K123" s="9">
        <v>618.57000000000005</v>
      </c>
      <c r="L123" s="9"/>
      <c r="M123" s="22">
        <v>7925.98</v>
      </c>
      <c r="O123" s="22"/>
      <c r="P123" s="2">
        <v>-304.70999999999998</v>
      </c>
    </row>
    <row r="124" spans="1:22" x14ac:dyDescent="0.25">
      <c r="A124" t="s">
        <v>271</v>
      </c>
      <c r="B124" s="2">
        <v>25638.600000000002</v>
      </c>
      <c r="E124" s="2">
        <v>557.97</v>
      </c>
      <c r="F124" s="2">
        <v>44420.899999999994</v>
      </c>
      <c r="G124" s="2">
        <v>-1086.73</v>
      </c>
      <c r="K124" s="2">
        <v>72.11</v>
      </c>
      <c r="L124" s="2"/>
      <c r="M124" s="22">
        <v>14981.53</v>
      </c>
      <c r="O124" s="22"/>
      <c r="P124" s="2">
        <v>-1205.08</v>
      </c>
      <c r="Q124" s="2">
        <v>1595.24</v>
      </c>
      <c r="R124" s="2">
        <v>21527.14</v>
      </c>
      <c r="S124" s="2"/>
      <c r="T124" s="2"/>
    </row>
    <row r="125" spans="1:22" x14ac:dyDescent="0.25">
      <c r="A125" t="s">
        <v>272</v>
      </c>
      <c r="B125" s="2">
        <v>19578.150000000001</v>
      </c>
      <c r="E125" s="2">
        <v>29.720000000000002</v>
      </c>
      <c r="K125" s="2">
        <v>53.64</v>
      </c>
      <c r="L125" s="2"/>
      <c r="N125" s="2">
        <v>213416.81</v>
      </c>
      <c r="P125" s="2">
        <v>-874.98</v>
      </c>
      <c r="Q125" s="2">
        <v>-359.3</v>
      </c>
      <c r="U125" s="2">
        <v>233795.12</v>
      </c>
      <c r="V125" s="1">
        <f>U125-P125-N125-Q125-R125+N125-I126-G126-F126-D125-E125-B125-K126-M124-R124-R123-Q124-Q123-P123-P124-K125-K124-I124-G124-F124-E124-E123-B124-B123-M123</f>
        <v>1.4551915228366852E-11</v>
      </c>
    </row>
    <row r="126" spans="1:22" x14ac:dyDescent="0.25">
      <c r="A126" t="s">
        <v>273</v>
      </c>
      <c r="B126" s="5">
        <v>19929.64</v>
      </c>
      <c r="E126" s="5">
        <v>207.58</v>
      </c>
      <c r="F126" s="2">
        <v>82803.959999999992</v>
      </c>
      <c r="G126" s="2">
        <v>-1298.6300000000001</v>
      </c>
      <c r="N126" s="5">
        <v>72435.14</v>
      </c>
      <c r="P126" s="5">
        <v>-933.88</v>
      </c>
      <c r="Q126" s="5">
        <v>-134.68</v>
      </c>
      <c r="U126" s="5">
        <v>71366.58</v>
      </c>
      <c r="V126" s="1">
        <f>U126-P126-N126-Q126-R126+N126-G127-I127-F127-D126-E126-B126-K127-M126</f>
        <v>-1.4551915228366852E-11</v>
      </c>
    </row>
    <row r="127" spans="1:22" x14ac:dyDescent="0.25">
      <c r="A127" t="s">
        <v>274</v>
      </c>
      <c r="B127" s="4">
        <v>22101.760000000002</v>
      </c>
      <c r="E127" s="4">
        <v>123.32000000000001</v>
      </c>
      <c r="F127" s="5">
        <v>53231.22</v>
      </c>
      <c r="G127" s="5">
        <v>-831.01</v>
      </c>
      <c r="H127" s="5"/>
      <c r="I127" s="5">
        <v>-102.28999999999999</v>
      </c>
      <c r="N127" s="4">
        <v>69470.66</v>
      </c>
      <c r="P127" s="4">
        <v>-564.79999999999995</v>
      </c>
      <c r="Q127" s="4">
        <v>67.34</v>
      </c>
      <c r="U127" s="4">
        <v>68973.2</v>
      </c>
      <c r="V127" s="1">
        <f>U127-P127-N127-Q127-R127+N127-I128-G128-F128-D127-E127-B127-K128-M127</f>
        <v>6.8212102632969618E-12</v>
      </c>
    </row>
    <row r="128" spans="1:22" x14ac:dyDescent="0.25">
      <c r="A128" t="s">
        <v>275</v>
      </c>
      <c r="B128" s="6">
        <v>21610.25</v>
      </c>
      <c r="E128" s="6">
        <v>9.08</v>
      </c>
      <c r="F128" s="4">
        <v>48157.869999999995</v>
      </c>
      <c r="G128" s="4">
        <v>-872.98</v>
      </c>
      <c r="H128" s="4"/>
      <c r="I128" s="4">
        <v>2776.6200000000003</v>
      </c>
      <c r="K128" s="4">
        <v>-2815.93</v>
      </c>
      <c r="L128" s="4"/>
      <c r="N128" s="6">
        <v>53629.39</v>
      </c>
      <c r="P128" s="6">
        <v>-628.97</v>
      </c>
      <c r="U128" s="6">
        <v>53000.42</v>
      </c>
      <c r="V128" s="1">
        <f>U128-P128-N128-Q128-R128+N128-I129-G129-F129-D128-E128-B128-K129-M128</f>
        <v>-9.0221163873138721E-12</v>
      </c>
    </row>
    <row r="129" spans="1:22" x14ac:dyDescent="0.25">
      <c r="A129" t="s">
        <v>276</v>
      </c>
      <c r="B129" s="7">
        <v>19912.73</v>
      </c>
      <c r="E129" s="7">
        <v>453.28</v>
      </c>
      <c r="F129" s="6">
        <v>32379.11</v>
      </c>
      <c r="G129" s="6">
        <v>-1511.02</v>
      </c>
      <c r="H129" s="6"/>
      <c r="I129" s="6">
        <v>1134.0500000000002</v>
      </c>
      <c r="K129" s="6">
        <v>7.92</v>
      </c>
      <c r="L129" s="6"/>
      <c r="N129" s="7">
        <v>67286.899999999994</v>
      </c>
      <c r="P129" s="7">
        <v>-584.72</v>
      </c>
      <c r="U129" s="7">
        <v>66702.179999999993</v>
      </c>
      <c r="V129" s="1">
        <f>U129-P129-N129-Q129-R129+N129-I130-G130-F130-D129-E129-B129-K130-M129</f>
        <v>-1.5987211554602254E-12</v>
      </c>
    </row>
    <row r="130" spans="1:22" x14ac:dyDescent="0.25">
      <c r="A130" t="s">
        <v>277</v>
      </c>
      <c r="B130" s="8">
        <v>20316.39</v>
      </c>
      <c r="C130" s="8"/>
      <c r="D130" s="8">
        <v>-132.47999999999999</v>
      </c>
      <c r="F130" s="7">
        <v>47431.6</v>
      </c>
      <c r="G130" s="7">
        <v>-796.24</v>
      </c>
      <c r="H130" s="7"/>
      <c r="I130" s="7">
        <v>230.77</v>
      </c>
      <c r="K130" s="7">
        <v>54.76</v>
      </c>
      <c r="L130" s="7"/>
      <c r="P130" s="8">
        <v>-286.13</v>
      </c>
    </row>
    <row r="131" spans="1:22" x14ac:dyDescent="0.25">
      <c r="A131" t="s">
        <v>278</v>
      </c>
      <c r="B131" s="8">
        <v>18071.239999999998</v>
      </c>
      <c r="F131" s="8">
        <v>39358.61</v>
      </c>
      <c r="G131" s="8">
        <v>-1182.6299999999999</v>
      </c>
      <c r="H131" s="8"/>
      <c r="I131" s="8">
        <v>42.67</v>
      </c>
      <c r="K131" s="8">
        <v>-7.92</v>
      </c>
      <c r="L131" s="8"/>
      <c r="M131" s="8">
        <v>16604.419999999998</v>
      </c>
      <c r="O131" s="8"/>
      <c r="P131" s="8">
        <v>-634.78</v>
      </c>
      <c r="R131" s="8">
        <v>300.41000000000003</v>
      </c>
      <c r="S131" s="8"/>
      <c r="T131" s="8"/>
    </row>
    <row r="132" spans="1:22" x14ac:dyDescent="0.25">
      <c r="A132" t="s">
        <v>279</v>
      </c>
      <c r="B132" s="8">
        <v>15644.5</v>
      </c>
      <c r="E132" s="8">
        <v>94.35</v>
      </c>
      <c r="K132" s="8">
        <v>-54.76</v>
      </c>
      <c r="L132" s="8"/>
      <c r="N132" s="8">
        <v>167994.14</v>
      </c>
      <c r="P132" s="8">
        <v>-396.59</v>
      </c>
      <c r="U132" s="8">
        <v>166977.04999999999</v>
      </c>
      <c r="V132" s="1">
        <f>U132-P132-N132-Q132-R132+N132-I133-G133-F133-D132-E132-B132-K133-M131-R131-R130-Q131-Q130-P130-P131-K132-K131-I131-G131-F131-E131-E130-B131-B130-M130-D130-D131</f>
        <v>-1.7763568394002505E-11</v>
      </c>
    </row>
    <row r="133" spans="1:22" x14ac:dyDescent="0.25">
      <c r="A133" t="s">
        <v>280</v>
      </c>
      <c r="B133" s="10">
        <v>20770.850000000002</v>
      </c>
      <c r="E133" s="10">
        <v>742.1</v>
      </c>
      <c r="F133" s="8">
        <v>60256.25</v>
      </c>
      <c r="G133" s="8">
        <v>-1024.42</v>
      </c>
      <c r="H133" s="8"/>
      <c r="I133" s="8">
        <v>7.92</v>
      </c>
      <c r="N133" s="10">
        <v>61264.2</v>
      </c>
      <c r="P133" s="10">
        <v>-1567.73</v>
      </c>
      <c r="U133" s="10">
        <v>59696.47</v>
      </c>
      <c r="V133" s="1">
        <f>U133-P133-N133-Q133-R133+N133-I134-G134-F134-D133-E133-B133-K134-M133</f>
        <v>3.637978807091713E-12</v>
      </c>
    </row>
    <row r="134" spans="1:22" x14ac:dyDescent="0.25">
      <c r="A134" t="s">
        <v>281</v>
      </c>
      <c r="B134" s="9">
        <v>20784.89</v>
      </c>
      <c r="C134" s="9"/>
      <c r="D134" s="9">
        <v>228.09</v>
      </c>
      <c r="F134" s="10">
        <v>40179.040000000001</v>
      </c>
      <c r="G134" s="10">
        <v>-657.16</v>
      </c>
      <c r="H134" s="10"/>
      <c r="I134" s="10">
        <v>229.37</v>
      </c>
      <c r="N134" s="9">
        <v>57864.67</v>
      </c>
      <c r="P134" s="9">
        <v>-744.94</v>
      </c>
      <c r="U134" s="9">
        <v>57119.73</v>
      </c>
      <c r="V134" s="1">
        <f>U134-P134-N134-Q134-R134+N134-I135-G135-F135-D134-E134-B134-K135-M134</f>
        <v>1.8189894035458565E-11</v>
      </c>
    </row>
    <row r="135" spans="1:22" x14ac:dyDescent="0.25">
      <c r="A135" t="s">
        <v>282</v>
      </c>
      <c r="B135" s="2">
        <v>20429.669999999998</v>
      </c>
      <c r="C135" s="2"/>
      <c r="D135" s="2">
        <v>185.3</v>
      </c>
      <c r="E135" s="2">
        <v>193.27</v>
      </c>
      <c r="F135" s="9">
        <v>40261.579999999994</v>
      </c>
      <c r="G135" s="9">
        <v>-3325.98</v>
      </c>
      <c r="H135" s="9"/>
      <c r="I135" s="9">
        <v>-83.910000000000011</v>
      </c>
      <c r="N135" s="2">
        <v>47522.63</v>
      </c>
      <c r="P135" s="2">
        <v>-516.83000000000004</v>
      </c>
      <c r="U135" s="2">
        <v>47005.8</v>
      </c>
      <c r="V135" s="1">
        <f>U135-P135-N135-Q135-R135+N135-I136-G136-F136-D135-E135-B135-K136-M135</f>
        <v>1.0913936421275139E-11</v>
      </c>
    </row>
    <row r="136" spans="1:22" x14ac:dyDescent="0.25">
      <c r="A136" t="s">
        <v>283</v>
      </c>
      <c r="B136" s="5">
        <v>23158.86</v>
      </c>
      <c r="F136" s="2">
        <v>31100.170000000002</v>
      </c>
      <c r="G136" s="2">
        <v>-4320.7300000000005</v>
      </c>
      <c r="H136" s="2"/>
      <c r="I136" s="2">
        <v>-65.05</v>
      </c>
      <c r="N136" s="5">
        <v>54634.77</v>
      </c>
      <c r="P136" s="5">
        <v>-865.72</v>
      </c>
      <c r="U136" s="5">
        <v>53769.05</v>
      </c>
      <c r="V136" s="1">
        <f>U136-P136-N136-Q136-R136+N136-I137-G137-F137-D136-E136-B136-K137-M136</f>
        <v>7.2759576141834259E-12</v>
      </c>
    </row>
    <row r="137" spans="1:22" x14ac:dyDescent="0.25">
      <c r="A137" t="s">
        <v>284</v>
      </c>
      <c r="B137" s="4">
        <v>17049.23</v>
      </c>
      <c r="C137" s="4"/>
      <c r="D137" s="4">
        <v>-229.17</v>
      </c>
      <c r="E137" s="4">
        <v>193.85</v>
      </c>
      <c r="F137" s="5">
        <v>32561.129999999997</v>
      </c>
      <c r="G137" s="5">
        <v>-568.22</v>
      </c>
      <c r="H137" s="5"/>
      <c r="I137" s="5">
        <v>-517</v>
      </c>
      <c r="P137" s="4">
        <v>-1987.71</v>
      </c>
    </row>
    <row r="138" spans="1:22" x14ac:dyDescent="0.25">
      <c r="A138" t="s">
        <v>285</v>
      </c>
      <c r="B138" s="4">
        <v>17529.68</v>
      </c>
      <c r="E138" s="4">
        <v>75.470000000000013</v>
      </c>
      <c r="F138" s="4">
        <v>48773.54</v>
      </c>
      <c r="G138" s="4">
        <v>-604.19000000000005</v>
      </c>
      <c r="H138" s="4"/>
      <c r="I138" s="4">
        <v>256.23</v>
      </c>
      <c r="P138" s="4">
        <v>-542.62</v>
      </c>
      <c r="Q138" s="4">
        <v>-124.4</v>
      </c>
      <c r="R138" s="4">
        <v>985.51</v>
      </c>
      <c r="S138" s="4"/>
      <c r="T138" s="4"/>
    </row>
    <row r="139" spans="1:22" x14ac:dyDescent="0.25">
      <c r="A139" t="s">
        <v>286</v>
      </c>
      <c r="B139" s="4">
        <v>16064.41</v>
      </c>
      <c r="E139" s="4">
        <v>1123.1199999999999</v>
      </c>
      <c r="M139" s="4">
        <v>20150.400000000001</v>
      </c>
      <c r="N139" s="4">
        <v>174464.23</v>
      </c>
      <c r="O139" s="4"/>
      <c r="P139" s="4">
        <v>-988.19</v>
      </c>
      <c r="Q139" s="4">
        <v>-2556.77</v>
      </c>
      <c r="U139" s="4">
        <v>169250.05</v>
      </c>
      <c r="V139" s="1">
        <f>U139-P139-N139-Q139-R139+N139-I140-G140-F140-D139-E139-B139-K140-M138-R138-R137-Q138-Q137-P137-P138-K139-K138-I138-G138-F138-E138-E137-B138-B137-M137-D137-D138-M139</f>
        <v>0</v>
      </c>
    </row>
    <row r="140" spans="1:22" x14ac:dyDescent="0.25">
      <c r="A140" t="s">
        <v>287</v>
      </c>
      <c r="B140" s="6">
        <v>18572.879999999997</v>
      </c>
      <c r="E140" s="6">
        <v>23.189999999999998</v>
      </c>
      <c r="F140" s="4">
        <v>56417.19</v>
      </c>
      <c r="G140" s="4">
        <v>-2335.5299999999997</v>
      </c>
      <c r="N140" s="6">
        <v>44558.89</v>
      </c>
      <c r="P140" s="6">
        <v>-477.2</v>
      </c>
      <c r="U140" s="6">
        <v>44081.69</v>
      </c>
      <c r="V140" s="1">
        <f>U140-P140-N140-Q140-R140+N140-I141-G141-F141-D140-E140-B140-K141-M140</f>
        <v>7.2759576141834259E-12</v>
      </c>
    </row>
    <row r="141" spans="1:22" x14ac:dyDescent="0.25">
      <c r="A141" t="s">
        <v>288</v>
      </c>
      <c r="B141" s="7">
        <v>18113.62</v>
      </c>
      <c r="C141" s="7"/>
      <c r="D141" s="7">
        <v>135.07000000000002</v>
      </c>
      <c r="E141" s="7">
        <v>18.39</v>
      </c>
      <c r="F141" s="6">
        <v>26791.26</v>
      </c>
      <c r="G141" s="6">
        <v>-672.48</v>
      </c>
      <c r="H141" s="6"/>
      <c r="I141" s="6">
        <v>-155.95999999999998</v>
      </c>
      <c r="N141" s="7">
        <v>58592.15</v>
      </c>
      <c r="P141" s="7">
        <v>-1164.54</v>
      </c>
      <c r="U141" s="7">
        <v>57427.61</v>
      </c>
      <c r="V141" s="1">
        <f>U141-P141-N141-Q141-R141+N141-I142-G142-F142-D141-E141-B141-K142-M141</f>
        <v>-3.637978807091713E-12</v>
      </c>
    </row>
    <row r="142" spans="1:22" x14ac:dyDescent="0.25">
      <c r="A142" t="s">
        <v>289</v>
      </c>
      <c r="B142" s="8">
        <v>19444.2</v>
      </c>
      <c r="C142" s="8"/>
      <c r="D142" s="8">
        <v>-134.28</v>
      </c>
      <c r="E142" s="8">
        <v>61.67</v>
      </c>
      <c r="F142" s="7">
        <v>41845.380000000005</v>
      </c>
      <c r="G142" s="7">
        <v>-1571.2</v>
      </c>
      <c r="H142" s="7"/>
      <c r="I142" s="7">
        <v>50.89</v>
      </c>
      <c r="N142" s="8">
        <v>74953.89</v>
      </c>
      <c r="P142" s="8">
        <v>-733.88</v>
      </c>
      <c r="U142" s="8">
        <v>74220.009999999995</v>
      </c>
      <c r="V142" s="1">
        <f>U142-P142-N142-Q142-R142+N142-I143-G143-F143-D142-E142-B142-K143-M142</f>
        <v>3.637978807091713E-12</v>
      </c>
    </row>
    <row r="143" spans="1:22" x14ac:dyDescent="0.25">
      <c r="A143" t="s">
        <v>290</v>
      </c>
      <c r="B143" s="10">
        <v>20779.649999999998</v>
      </c>
      <c r="E143" s="10">
        <v>503.1</v>
      </c>
      <c r="F143" s="8">
        <v>56990.6</v>
      </c>
      <c r="G143" s="8">
        <v>-983.48</v>
      </c>
      <c r="H143" s="8"/>
      <c r="I143" s="8">
        <v>-424.82</v>
      </c>
      <c r="N143" s="10">
        <v>67929.62</v>
      </c>
      <c r="P143" s="10">
        <v>-1222.46</v>
      </c>
      <c r="Q143" s="10">
        <f>-76.41+ 0.18</f>
        <v>-76.22999999999999</v>
      </c>
      <c r="U143" s="10">
        <v>66630.929999999993</v>
      </c>
      <c r="V143" s="1">
        <f>U143-P143-N143-Q143-R143+N143-I144-G144-F144-D143-E143-B143-K144-M143</f>
        <v>-3.637978807091713E-12</v>
      </c>
    </row>
    <row r="144" spans="1:22" x14ac:dyDescent="0.25">
      <c r="A144" t="s">
        <v>291</v>
      </c>
      <c r="B144" s="9">
        <v>23029.03</v>
      </c>
      <c r="F144" s="10">
        <v>49894.1</v>
      </c>
      <c r="G144" s="10">
        <v>-3216.89</v>
      </c>
      <c r="H144" s="10"/>
      <c r="I144" s="10">
        <v>-30.340000000000003</v>
      </c>
      <c r="P144" s="9">
        <v>-1458.3</v>
      </c>
    </row>
    <row r="145" spans="1:22" x14ac:dyDescent="0.25">
      <c r="A145" t="s">
        <v>292</v>
      </c>
      <c r="B145" s="9">
        <v>17867.77</v>
      </c>
      <c r="E145" s="9">
        <v>106.34</v>
      </c>
      <c r="F145" s="9">
        <v>45844.979999999996</v>
      </c>
      <c r="G145" s="9">
        <v>-1877.79</v>
      </c>
      <c r="H145" s="9"/>
      <c r="I145" s="9">
        <v>-278.89</v>
      </c>
      <c r="M145" s="9">
        <v>15921.88</v>
      </c>
      <c r="O145" s="9"/>
      <c r="P145" s="9">
        <v>-1073.6600000000001</v>
      </c>
      <c r="R145" s="9">
        <v>4112.99</v>
      </c>
      <c r="S145" s="9"/>
      <c r="T145" s="9"/>
    </row>
    <row r="146" spans="1:22" x14ac:dyDescent="0.25">
      <c r="A146" t="s">
        <v>293</v>
      </c>
      <c r="B146" s="9">
        <v>21001.850000000002</v>
      </c>
      <c r="E146" s="9">
        <v>50.57</v>
      </c>
      <c r="N146" s="9">
        <v>197759.66</v>
      </c>
      <c r="P146" s="9">
        <v>-1509.96</v>
      </c>
      <c r="U146" s="9">
        <v>197830.73</v>
      </c>
      <c r="V146" s="1">
        <f>U146-P146-N146-Q146-R146+N146-I147-G147-F147-D146-E146-B146-K147-M145-R145-R144-Q145-Q144-P144-P145-K146-K145-I145-G145-F145-E145-E144-B145-B144-M144-D144-D145-M146</f>
        <v>-2.5465851649641991E-11</v>
      </c>
    </row>
    <row r="147" spans="1:22" x14ac:dyDescent="0.25">
      <c r="A147" t="s">
        <v>294</v>
      </c>
      <c r="B147" s="2">
        <v>22197.870000000003</v>
      </c>
      <c r="E147" s="2">
        <v>313.64999999999998</v>
      </c>
      <c r="F147" s="9">
        <v>77171.23000000001</v>
      </c>
      <c r="G147" s="9">
        <v>-1013.6999999999999</v>
      </c>
      <c r="H147" s="9"/>
      <c r="I147" s="9">
        <v>-63.610000000000007</v>
      </c>
      <c r="N147" s="2">
        <v>81147.44</v>
      </c>
      <c r="P147" s="2">
        <v>-1232.1500000000001</v>
      </c>
      <c r="R147" s="2">
        <v>0.17</v>
      </c>
      <c r="S147" s="2"/>
      <c r="T147" s="2"/>
      <c r="U147" s="2">
        <v>79915.460000000006</v>
      </c>
      <c r="V147" s="1">
        <f>U147-P147-N147-Q147-R147+N147-I148-G148-F148-D147-E147-B147-K148-M147</f>
        <v>-7.2759576141834259E-12</v>
      </c>
    </row>
    <row r="148" spans="1:22" x14ac:dyDescent="0.25">
      <c r="A148" t="s">
        <v>295</v>
      </c>
      <c r="B148" s="5">
        <v>29021.420000000002</v>
      </c>
      <c r="C148" s="5"/>
      <c r="D148" s="5">
        <v>85.06</v>
      </c>
      <c r="E148" s="5">
        <v>162.26</v>
      </c>
      <c r="F148" s="2">
        <v>60428.9</v>
      </c>
      <c r="G148" s="2">
        <v>-1810.3700000000001</v>
      </c>
      <c r="H148" s="2"/>
      <c r="I148" s="2">
        <v>17.39</v>
      </c>
      <c r="P148" s="5">
        <v>-950.96</v>
      </c>
      <c r="Q148" s="5">
        <v>-16.32</v>
      </c>
    </row>
    <row r="149" spans="1:22" x14ac:dyDescent="0.25">
      <c r="A149" t="s">
        <v>296</v>
      </c>
      <c r="B149" s="5">
        <v>16905.439999999999</v>
      </c>
      <c r="C149" s="5"/>
      <c r="D149" s="5">
        <v>-188.75</v>
      </c>
      <c r="E149" s="5">
        <v>584.17999999999995</v>
      </c>
      <c r="F149" s="5">
        <v>53919.01</v>
      </c>
      <c r="G149" s="5">
        <v>-1886.01</v>
      </c>
      <c r="H149" s="5"/>
      <c r="I149" s="5">
        <v>-27.38</v>
      </c>
      <c r="N149" s="5">
        <v>135794.42000000001</v>
      </c>
      <c r="P149" s="5">
        <v>-1210.83</v>
      </c>
      <c r="Q149" s="5">
        <v>-16.170000000000002</v>
      </c>
      <c r="U149" s="5">
        <v>133600.14000000001</v>
      </c>
      <c r="V149" s="1">
        <f>U149-P149-N149-Q149-R149+N149-I150-G150-F150-D149-E149-B149-K150-M149-B148-D148-E148-F149-G149-I149-P148-Q148</f>
        <v>3.0873081868776353E-11</v>
      </c>
    </row>
    <row r="150" spans="1:22" x14ac:dyDescent="0.25">
      <c r="A150" t="s">
        <v>297</v>
      </c>
      <c r="B150" s="4">
        <v>16339.59</v>
      </c>
      <c r="F150" s="5">
        <v>37305.449999999997</v>
      </c>
      <c r="G150" s="5">
        <v>-86.26</v>
      </c>
      <c r="N150" s="4">
        <v>54779.91</v>
      </c>
      <c r="P150" s="4">
        <v>-1411.3</v>
      </c>
      <c r="Q150" s="4">
        <v>-192.6</v>
      </c>
      <c r="U150" s="4">
        <v>53176.01</v>
      </c>
      <c r="V150" s="1">
        <f>U150-P150-N150-Q150-R150+N150-I151-G151-F151-D150-E150-B150-K151-M150</f>
        <v>3.637978807091713E-12</v>
      </c>
    </row>
    <row r="151" spans="1:22" x14ac:dyDescent="0.25">
      <c r="A151" t="s">
        <v>298</v>
      </c>
      <c r="B151" s="6">
        <v>22548.940000000002</v>
      </c>
      <c r="E151" s="6">
        <v>3283.73</v>
      </c>
      <c r="F151" s="4">
        <v>43377.760000000002</v>
      </c>
      <c r="G151" s="4">
        <v>-4937.4399999999996</v>
      </c>
      <c r="P151" s="6">
        <v>-1110.5</v>
      </c>
      <c r="Q151" s="6">
        <v>-32.369999999999997</v>
      </c>
    </row>
    <row r="152" spans="1:22" x14ac:dyDescent="0.25">
      <c r="A152" t="s">
        <v>299</v>
      </c>
      <c r="B152" s="6">
        <v>20405.52</v>
      </c>
      <c r="E152" s="6">
        <v>319.8</v>
      </c>
      <c r="F152" s="6">
        <v>52447.549999999996</v>
      </c>
      <c r="G152" s="6">
        <v>-1493.76</v>
      </c>
      <c r="H152" s="6"/>
      <c r="I152" s="6">
        <v>2042.64</v>
      </c>
      <c r="M152" s="24">
        <v>34946.65</v>
      </c>
      <c r="O152" s="24"/>
      <c r="P152" s="6">
        <v>-1367.92</v>
      </c>
      <c r="Q152" s="6">
        <v>-81.09</v>
      </c>
      <c r="R152" s="6">
        <v>2328.89</v>
      </c>
      <c r="S152" s="6"/>
      <c r="T152" s="6"/>
    </row>
    <row r="153" spans="1:22" x14ac:dyDescent="0.25">
      <c r="A153" t="s">
        <v>300</v>
      </c>
      <c r="B153" s="6">
        <v>20547.59</v>
      </c>
      <c r="E153" s="6">
        <v>341.74</v>
      </c>
      <c r="N153" s="6">
        <v>246835.31</v>
      </c>
      <c r="P153" s="6">
        <v>-1028.8800000000001</v>
      </c>
      <c r="Q153" s="6">
        <v>-106.18</v>
      </c>
      <c r="U153" s="6">
        <v>245437.26</v>
      </c>
      <c r="V153" s="1">
        <f>U153-P153-N153-Q153-R153+N153-I154-G154-F154-D153-E153-B153-K154-M152-R152-R151-Q152-Q151-P151-P152-K153-K152-I152-G152-F152-E152-E151-B152-B151-M151-D151-D152-M153</f>
        <v>3.2741809263825417E-11</v>
      </c>
    </row>
    <row r="154" spans="1:22" x14ac:dyDescent="0.25">
      <c r="A154" t="s">
        <v>301</v>
      </c>
      <c r="B154" s="7">
        <v>25147.11</v>
      </c>
      <c r="E154" s="7">
        <v>377.49</v>
      </c>
      <c r="F154" s="6">
        <v>92140.23</v>
      </c>
      <c r="G154" s="6">
        <v>-695.31999999999994</v>
      </c>
      <c r="N154" s="7">
        <v>74500.399999999994</v>
      </c>
      <c r="P154" s="7">
        <v>-1365.51</v>
      </c>
      <c r="U154" s="7">
        <v>73134.89</v>
      </c>
      <c r="V154" s="1">
        <f>U154-P154-N154-Q154-R154+N154-I155-G155-F155-D154-E154-B154-K155-M154</f>
        <v>-1.8189894035458565E-11</v>
      </c>
    </row>
    <row r="155" spans="1:22" x14ac:dyDescent="0.25">
      <c r="A155" t="s">
        <v>302</v>
      </c>
      <c r="B155" s="8">
        <v>26584.87</v>
      </c>
      <c r="E155" s="8">
        <v>333.64</v>
      </c>
      <c r="F155" s="7">
        <v>49296.02</v>
      </c>
      <c r="G155" s="7">
        <v>-428.18</v>
      </c>
      <c r="H155" s="7"/>
      <c r="I155" s="7">
        <v>107.96000000000001</v>
      </c>
      <c r="M155" s="8">
        <v>8413.3700000000008</v>
      </c>
      <c r="O155" s="8"/>
      <c r="P155" s="8">
        <v>-1935.08</v>
      </c>
      <c r="R155" s="8">
        <v>1655.23</v>
      </c>
      <c r="S155" s="8"/>
      <c r="T155" s="8"/>
    </row>
    <row r="156" spans="1:22" x14ac:dyDescent="0.25">
      <c r="A156" t="s">
        <v>303</v>
      </c>
      <c r="B156" s="8">
        <v>19861.78</v>
      </c>
      <c r="E156" s="8">
        <v>128.15</v>
      </c>
      <c r="F156" s="8">
        <v>45621.8</v>
      </c>
      <c r="G156" s="8">
        <v>-700.59</v>
      </c>
      <c r="H156" s="8"/>
      <c r="I156" s="8">
        <v>-208.83000000000004</v>
      </c>
      <c r="K156" s="8">
        <v>141.37</v>
      </c>
      <c r="L156" s="8"/>
      <c r="N156" s="8">
        <v>131516.76999999999</v>
      </c>
      <c r="P156" s="8">
        <v>-1092.76</v>
      </c>
      <c r="U156" s="8">
        <v>130144.16</v>
      </c>
      <c r="V156" s="1">
        <f>U156-P156-N156-Q156-R156+N156-I157-G157-F157-D156-E156-B156-K157-M156-B155-E155-F156-G156-I156-P155-R155-M155-K156</f>
        <v>2.9899638320785016E-11</v>
      </c>
    </row>
    <row r="157" spans="1:22" x14ac:dyDescent="0.25">
      <c r="A157" t="s">
        <v>304</v>
      </c>
      <c r="B157" s="10">
        <v>21987.71</v>
      </c>
      <c r="E157" s="10">
        <v>131.83000000000001</v>
      </c>
      <c r="F157" s="8">
        <v>32078.429999999997</v>
      </c>
      <c r="G157" s="8">
        <v>-763.89</v>
      </c>
      <c r="H157" s="8"/>
      <c r="I157" s="8">
        <v>17.98</v>
      </c>
      <c r="K157" s="8">
        <v>8.69</v>
      </c>
      <c r="L157" s="8"/>
      <c r="N157" s="10">
        <v>68723.600000000006</v>
      </c>
      <c r="P157" s="10">
        <v>-807.57</v>
      </c>
      <c r="U157" s="10">
        <v>67916.03</v>
      </c>
      <c r="V157" s="1">
        <f>U157-P157-N157-Q157-R157+N157-I158-G158-F158-D157-E157-B157-K158-M157</f>
        <v>2.3305801732931286E-12</v>
      </c>
    </row>
    <row r="158" spans="1:22" x14ac:dyDescent="0.25">
      <c r="A158" t="s">
        <v>305</v>
      </c>
      <c r="B158" s="9">
        <v>21850.39</v>
      </c>
      <c r="E158" s="9">
        <v>43.92</v>
      </c>
      <c r="F158" s="10">
        <v>50135.99</v>
      </c>
      <c r="G158" s="10">
        <v>-3531.93</v>
      </c>
      <c r="H158" s="10"/>
      <c r="I158" s="10">
        <v>150.05999999999997</v>
      </c>
      <c r="K158" s="10">
        <v>-150.06</v>
      </c>
      <c r="L158" s="10"/>
      <c r="P158" s="9">
        <v>-1022.98</v>
      </c>
      <c r="Q158" s="9">
        <v>-20.2</v>
      </c>
    </row>
    <row r="159" spans="1:22" x14ac:dyDescent="0.25">
      <c r="A159" t="s">
        <v>306</v>
      </c>
      <c r="B159" s="9">
        <v>21441.399999999998</v>
      </c>
      <c r="E159" s="9">
        <v>24.02</v>
      </c>
      <c r="F159" s="9">
        <v>50141.69</v>
      </c>
      <c r="G159" s="9">
        <v>-1043.0800000000002</v>
      </c>
      <c r="H159" s="9"/>
      <c r="I159" s="9">
        <v>185.97000000000003</v>
      </c>
      <c r="M159" s="9">
        <v>21523.5</v>
      </c>
      <c r="O159" s="9"/>
      <c r="P159" s="9">
        <v>-856.53</v>
      </c>
      <c r="R159" s="9">
        <v>2858.83</v>
      </c>
      <c r="S159" s="9"/>
      <c r="T159" s="9"/>
    </row>
    <row r="160" spans="1:22" x14ac:dyDescent="0.25">
      <c r="A160" t="s">
        <v>307</v>
      </c>
      <c r="B160" s="9">
        <v>23662.170000000002</v>
      </c>
      <c r="E160" s="9">
        <v>457.78000000000003</v>
      </c>
      <c r="N160" s="9">
        <v>213321.82</v>
      </c>
      <c r="P160" s="9">
        <v>-1311.95</v>
      </c>
      <c r="Q160" s="9">
        <v>-131.44999999999999</v>
      </c>
      <c r="U160" s="9">
        <v>212837.54</v>
      </c>
      <c r="V160" s="1">
        <f>U160-P160-N160-Q160-R160+N160-I161-G161-F161-D160-E160-B160-K161-M159-R159-R158-Q159-Q158-P158-P159-K160-K159-I159-G159-F159-E159-E158-B159-B158-M158-D158-D159-M160</f>
        <v>3.637978807091713E-12</v>
      </c>
    </row>
    <row r="161" spans="1:23" x14ac:dyDescent="0.25">
      <c r="A161" t="s">
        <v>308</v>
      </c>
      <c r="B161" s="2">
        <v>23776.57</v>
      </c>
      <c r="E161" s="2">
        <v>206.34</v>
      </c>
      <c r="F161" s="9">
        <v>79838.42</v>
      </c>
      <c r="G161" s="9">
        <v>-4804.3599999999997</v>
      </c>
      <c r="N161" s="2">
        <v>91453.91</v>
      </c>
      <c r="P161" s="2">
        <v>-1463.47</v>
      </c>
      <c r="Q161" s="2">
        <v>-120.83</v>
      </c>
      <c r="R161" s="2">
        <v>0.2</v>
      </c>
      <c r="S161" s="2"/>
      <c r="T161" s="2"/>
      <c r="U161" s="2">
        <v>89869.81</v>
      </c>
      <c r="V161" s="1">
        <f>U161-P161-N161-Q161-R161+N161-I162-G162-F162-D161-E161-B161-K162-M161</f>
        <v>3.637978807091713E-12</v>
      </c>
    </row>
    <row r="162" spans="1:23" x14ac:dyDescent="0.25">
      <c r="A162" t="s">
        <v>309</v>
      </c>
      <c r="B162" s="5">
        <v>23380.53</v>
      </c>
      <c r="E162" s="5">
        <v>421.33</v>
      </c>
      <c r="F162" s="2">
        <v>69629.11</v>
      </c>
      <c r="G162" s="2">
        <v>-2178.67</v>
      </c>
      <c r="H162" s="2"/>
      <c r="I162" s="2">
        <v>20.559999999999974</v>
      </c>
      <c r="N162" s="5">
        <v>85423.66</v>
      </c>
      <c r="P162" s="5">
        <v>-1626.3</v>
      </c>
      <c r="U162" s="5">
        <v>83797.36</v>
      </c>
      <c r="V162" s="1">
        <f>U162-P162-N162-Q162-R162+N162-I163-G163-F163-D162-E162-B162-K163-M162</f>
        <v>0</v>
      </c>
    </row>
    <row r="163" spans="1:23" x14ac:dyDescent="0.25">
      <c r="A163" t="s">
        <v>310</v>
      </c>
      <c r="B163" s="4">
        <v>23926.51</v>
      </c>
      <c r="C163" s="4"/>
      <c r="D163" s="4">
        <v>-85.78</v>
      </c>
      <c r="E163" s="4">
        <v>33.36</v>
      </c>
      <c r="F163" s="5">
        <v>64886.89</v>
      </c>
      <c r="G163" s="5">
        <v>-2861.45</v>
      </c>
      <c r="H163" s="5"/>
      <c r="I163" s="5">
        <v>-403.64</v>
      </c>
      <c r="N163" s="4">
        <v>82358.8</v>
      </c>
      <c r="P163" s="4">
        <v>-976.91</v>
      </c>
      <c r="Q163" s="4">
        <v>-137.11000000000001</v>
      </c>
      <c r="U163" s="4">
        <v>81244.78</v>
      </c>
      <c r="V163" s="1">
        <f>U163-P163-N163-Q163-R163+N163-I164-G164-F164-D163-E163-B163-K164-M163</f>
        <v>3.637978807091713E-12</v>
      </c>
    </row>
    <row r="164" spans="1:23" x14ac:dyDescent="0.25">
      <c r="A164" t="s">
        <v>311</v>
      </c>
      <c r="B164" s="6">
        <v>26291.039999999997</v>
      </c>
      <c r="E164" s="6">
        <v>485.21</v>
      </c>
      <c r="F164" s="4">
        <v>60376.85</v>
      </c>
      <c r="G164" s="4">
        <v>-1599.3100000000002</v>
      </c>
      <c r="H164" s="4"/>
      <c r="I164" s="4">
        <v>-292.83</v>
      </c>
      <c r="N164" s="6">
        <v>75894.55</v>
      </c>
      <c r="P164" s="6">
        <v>-855.59</v>
      </c>
      <c r="U164" s="6">
        <v>75038.960000000006</v>
      </c>
      <c r="V164" s="1">
        <f>U164-P164-N164-Q164-R164+N164-I165-G165-F165-D164-E164-B164-K165-M164</f>
        <v>-8.9199999999946158</v>
      </c>
      <c r="W164" s="1" t="s">
        <v>1464</v>
      </c>
    </row>
    <row r="165" spans="1:23" x14ac:dyDescent="0.25">
      <c r="A165" t="s">
        <v>312</v>
      </c>
      <c r="B165" s="7">
        <v>25822.55</v>
      </c>
      <c r="E165" s="7">
        <v>201.01</v>
      </c>
      <c r="F165" s="6">
        <v>49875.17</v>
      </c>
      <c r="G165" s="6">
        <v>-727.36</v>
      </c>
      <c r="H165" s="6"/>
      <c r="I165" s="6">
        <v>-20.589999999999996</v>
      </c>
      <c r="P165" s="7">
        <v>-826.87</v>
      </c>
      <c r="Q165" s="7">
        <v>-94.06</v>
      </c>
    </row>
    <row r="166" spans="1:23" x14ac:dyDescent="0.25">
      <c r="A166" t="s">
        <v>313</v>
      </c>
      <c r="B166" s="7">
        <v>21548.9</v>
      </c>
      <c r="E166" s="7"/>
      <c r="F166" s="7">
        <v>31453.350000000002</v>
      </c>
      <c r="G166" s="7">
        <v>-5422.82</v>
      </c>
      <c r="H166" s="7"/>
      <c r="I166" s="7">
        <v>293.7</v>
      </c>
      <c r="M166" s="7">
        <v>15868</v>
      </c>
      <c r="O166" s="7"/>
      <c r="P166" s="7">
        <v>-1625.12</v>
      </c>
      <c r="R166" s="7">
        <v>907.42</v>
      </c>
      <c r="S166" s="7"/>
      <c r="T166" s="7"/>
    </row>
    <row r="167" spans="1:23" x14ac:dyDescent="0.25">
      <c r="A167" t="s">
        <v>314</v>
      </c>
      <c r="B167" s="7">
        <v>19702.61</v>
      </c>
      <c r="E167" s="7">
        <v>73.509999999999991</v>
      </c>
      <c r="N167" s="7">
        <v>176425.46</v>
      </c>
      <c r="Q167" s="7">
        <v>-40.659999999999997</v>
      </c>
      <c r="U167" s="7">
        <v>174746.17</v>
      </c>
      <c r="V167" s="1">
        <f>U167-P167-N167-Q167-R167+N167-I168-G168-F168-D167-E167-B167-K168-M166-R166-R165-Q166-Q165-P165-P166-K167-K166-I166-G166-F166-E166-E165-B166-B165-M165-D165-D166-M167</f>
        <v>-1.0913936421275139E-11</v>
      </c>
    </row>
    <row r="168" spans="1:23" x14ac:dyDescent="0.25">
      <c r="A168" t="s">
        <v>315</v>
      </c>
      <c r="B168" s="8">
        <v>19881.04</v>
      </c>
      <c r="E168" s="8">
        <v>563.67000000000007</v>
      </c>
      <c r="F168" s="7">
        <v>68381.240000000005</v>
      </c>
      <c r="G168" s="7">
        <v>-1496.59</v>
      </c>
      <c r="N168" s="8">
        <v>73092.86</v>
      </c>
      <c r="P168" s="8">
        <v>-453.13</v>
      </c>
      <c r="U168" s="8">
        <v>72639.73</v>
      </c>
      <c r="V168" s="1">
        <f>U168-P168-N168-Q168-R168+N168-I169-G169-F169-D168-E168-B168-K169-M168</f>
        <v>0</v>
      </c>
    </row>
    <row r="169" spans="1:23" x14ac:dyDescent="0.25">
      <c r="A169" t="s">
        <v>316</v>
      </c>
      <c r="B169" s="10">
        <v>22190.95</v>
      </c>
      <c r="E169" s="10">
        <v>637.99</v>
      </c>
      <c r="F169" s="8">
        <v>55906.21</v>
      </c>
      <c r="G169" s="8">
        <v>-3117.65</v>
      </c>
      <c r="H169" s="8"/>
      <c r="I169" s="8">
        <v>-140.41000000000003</v>
      </c>
      <c r="N169" s="10">
        <v>65735.37</v>
      </c>
      <c r="P169" s="10">
        <v>-689.67</v>
      </c>
      <c r="U169" s="10">
        <v>65045.7</v>
      </c>
      <c r="V169" s="1">
        <f>U169-P169-N169-Q169-R169+N169-I170-G170-F170-D169-E169-B169-K170-M169</f>
        <v>-7.2759576141834259E-12</v>
      </c>
    </row>
    <row r="170" spans="1:23" x14ac:dyDescent="0.25">
      <c r="A170" t="s">
        <v>317</v>
      </c>
      <c r="B170" s="2">
        <v>29231.18</v>
      </c>
      <c r="F170" s="10">
        <v>43450.579999999994</v>
      </c>
      <c r="G170" s="10">
        <v>-940.93000000000006</v>
      </c>
      <c r="H170" s="10"/>
      <c r="I170" s="10">
        <v>396.78000000000003</v>
      </c>
      <c r="N170" s="2">
        <v>73137.88</v>
      </c>
      <c r="P170" s="2">
        <v>-785.58</v>
      </c>
      <c r="Q170" s="2">
        <v>-44.18</v>
      </c>
      <c r="U170" s="2">
        <v>72308.12</v>
      </c>
      <c r="V170" s="1">
        <f>U170-P170-N170-Q170-R170+N170-I171-G171-F171-D170-E170-B170-K171-M170</f>
        <v>-7.2759576141834259E-12</v>
      </c>
    </row>
    <row r="171" spans="1:23" x14ac:dyDescent="0.25">
      <c r="A171" t="s">
        <v>318</v>
      </c>
      <c r="B171" s="5">
        <v>34238.959999999999</v>
      </c>
      <c r="E171" s="5">
        <v>10.459999999999999</v>
      </c>
      <c r="F171" s="2">
        <v>48882.11</v>
      </c>
      <c r="G171" s="2">
        <v>-4932.6400000000003</v>
      </c>
      <c r="H171" s="2"/>
      <c r="I171" s="2">
        <v>-42.77</v>
      </c>
      <c r="N171" s="5">
        <v>72958.41</v>
      </c>
      <c r="P171" s="5">
        <v>-592.24</v>
      </c>
      <c r="U171" s="5">
        <v>72366.17</v>
      </c>
      <c r="V171" s="1">
        <f>U171-P171-N171-Q171-R171+N171-I172-G172-F172-D171-E171-B171-K172-M171</f>
        <v>-7.2759576141834259E-12</v>
      </c>
    </row>
    <row r="172" spans="1:23" x14ac:dyDescent="0.25">
      <c r="A172" t="s">
        <v>319</v>
      </c>
      <c r="B172" s="4">
        <v>27706.260000000002</v>
      </c>
      <c r="F172" s="5">
        <v>47441.700000000004</v>
      </c>
      <c r="G172" s="5">
        <v>-8616.1200000000008</v>
      </c>
      <c r="H172" s="5"/>
      <c r="I172" s="5">
        <v>-116.58999999999999</v>
      </c>
      <c r="P172" s="4">
        <v>-818.67</v>
      </c>
      <c r="Q172" s="4">
        <v>-37.31</v>
      </c>
    </row>
    <row r="173" spans="1:23" x14ac:dyDescent="0.25">
      <c r="A173" t="s">
        <v>320</v>
      </c>
      <c r="B173" s="4">
        <v>26680.45</v>
      </c>
      <c r="E173" s="4">
        <v>129.23999999999998</v>
      </c>
      <c r="F173" s="4">
        <v>51833.590000000004</v>
      </c>
      <c r="G173" s="4">
        <v>-1032.81</v>
      </c>
      <c r="M173" s="4">
        <v>18645.830000000002</v>
      </c>
      <c r="O173" s="4"/>
      <c r="P173" s="4">
        <v>-644.61</v>
      </c>
      <c r="Q173" s="4">
        <v>-311.83</v>
      </c>
      <c r="R173" s="4">
        <v>953.17</v>
      </c>
      <c r="S173" s="4"/>
      <c r="T173" s="4"/>
    </row>
    <row r="174" spans="1:23" x14ac:dyDescent="0.25">
      <c r="A174" t="s">
        <v>321</v>
      </c>
      <c r="B174" s="4">
        <v>18172.64</v>
      </c>
      <c r="E174" s="4">
        <v>35.17</v>
      </c>
      <c r="P174" s="4">
        <v>-1014.8</v>
      </c>
      <c r="Q174" s="4">
        <v>-19.3</v>
      </c>
      <c r="R174" s="4">
        <v>0.04</v>
      </c>
      <c r="S174" s="4"/>
      <c r="T174" s="4"/>
    </row>
    <row r="175" spans="1:23" x14ac:dyDescent="0.25">
      <c r="A175" t="s">
        <v>322</v>
      </c>
      <c r="B175" s="4">
        <v>32599.51</v>
      </c>
      <c r="F175" s="4">
        <v>67480.7</v>
      </c>
      <c r="G175" s="4">
        <v>-1928.19</v>
      </c>
      <c r="N175" s="4">
        <v>283129.26</v>
      </c>
      <c r="P175" s="4">
        <v>-591.61</v>
      </c>
      <c r="U175" s="4">
        <v>280644.34000000003</v>
      </c>
      <c r="V175" s="1">
        <f>U175-P175-N175-Q175-R175+N175-I176-G176-F176-D175-E175-B175-K176-M174-R174-R173-Q174-Q173-P173-P174-K175-K174-I174-G174-F174-E174-E173-B174-B173-M173-D173-D174-M175-Q172-P172-G173-F173-B172-G175-F175</f>
        <v>0</v>
      </c>
    </row>
    <row r="176" spans="1:23" x14ac:dyDescent="0.25">
      <c r="A176" t="s">
        <v>323</v>
      </c>
      <c r="B176" s="6">
        <v>19812.61</v>
      </c>
      <c r="C176" s="6"/>
      <c r="D176" s="6">
        <v>-385.94</v>
      </c>
      <c r="E176" s="6">
        <v>17.809999999999999</v>
      </c>
      <c r="F176" s="4">
        <v>46338.38</v>
      </c>
      <c r="G176" s="4">
        <v>-3531.5099999999998</v>
      </c>
      <c r="N176" s="6">
        <v>72350.64</v>
      </c>
      <c r="P176" s="6">
        <v>-815.92</v>
      </c>
      <c r="U176" s="6">
        <v>71534.720000000001</v>
      </c>
      <c r="V176" s="1">
        <f>U176-P176-N176-Q176-R176+N176-I177-G177-F177-D176-E176-B176-K177-M176</f>
        <v>3.2045477382780518E-12</v>
      </c>
    </row>
    <row r="177" spans="1:22" x14ac:dyDescent="0.25">
      <c r="A177" t="s">
        <v>324</v>
      </c>
      <c r="B177" s="7">
        <v>11957.130000000001</v>
      </c>
      <c r="E177" s="7">
        <v>146.72000000000003</v>
      </c>
      <c r="F177" s="6">
        <v>54254.8</v>
      </c>
      <c r="G177" s="6">
        <v>-1362.85</v>
      </c>
      <c r="H177" s="6"/>
      <c r="I177" s="6">
        <v>-35.019999999999996</v>
      </c>
      <c r="K177" s="6">
        <v>49.23</v>
      </c>
      <c r="L177" s="6"/>
      <c r="N177" s="7">
        <v>48554.19</v>
      </c>
      <c r="P177" s="7">
        <v>-928.73</v>
      </c>
      <c r="Q177" s="7">
        <v>-352.46</v>
      </c>
      <c r="U177" s="7">
        <v>47273</v>
      </c>
      <c r="V177" s="1">
        <f>U177-P177-N177-Q177-R177+N177-I178-G178-F178-D177-E177-B177-K178-M177</f>
        <v>2.2524204723595176E-12</v>
      </c>
    </row>
    <row r="178" spans="1:22" x14ac:dyDescent="0.25">
      <c r="A178" t="s">
        <v>325</v>
      </c>
      <c r="B178" s="8">
        <v>13992.45</v>
      </c>
      <c r="F178" s="7">
        <v>37945.25</v>
      </c>
      <c r="G178" s="7">
        <v>-1445.35</v>
      </c>
      <c r="H178" s="7"/>
      <c r="I178" s="7">
        <v>-0.32999999999999829</v>
      </c>
      <c r="K178" s="7">
        <v>-49.23</v>
      </c>
      <c r="L178" s="7"/>
      <c r="N178" s="20">
        <v>56448.26</v>
      </c>
      <c r="P178" s="8">
        <v>-818.85</v>
      </c>
      <c r="U178" s="20">
        <v>55629.41</v>
      </c>
      <c r="V178" s="1">
        <f>U178-P178-N178-Q178-R178+N178-I179-G179-F179-D178-E178-B178-K179-M178</f>
        <v>3.637978807091713E-12</v>
      </c>
    </row>
    <row r="179" spans="1:22" x14ac:dyDescent="0.25">
      <c r="A179" t="s">
        <v>326</v>
      </c>
      <c r="B179" s="10">
        <v>11131.97</v>
      </c>
      <c r="F179" s="8">
        <v>48609.919999999998</v>
      </c>
      <c r="G179" s="8">
        <v>-646.04</v>
      </c>
      <c r="H179" s="8"/>
      <c r="I179" s="8">
        <v>-5508.07</v>
      </c>
      <c r="P179" s="10">
        <v>-728.63</v>
      </c>
      <c r="Q179" s="10">
        <v>-10.1</v>
      </c>
    </row>
    <row r="180" spans="1:22" x14ac:dyDescent="0.25">
      <c r="A180" t="s">
        <v>327</v>
      </c>
      <c r="B180" s="10">
        <v>14192.14</v>
      </c>
      <c r="E180" s="10">
        <v>622.01</v>
      </c>
      <c r="F180" s="10">
        <v>54259.05</v>
      </c>
      <c r="G180" s="10">
        <v>-1608.16</v>
      </c>
      <c r="H180" s="10"/>
      <c r="I180" s="10">
        <v>25.55</v>
      </c>
      <c r="M180" s="19">
        <v>51044.33</v>
      </c>
      <c r="O180" s="19"/>
      <c r="P180" s="10">
        <v>-1396.69</v>
      </c>
      <c r="Q180" s="10">
        <v>-71.09</v>
      </c>
      <c r="R180" s="10">
        <v>3927.44</v>
      </c>
      <c r="S180" s="10"/>
      <c r="T180" s="10"/>
    </row>
    <row r="181" spans="1:22" x14ac:dyDescent="0.25">
      <c r="A181" t="s">
        <v>328</v>
      </c>
      <c r="B181" s="10">
        <v>9965.01</v>
      </c>
      <c r="N181" s="10">
        <v>200894.14</v>
      </c>
      <c r="Q181" s="10">
        <f>-8.19-351.1</f>
        <v>-359.29</v>
      </c>
      <c r="U181" s="10">
        <v>202255.78</v>
      </c>
      <c r="V181" s="1">
        <f>U181-P181-N181-Q181-R181+N181-I182-G182-F182-D181-E181-B181-K182-M180-R180-R179-Q180-Q179-P179-P180-K181-K180-I180-G180-F180-E180-E179-B180-B179-M179-D179-D180-M181</f>
        <v>1.2732925824820995E-11</v>
      </c>
    </row>
    <row r="182" spans="1:22" x14ac:dyDescent="0.25">
      <c r="A182" t="s">
        <v>329</v>
      </c>
      <c r="B182" s="9">
        <v>12529.01</v>
      </c>
      <c r="C182" s="9"/>
      <c r="D182" s="9">
        <v>383.89</v>
      </c>
      <c r="F182" s="10">
        <v>62941.53</v>
      </c>
      <c r="G182" s="10">
        <v>-1679.29</v>
      </c>
      <c r="N182" s="9">
        <v>58312.66</v>
      </c>
      <c r="P182" s="9">
        <v>-579.27</v>
      </c>
      <c r="U182" s="9">
        <v>57733.39</v>
      </c>
      <c r="V182" s="1">
        <f>U182-P182-N182-Q182-R182+N182-I183-G183-F183-D182-E182-B182-K183-M182</f>
        <v>1.8189894035458565E-12</v>
      </c>
    </row>
    <row r="183" spans="1:22" x14ac:dyDescent="0.25">
      <c r="A183" t="s">
        <v>330</v>
      </c>
      <c r="B183" s="2">
        <v>11509.15</v>
      </c>
      <c r="E183" s="2">
        <v>7.69</v>
      </c>
      <c r="F183" s="9">
        <v>46214.57</v>
      </c>
      <c r="G183" s="9">
        <v>-840.9</v>
      </c>
      <c r="H183" s="9"/>
      <c r="I183" s="9">
        <v>26.09</v>
      </c>
      <c r="N183" s="2">
        <v>38171.550000000003</v>
      </c>
      <c r="P183" s="2">
        <v>-947.23</v>
      </c>
      <c r="U183" s="2">
        <v>37224.32</v>
      </c>
      <c r="V183" s="1">
        <f>U183-P183-N183-Q183-R183+N183-I184-G184-F184-D183-E183-B183-K184-M183</f>
        <v>3.637978807091713E-12</v>
      </c>
    </row>
    <row r="184" spans="1:22" x14ac:dyDescent="0.25">
      <c r="A184" t="s">
        <v>331</v>
      </c>
      <c r="B184" s="5">
        <v>10475.030000000001</v>
      </c>
      <c r="E184" s="5">
        <v>25.82</v>
      </c>
      <c r="F184" s="2">
        <v>34202.6</v>
      </c>
      <c r="G184" s="2">
        <v>-7123.3200000000006</v>
      </c>
      <c r="H184" s="2"/>
      <c r="I184" s="2">
        <v>-424.57</v>
      </c>
      <c r="N184" s="5">
        <v>51406.83</v>
      </c>
      <c r="P184" s="5">
        <v>-1123.24</v>
      </c>
      <c r="U184" s="5">
        <v>50283.59</v>
      </c>
      <c r="V184" s="1">
        <f>U184-P184-N184-Q184-R184+N184-I185-G185-F185-D184-E184-B184-K185-M184</f>
        <v>-1.8189894035458565E-12</v>
      </c>
    </row>
    <row r="185" spans="1:22" x14ac:dyDescent="0.25">
      <c r="A185" t="s">
        <v>332</v>
      </c>
      <c r="B185" s="4">
        <v>16199.28</v>
      </c>
      <c r="E185" s="4">
        <v>266.41000000000003</v>
      </c>
      <c r="F185" s="5">
        <v>42075.86</v>
      </c>
      <c r="G185" s="5">
        <v>-821.18999999999994</v>
      </c>
      <c r="H185" s="5"/>
      <c r="I185" s="5">
        <v>-348.69</v>
      </c>
      <c r="N185" s="4">
        <v>63972.6</v>
      </c>
      <c r="P185" s="4">
        <v>-766.52</v>
      </c>
      <c r="U185" s="4">
        <v>63206.080000000002</v>
      </c>
      <c r="V185" s="1">
        <f>U185-P185-N185-Q185-R185+N185-I186-G186-F186-D185-E185-B185-K186-M185</f>
        <v>1.8189894035458565E-12</v>
      </c>
    </row>
    <row r="186" spans="1:22" x14ac:dyDescent="0.25">
      <c r="A186" t="s">
        <v>333</v>
      </c>
      <c r="B186" s="6">
        <v>14431.23</v>
      </c>
      <c r="E186" s="6">
        <v>129.88</v>
      </c>
      <c r="F186" s="4">
        <v>47833</v>
      </c>
      <c r="G186" s="4">
        <v>-658.54000000000008</v>
      </c>
      <c r="H186" s="4"/>
      <c r="I186" s="4">
        <v>332.45</v>
      </c>
      <c r="P186" s="6">
        <v>-562.99</v>
      </c>
      <c r="Q186" s="6">
        <v>1413.08</v>
      </c>
    </row>
    <row r="187" spans="1:22" x14ac:dyDescent="0.25">
      <c r="A187" t="s">
        <v>334</v>
      </c>
      <c r="B187" s="6">
        <v>13206.58</v>
      </c>
      <c r="F187" s="6">
        <v>29790.1</v>
      </c>
      <c r="G187" s="6">
        <v>-1076.5700000000002</v>
      </c>
      <c r="H187" s="6"/>
      <c r="I187" s="6">
        <v>-270.33000000000004</v>
      </c>
      <c r="M187" s="24">
        <v>8346.9500000000007</v>
      </c>
      <c r="O187" s="24"/>
      <c r="P187" s="6">
        <v>-1526.88</v>
      </c>
      <c r="R187" s="6">
        <v>2696.01</v>
      </c>
      <c r="S187" s="6"/>
      <c r="T187" s="6"/>
    </row>
    <row r="188" spans="1:22" x14ac:dyDescent="0.25">
      <c r="A188" t="s">
        <v>335</v>
      </c>
      <c r="B188" s="6">
        <v>12574.35</v>
      </c>
      <c r="E188" s="6">
        <v>20.93</v>
      </c>
      <c r="M188" s="24">
        <v>44561.51</v>
      </c>
      <c r="N188" s="6">
        <v>194621.52</v>
      </c>
      <c r="O188" s="24"/>
      <c r="Q188" s="6">
        <v>-1812.89</v>
      </c>
      <c r="U188" s="6">
        <v>194827.85</v>
      </c>
      <c r="V188" s="1">
        <f>U188-P188-N188-Q188-R188+N188-I189-G189-F189-D188-E188-B188-M187-R187-R186-Q187-Q186-P186-P187-K188-K187-I187-G187-F187-E187-E186-B187-B186-M186-D186-D187-M188</f>
        <v>6.5483618527650833E-11</v>
      </c>
    </row>
    <row r="189" spans="1:22" x14ac:dyDescent="0.25">
      <c r="A189" t="s">
        <v>336</v>
      </c>
      <c r="B189" s="7">
        <v>11138.56</v>
      </c>
      <c r="F189" s="6">
        <v>73990.73</v>
      </c>
      <c r="G189" s="6">
        <v>-1113.45</v>
      </c>
      <c r="H189" s="6"/>
      <c r="I189" s="6">
        <v>29.61</v>
      </c>
      <c r="K189" s="7">
        <v>108.24</v>
      </c>
      <c r="L189" s="7"/>
      <c r="N189" s="7">
        <v>55128.85</v>
      </c>
      <c r="P189" s="7">
        <v>-410.24</v>
      </c>
      <c r="Q189" s="7">
        <v>-149.09</v>
      </c>
      <c r="U189" s="7">
        <v>54569.52</v>
      </c>
      <c r="V189" s="1">
        <f>U189-P189-N189-Q189-R189+N189-I190-G190-F190-D189-E189-B189-K189-M189</f>
        <v>-3.851141627819743E-12</v>
      </c>
    </row>
    <row r="190" spans="1:22" x14ac:dyDescent="0.25">
      <c r="A190" t="s">
        <v>337</v>
      </c>
      <c r="B190" s="8">
        <v>12180.18</v>
      </c>
      <c r="F190" s="7">
        <v>45240.189999999995</v>
      </c>
      <c r="G190" s="7">
        <v>-1358.1399999999999</v>
      </c>
      <c r="K190" s="8">
        <v>-108.24</v>
      </c>
      <c r="L190" s="8"/>
      <c r="N190" s="8">
        <v>50640.17</v>
      </c>
      <c r="P190" s="8">
        <v>-305.87</v>
      </c>
      <c r="Q190" s="8">
        <v>-302.87</v>
      </c>
      <c r="U190" s="8">
        <v>50031.43</v>
      </c>
      <c r="V190" s="1">
        <f>U190-P190-N190-Q190-R190+N190-I191-G191-F191-D190-E190-B190-K190-M190</f>
        <v>9.3081098384573124E-12</v>
      </c>
    </row>
    <row r="191" spans="1:22" x14ac:dyDescent="0.25">
      <c r="A191" t="s">
        <v>338</v>
      </c>
      <c r="B191" s="10">
        <v>15233.42</v>
      </c>
      <c r="E191" s="10">
        <v>306.28999999999996</v>
      </c>
      <c r="F191" s="8">
        <v>39464.589999999997</v>
      </c>
      <c r="G191" s="8">
        <v>-1099.6499999999999</v>
      </c>
      <c r="H191" s="8"/>
      <c r="I191" s="8">
        <v>203.29</v>
      </c>
      <c r="M191" s="28">
        <v>614.36</v>
      </c>
      <c r="N191" s="10">
        <v>47199.22</v>
      </c>
      <c r="O191" s="28"/>
      <c r="P191" s="10">
        <v>-1081.26</v>
      </c>
      <c r="U191" s="10">
        <v>46117.96</v>
      </c>
      <c r="V191" s="1">
        <f>U191-P191-N191-Q191-R191+N191-I192-G192-F192-D191-E191-B191-K191-M190</f>
        <v>-1.8189894035458565E-12</v>
      </c>
    </row>
    <row r="192" spans="1:22" x14ac:dyDescent="0.25">
      <c r="A192" t="s">
        <v>339</v>
      </c>
      <c r="B192" s="9">
        <v>9263.1</v>
      </c>
      <c r="C192" s="9"/>
      <c r="D192" s="9">
        <v>-383.98</v>
      </c>
      <c r="E192" s="9">
        <v>39.75</v>
      </c>
      <c r="F192" s="10">
        <v>27898.32</v>
      </c>
      <c r="G192" s="10">
        <v>-889.7700000000001</v>
      </c>
      <c r="H192" s="10"/>
      <c r="I192" s="10">
        <v>4650.96</v>
      </c>
      <c r="N192" s="9">
        <v>43825.95</v>
      </c>
      <c r="P192" s="9">
        <v>-968.76</v>
      </c>
      <c r="Q192" s="9">
        <v>1027.27</v>
      </c>
      <c r="U192" s="9">
        <v>43884.46</v>
      </c>
      <c r="V192" s="1">
        <f>U192-P192-N192-Q192-R192+N192-I193-G193-F193-D192-E192-B192-K192-M191</f>
        <v>2.3874235921539366E-12</v>
      </c>
    </row>
    <row r="193" spans="1:22" x14ac:dyDescent="0.25">
      <c r="A193" t="s">
        <v>340</v>
      </c>
      <c r="B193" s="2">
        <v>16642.309999999998</v>
      </c>
      <c r="E193" s="2">
        <v>48.63</v>
      </c>
      <c r="F193" s="9">
        <v>36902.36</v>
      </c>
      <c r="G193" s="9">
        <v>-2528.0700000000002</v>
      </c>
      <c r="H193" s="9"/>
      <c r="I193" s="9">
        <v>-81.569999999999993</v>
      </c>
      <c r="P193" s="2">
        <v>-617.27</v>
      </c>
    </row>
    <row r="194" spans="1:22" x14ac:dyDescent="0.25">
      <c r="A194" t="s">
        <v>341</v>
      </c>
      <c r="B194" s="2">
        <v>10895.92</v>
      </c>
      <c r="E194" s="2">
        <v>53.05</v>
      </c>
      <c r="F194" s="2">
        <v>37325.78</v>
      </c>
      <c r="G194" s="2">
        <v>-1625.21</v>
      </c>
      <c r="H194" s="2"/>
      <c r="I194" s="2">
        <v>217.45999999999998</v>
      </c>
      <c r="M194" s="22">
        <v>22452.17</v>
      </c>
      <c r="O194" s="22"/>
      <c r="P194" s="2">
        <v>-1091.68</v>
      </c>
      <c r="R194" s="2">
        <v>1608.57</v>
      </c>
      <c r="S194" s="2"/>
      <c r="T194" s="2"/>
    </row>
    <row r="195" spans="1:22" x14ac:dyDescent="0.25">
      <c r="A195" t="s">
        <v>342</v>
      </c>
      <c r="B195" s="2">
        <v>7747.26</v>
      </c>
      <c r="E195" s="2">
        <v>291.69</v>
      </c>
      <c r="N195" s="2">
        <v>150039.09</v>
      </c>
      <c r="P195" s="2">
        <v>-951.98</v>
      </c>
      <c r="U195" s="2">
        <v>148986.73000000001</v>
      </c>
      <c r="V195" s="1">
        <f>U195-P195-N195-Q195-R195+N195-I196-G196-F196-D195-E195-B195-M194-R194-R193-Q194-Q193-P193-P194-K195-K194-I194-G194-F194-E194-E193-B194-B193-M193-D193-D194-M195</f>
        <v>1.4551915228366852E-11</v>
      </c>
    </row>
    <row r="196" spans="1:22" x14ac:dyDescent="0.25">
      <c r="A196" t="s">
        <v>343</v>
      </c>
      <c r="B196" s="5">
        <v>14912.5</v>
      </c>
      <c r="E196" s="5">
        <v>33.03</v>
      </c>
      <c r="F196" s="2">
        <v>57322.020000000004</v>
      </c>
      <c r="G196" s="2">
        <v>-1331.99</v>
      </c>
      <c r="N196" s="5">
        <v>35634.89</v>
      </c>
      <c r="P196" s="5">
        <v>-857.65</v>
      </c>
      <c r="U196" s="5">
        <v>34777.24</v>
      </c>
      <c r="V196" s="1">
        <f>U196-P196-N196-Q196-R196+N196-I197-G197-F197-D196-E196-B196-K197-M196</f>
        <v>-1.8189894035458565E-12</v>
      </c>
    </row>
    <row r="197" spans="1:22" x14ac:dyDescent="0.25">
      <c r="A197" t="s">
        <v>344</v>
      </c>
      <c r="B197" s="4">
        <v>10999.939999999999</v>
      </c>
      <c r="F197" s="5">
        <v>21722.18</v>
      </c>
      <c r="G197" s="5">
        <v>-616.23</v>
      </c>
      <c r="H197" s="5"/>
      <c r="I197" s="5">
        <v>-416.59000000000003</v>
      </c>
      <c r="N197" s="4">
        <v>36639.17</v>
      </c>
      <c r="P197" s="4">
        <v>-644.92999999999995</v>
      </c>
      <c r="Q197" s="4">
        <v>-308.52</v>
      </c>
      <c r="U197" s="4">
        <v>35685.72</v>
      </c>
      <c r="V197" s="1">
        <f>U197-P197-N197-Q197-R197+N197-I198-G198-F198-D197-E197-B197-K198-M197</f>
        <v>-3.637978807091713E-12</v>
      </c>
    </row>
    <row r="198" spans="1:22" x14ac:dyDescent="0.25">
      <c r="A198" t="s">
        <v>345</v>
      </c>
      <c r="B198" s="6">
        <v>17461.900000000001</v>
      </c>
      <c r="E198" s="6">
        <v>356.15000000000003</v>
      </c>
      <c r="F198" s="4">
        <v>35678.950000000004</v>
      </c>
      <c r="G198" s="4">
        <v>-10163.91</v>
      </c>
      <c r="H198" s="4"/>
      <c r="I198" s="4">
        <v>124.19</v>
      </c>
      <c r="N198" s="6">
        <v>53228.9</v>
      </c>
      <c r="P198" s="6">
        <v>-727.49</v>
      </c>
      <c r="Q198" s="6">
        <v>-861.62</v>
      </c>
      <c r="U198" s="6">
        <v>51639.79</v>
      </c>
      <c r="V198" s="1">
        <f>U198-P198-N198-Q198-R198+N198-I199-G199-F199-D198-E198-B198-K199-M198</f>
        <v>0</v>
      </c>
    </row>
    <row r="199" spans="1:22" x14ac:dyDescent="0.25">
      <c r="A199" t="s">
        <v>346</v>
      </c>
      <c r="B199" s="7">
        <v>16058.84</v>
      </c>
      <c r="E199" s="7">
        <v>20.27</v>
      </c>
      <c r="F199" s="6">
        <v>37301.619999999995</v>
      </c>
      <c r="G199" s="6">
        <v>-1217.27</v>
      </c>
      <c r="H199" s="6"/>
      <c r="I199" s="6">
        <v>-673.5</v>
      </c>
      <c r="N199" s="7">
        <v>49425.75</v>
      </c>
      <c r="P199" s="7">
        <v>-1782.46</v>
      </c>
      <c r="Q199" s="7">
        <v>-29.89</v>
      </c>
      <c r="U199" s="7">
        <v>47613.4</v>
      </c>
      <c r="V199" s="1">
        <f>U199-P199-N199-Q199-R199+N199-I200-G200-F200-D199-E199-B199-K200-M199</f>
        <v>-7.2759576141834259E-12</v>
      </c>
    </row>
    <row r="200" spans="1:22" x14ac:dyDescent="0.25">
      <c r="A200" t="s">
        <v>347</v>
      </c>
      <c r="B200" s="8">
        <v>14652.17</v>
      </c>
      <c r="E200" s="8">
        <v>4.9899999999999993</v>
      </c>
      <c r="F200" s="7">
        <v>34394.710000000006</v>
      </c>
      <c r="G200" s="7">
        <v>-1272.33</v>
      </c>
      <c r="H200" s="7"/>
      <c r="I200" s="7">
        <v>224.26000000000002</v>
      </c>
      <c r="P200" s="8">
        <v>-1746.98</v>
      </c>
      <c r="Q200" s="8">
        <v>-332.8</v>
      </c>
    </row>
    <row r="201" spans="1:22" x14ac:dyDescent="0.25">
      <c r="A201" t="s">
        <v>348</v>
      </c>
      <c r="B201" s="8">
        <v>12794.630000000001</v>
      </c>
      <c r="F201" s="8">
        <v>37633.880000000005</v>
      </c>
      <c r="G201" s="8">
        <v>-3569.76</v>
      </c>
      <c r="H201" s="8"/>
      <c r="I201" s="8">
        <v>-105.84000000000002</v>
      </c>
      <c r="M201" s="8">
        <v>14068.68</v>
      </c>
      <c r="O201" s="8"/>
      <c r="P201" s="8">
        <v>-810.2</v>
      </c>
      <c r="Q201" s="8">
        <v>-80.680000000000007</v>
      </c>
      <c r="R201" s="8">
        <v>2155.31</v>
      </c>
      <c r="S201" s="8"/>
      <c r="T201" s="8"/>
    </row>
    <row r="202" spans="1:22" x14ac:dyDescent="0.25">
      <c r="A202" t="s">
        <v>349</v>
      </c>
      <c r="B202" s="8">
        <v>12403.08</v>
      </c>
      <c r="P202" s="8">
        <v>-523.37</v>
      </c>
    </row>
    <row r="203" spans="1:22" x14ac:dyDescent="0.25">
      <c r="A203" t="s">
        <v>350</v>
      </c>
      <c r="B203" s="8">
        <v>12090.019999999999</v>
      </c>
      <c r="E203" s="8">
        <v>415.12</v>
      </c>
      <c r="F203" s="8">
        <v>42818.350000000006</v>
      </c>
      <c r="G203" s="8">
        <v>-1625.31</v>
      </c>
      <c r="H203" s="8"/>
      <c r="I203" s="8">
        <v>-288.27999999999997</v>
      </c>
      <c r="N203" s="8">
        <v>169312.22</v>
      </c>
      <c r="P203" s="8">
        <v>-224.8</v>
      </c>
      <c r="U203" s="8">
        <v>167748.70000000001</v>
      </c>
      <c r="V203" s="1">
        <f>U203-P203-N203-Q203-R203+N203-I204-G204-F204-D203-E203-B203-M202-R202-R201-Q202-Q201-P201-P202-K203-K202-I202-G202-F202-E202-E201-B202-B201-M201-D201-D202-M203-I201-G201-F201-E200-B200-P200-Q200-F203-G203-I203</f>
        <v>-2.5693225325085223E-11</v>
      </c>
    </row>
    <row r="204" spans="1:22" x14ac:dyDescent="0.25">
      <c r="A204" t="s">
        <v>351</v>
      </c>
      <c r="B204" s="10">
        <v>9862.32</v>
      </c>
      <c r="C204" s="10">
        <v>-322.84999999999997</v>
      </c>
      <c r="E204" s="10">
        <v>3.41</v>
      </c>
      <c r="F204" s="8">
        <v>29397.55</v>
      </c>
      <c r="G204" s="8">
        <v>-583.4</v>
      </c>
      <c r="H204" s="8"/>
      <c r="I204" s="8">
        <v>-793.66</v>
      </c>
      <c r="N204" s="10">
        <v>44859.1</v>
      </c>
      <c r="P204" s="10">
        <v>-577.05999999999995</v>
      </c>
      <c r="U204" s="10">
        <v>44282.04</v>
      </c>
      <c r="V204" s="1">
        <f>U204-P204-N204-Q204-R204+N204-I205-G205-F205-C204-E204-B204-K205-M204-H205-D204</f>
        <v>1.0800249583553523E-12</v>
      </c>
    </row>
    <row r="205" spans="1:22" x14ac:dyDescent="0.25">
      <c r="A205" t="s">
        <v>352</v>
      </c>
      <c r="B205" s="9">
        <v>9964.27</v>
      </c>
      <c r="E205" s="9">
        <v>53.16</v>
      </c>
      <c r="F205" s="10">
        <v>37037.74</v>
      </c>
      <c r="G205" s="10">
        <v>-1608.27</v>
      </c>
      <c r="H205" s="10">
        <v>-162.44999999999999</v>
      </c>
      <c r="I205" s="10">
        <v>49.2</v>
      </c>
      <c r="N205" s="9">
        <v>55775.76</v>
      </c>
      <c r="P205" s="9">
        <v>-287.12</v>
      </c>
      <c r="U205" s="9">
        <v>55488.639999999999</v>
      </c>
      <c r="V205" s="1">
        <f>U205-P205-N205-Q205-R205+N205-I206-G206-F206-D205-E205-B205-K206-M205-H206-C205</f>
        <v>5.8211213627146208E-12</v>
      </c>
    </row>
    <row r="206" spans="1:22" x14ac:dyDescent="0.25">
      <c r="A206" t="s">
        <v>353</v>
      </c>
      <c r="B206" s="2">
        <v>15716.439999999999</v>
      </c>
      <c r="F206" s="9">
        <v>50471.37</v>
      </c>
      <c r="G206" s="9">
        <v>-4714.7700000000004</v>
      </c>
      <c r="H206" s="9">
        <v>-8.15</v>
      </c>
      <c r="I206" s="9">
        <v>9.8800000000000008</v>
      </c>
      <c r="N206" s="2">
        <v>52883.56</v>
      </c>
      <c r="P206" s="2">
        <v>-190.88</v>
      </c>
      <c r="Q206" s="2">
        <v>-30.3</v>
      </c>
      <c r="U206" s="2">
        <v>52662.38</v>
      </c>
      <c r="V206" s="1">
        <f>U206-P206-N206-Q206-R206+N206-I207-G207-F207-D206-E206-B206-K207-M206-H207-C206</f>
        <v>3.979039320256561E-13</v>
      </c>
    </row>
    <row r="207" spans="1:22" x14ac:dyDescent="0.25">
      <c r="A207" t="s">
        <v>354</v>
      </c>
      <c r="B207" s="5">
        <v>12884.87</v>
      </c>
      <c r="C207" s="5">
        <v>-1619.98</v>
      </c>
      <c r="E207" s="5">
        <v>427.16</v>
      </c>
      <c r="F207" s="2">
        <v>40575.17</v>
      </c>
      <c r="G207" s="2">
        <v>-3106.0699999999997</v>
      </c>
      <c r="H207" s="2">
        <v>-301.97999999999996</v>
      </c>
      <c r="P207" s="5">
        <v>-525.86</v>
      </c>
      <c r="Q207" s="5">
        <v>-243.53</v>
      </c>
    </row>
    <row r="208" spans="1:22" x14ac:dyDescent="0.25">
      <c r="A208" t="s">
        <v>355</v>
      </c>
      <c r="B208" s="5">
        <v>11265.82</v>
      </c>
      <c r="E208" s="5">
        <v>131.17000000000002</v>
      </c>
      <c r="F208" s="5">
        <v>37620.740000000005</v>
      </c>
      <c r="G208" s="5">
        <v>-1467.05</v>
      </c>
      <c r="H208" s="5">
        <v>-753.8</v>
      </c>
      <c r="M208" s="21">
        <v>35657.599999999999</v>
      </c>
      <c r="O208" s="21"/>
      <c r="P208" s="5">
        <v>-765.89</v>
      </c>
      <c r="R208" s="5">
        <v>7530.75</v>
      </c>
      <c r="S208" s="5"/>
      <c r="T208" s="5"/>
    </row>
    <row r="209" spans="1:22" x14ac:dyDescent="0.25">
      <c r="A209" t="s">
        <v>356</v>
      </c>
      <c r="B209" s="5">
        <v>8749.48</v>
      </c>
      <c r="N209" s="5">
        <v>151537.07</v>
      </c>
      <c r="P209" s="5">
        <v>-224.07</v>
      </c>
      <c r="Q209" s="5">
        <v>-229.64</v>
      </c>
      <c r="U209" s="5">
        <v>157078.82999999999</v>
      </c>
      <c r="V209" s="1">
        <f>U209-P209-N209-Q209-R209+N209-I210-G210-F210-D209-E209-B209-M208-R208-R207-Q208-Q207-P207-P208-K209-K208-I208-G208-F208-E208-E207-B208-B207-M207-D207-D208-M209-H208-C207</f>
        <v>1.3869794202037156E-11</v>
      </c>
    </row>
    <row r="210" spans="1:22" x14ac:dyDescent="0.25">
      <c r="A210" t="s">
        <v>357</v>
      </c>
      <c r="B210" s="4">
        <v>17107.079999999998</v>
      </c>
      <c r="D210" s="4">
        <v>194.77</v>
      </c>
      <c r="E210" s="4">
        <v>44.82</v>
      </c>
      <c r="F210" s="5">
        <v>50064.77</v>
      </c>
      <c r="G210" s="5">
        <v>-1423.71</v>
      </c>
      <c r="N210" s="4">
        <v>56938.7</v>
      </c>
      <c r="P210" s="4">
        <v>-588.57000000000005</v>
      </c>
      <c r="U210" s="4">
        <v>56350.13</v>
      </c>
      <c r="V210" s="1">
        <f>U210-P210-N210-Q210-R210+N210-I211-G211-F211-D210-E210-B210-K211-M210-H211-C210</f>
        <v>-5.2295945351943374E-12</v>
      </c>
    </row>
    <row r="211" spans="1:22" x14ac:dyDescent="0.25">
      <c r="A211" t="s">
        <v>358</v>
      </c>
      <c r="B211" s="6">
        <v>12982.789999999999</v>
      </c>
      <c r="D211" s="6">
        <v>143.29</v>
      </c>
      <c r="E211" s="6">
        <v>123.33999999999999</v>
      </c>
      <c r="F211" s="4">
        <v>41309.82</v>
      </c>
      <c r="G211" s="4">
        <v>-1440.42</v>
      </c>
      <c r="H211" s="4">
        <v>-286.49</v>
      </c>
      <c r="I211" s="4">
        <v>9.120000000000001</v>
      </c>
      <c r="N211" s="6">
        <v>48252.79</v>
      </c>
      <c r="P211" s="6">
        <v>-154.19</v>
      </c>
      <c r="R211" s="6">
        <v>0.08</v>
      </c>
      <c r="S211" s="6"/>
      <c r="T211" s="6"/>
      <c r="U211" s="6">
        <v>48098.68</v>
      </c>
      <c r="V211" s="1">
        <f>U211-P211-N211-Q211-R211+N211-I212-G212-F212-D211-E211-B211-K212-M211-H212-C211</f>
        <v>2.2595258997171186E-12</v>
      </c>
    </row>
    <row r="212" spans="1:22" x14ac:dyDescent="0.25">
      <c r="A212" t="s">
        <v>359</v>
      </c>
      <c r="B212" s="31">
        <v>12674.94</v>
      </c>
      <c r="E212" s="31">
        <v>435.95</v>
      </c>
      <c r="F212" s="35">
        <v>36777.5</v>
      </c>
      <c r="G212" s="35">
        <v>-1705.6499999999999</v>
      </c>
      <c r="H212" s="35">
        <v>-68.48</v>
      </c>
      <c r="N212" s="31">
        <v>54972.46</v>
      </c>
      <c r="P212" s="36">
        <v>-405.68</v>
      </c>
      <c r="U212" s="31">
        <v>54566.78</v>
      </c>
      <c r="V212" s="1">
        <f>U212-P212-N212-Q212-R212+N212-I213-G213-F213-D212-E212-B212-K213-M212-H213-C212</f>
        <v>2.1316282072803006E-13</v>
      </c>
    </row>
    <row r="213" spans="1:22" x14ac:dyDescent="0.25">
      <c r="A213" t="s">
        <v>360</v>
      </c>
      <c r="B213" s="30">
        <v>13975.25</v>
      </c>
      <c r="E213" s="30">
        <v>15.64</v>
      </c>
      <c r="F213" s="31">
        <v>43664.479999999996</v>
      </c>
      <c r="G213" s="31">
        <v>-1740.5600000000002</v>
      </c>
      <c r="H213" s="31">
        <v>-76.739999999999995</v>
      </c>
      <c r="I213" s="31">
        <v>14.389999999999999</v>
      </c>
      <c r="N213" s="30">
        <v>44786.63</v>
      </c>
      <c r="P213" s="30">
        <v>-626.4</v>
      </c>
      <c r="U213" s="30">
        <v>44160.23</v>
      </c>
      <c r="V213" s="1">
        <f>U213-P213-N213-Q213-R213+N213-I214-G214-F214-D213-E213-B213-K214-M213-H214-C213</f>
        <v>2.6219026949547697E-12</v>
      </c>
    </row>
    <row r="214" spans="1:22" x14ac:dyDescent="0.25">
      <c r="A214" t="s">
        <v>361</v>
      </c>
      <c r="B214" s="11">
        <v>16847.88</v>
      </c>
      <c r="E214" s="11">
        <v>301.81</v>
      </c>
      <c r="F214" s="30">
        <v>33479.950000000004</v>
      </c>
      <c r="G214" s="30">
        <v>-2659.96</v>
      </c>
      <c r="H214" s="30">
        <v>-59.63</v>
      </c>
      <c r="I214" s="30">
        <v>35.380000000000003</v>
      </c>
      <c r="M214" s="11">
        <v>7697.26</v>
      </c>
      <c r="O214" s="11"/>
      <c r="P214" s="11">
        <v>-1390.02</v>
      </c>
      <c r="Q214" s="11">
        <v>-87.3</v>
      </c>
      <c r="R214" s="11">
        <v>1416.01</v>
      </c>
      <c r="S214" s="11"/>
      <c r="T214" s="11"/>
    </row>
    <row r="215" spans="1:22" x14ac:dyDescent="0.25">
      <c r="A215" t="s">
        <v>362</v>
      </c>
      <c r="B215" s="11">
        <v>11971.269999999999</v>
      </c>
      <c r="E215" s="11">
        <v>105.75</v>
      </c>
      <c r="F215" s="11">
        <v>34592.380000000005</v>
      </c>
      <c r="G215" s="11">
        <v>-1734.8</v>
      </c>
      <c r="H215" s="11">
        <v>-264.23</v>
      </c>
      <c r="I215" s="11">
        <v>43.6</v>
      </c>
      <c r="M215" s="11">
        <v>16764.72</v>
      </c>
      <c r="O215" s="11"/>
      <c r="P215" s="11">
        <v>-1320.98</v>
      </c>
      <c r="R215" s="11">
        <v>2773.47</v>
      </c>
      <c r="S215" s="11"/>
      <c r="T215" s="11"/>
    </row>
    <row r="216" spans="1:22" x14ac:dyDescent="0.25">
      <c r="A216" t="s">
        <v>363</v>
      </c>
      <c r="B216" s="11">
        <v>9799.41</v>
      </c>
      <c r="E216" s="11">
        <v>92.29</v>
      </c>
      <c r="N216" s="11">
        <v>153681.85999999999</v>
      </c>
      <c r="U216" s="11">
        <v>155073.04</v>
      </c>
      <c r="V216" s="3">
        <f>U216-P216-N216-Q216-R216+N216-I217-G217-F217-D216-E216-B216-M215-R215-R214-Q215-Q214-P214-P215-K216-K215-I215-G215-F215-E215-E214-B215-B214-M214-D214-D215-M216-H215-C214</f>
        <v>2.4101609596982598E-11</v>
      </c>
    </row>
    <row r="217" spans="1:22" x14ac:dyDescent="0.25">
      <c r="A217" t="s">
        <v>364</v>
      </c>
      <c r="B217" s="32">
        <v>15358.17</v>
      </c>
      <c r="E217" s="32">
        <v>68.36</v>
      </c>
      <c r="F217" s="11">
        <v>58220.829999999994</v>
      </c>
      <c r="G217" s="11">
        <v>-1309.78</v>
      </c>
      <c r="I217" s="11">
        <v>553.47</v>
      </c>
      <c r="N217" s="32">
        <v>59961.23</v>
      </c>
      <c r="P217" s="32">
        <v>-168.52</v>
      </c>
      <c r="U217" s="32">
        <v>59792.71</v>
      </c>
      <c r="V217" s="1">
        <f>U217-P217-N217-Q217-R217+N217-I218-G218-F218-D217-E217-B217-K218-M217-H218-C217</f>
        <v>-1.2562395568238571E-11</v>
      </c>
    </row>
    <row r="218" spans="1:22" x14ac:dyDescent="0.25">
      <c r="A218" t="s">
        <v>365</v>
      </c>
      <c r="B218" s="13">
        <v>15222.14</v>
      </c>
      <c r="D218" s="13">
        <v>144.79</v>
      </c>
      <c r="E218" s="13">
        <v>25.630000000000003</v>
      </c>
      <c r="F218" s="32">
        <v>50294.15</v>
      </c>
      <c r="G218" s="32">
        <v>-6159.34</v>
      </c>
      <c r="H218" s="32">
        <v>-128.20000000000002</v>
      </c>
      <c r="I218" s="32">
        <v>488.8</v>
      </c>
      <c r="K218" s="32">
        <v>39.29</v>
      </c>
      <c r="L218" s="32"/>
      <c r="N218" s="13">
        <v>51474.73</v>
      </c>
      <c r="P218" s="13">
        <v>-738.81</v>
      </c>
      <c r="U218" s="13">
        <v>50735.92</v>
      </c>
      <c r="V218" s="1">
        <f>U218-P218-N218-Q218-R218+N218-I219-G219-F219-D218-E218-B218-K219-M218-H219-C218</f>
        <v>-3.5811353882309049E-12</v>
      </c>
    </row>
    <row r="219" spans="1:22" x14ac:dyDescent="0.25">
      <c r="A219" t="s">
        <v>366</v>
      </c>
      <c r="B219" s="33">
        <v>12826.939999999999</v>
      </c>
      <c r="F219" s="13">
        <v>37433.72</v>
      </c>
      <c r="G219" s="13">
        <v>-1875.4299999999998</v>
      </c>
      <c r="H219" s="13">
        <v>-145.29</v>
      </c>
      <c r="I219" s="13">
        <v>708.45999999999992</v>
      </c>
      <c r="K219" s="13">
        <v>-39.29</v>
      </c>
      <c r="L219" s="13"/>
      <c r="N219" s="33">
        <v>57332.51</v>
      </c>
      <c r="P219" s="33">
        <v>-741.37</v>
      </c>
      <c r="U219" s="33">
        <v>56591.14</v>
      </c>
      <c r="V219" s="1">
        <f>U219-P219-N219-Q219-R219+N219-I220-G220-F220-D219-E219-B219-K220-M219-H220-C219</f>
        <v>3.637978807091713E-12</v>
      </c>
    </row>
    <row r="220" spans="1:22" x14ac:dyDescent="0.25">
      <c r="A220" t="s">
        <v>367</v>
      </c>
      <c r="B220" s="6">
        <v>17324.13</v>
      </c>
      <c r="E220" s="6">
        <v>151.98000000000002</v>
      </c>
      <c r="F220" s="33">
        <v>46247.96</v>
      </c>
      <c r="G220" s="33">
        <v>-1887.96</v>
      </c>
      <c r="H220" s="33">
        <v>-8.25</v>
      </c>
      <c r="I220" s="33">
        <v>153.82</v>
      </c>
      <c r="N220" s="6">
        <v>56388.69</v>
      </c>
      <c r="P220" s="6">
        <v>-215.73</v>
      </c>
      <c r="U220" s="6">
        <v>56172.959999999999</v>
      </c>
      <c r="V220" s="1">
        <f>U220-P220-N220-Q220-R220+N220-I221-G221-F221-D220-E220-B220-K221-M220-H221-C220</f>
        <v>4.0358827391173691E-12</v>
      </c>
    </row>
    <row r="221" spans="1:22" x14ac:dyDescent="0.25">
      <c r="A221" t="s">
        <v>368</v>
      </c>
      <c r="B221" s="34">
        <v>12549.230000000001</v>
      </c>
      <c r="C221" s="34"/>
      <c r="D221" s="34"/>
      <c r="E221" s="34">
        <v>49.7</v>
      </c>
      <c r="F221" s="6">
        <v>40206.81</v>
      </c>
      <c r="G221" s="6">
        <v>-829.51</v>
      </c>
      <c r="H221" s="6">
        <v>-487.47999999999996</v>
      </c>
      <c r="I221" s="6">
        <v>22.759999999999998</v>
      </c>
      <c r="P221" s="34">
        <v>-148.30000000000001</v>
      </c>
      <c r="V221" s="3"/>
    </row>
    <row r="222" spans="1:22" x14ac:dyDescent="0.25">
      <c r="A222" t="s">
        <v>369</v>
      </c>
      <c r="B222" s="34">
        <v>13494.09</v>
      </c>
      <c r="C222" s="34"/>
      <c r="D222" s="34"/>
      <c r="E222" s="34">
        <v>56.33</v>
      </c>
      <c r="F222" s="34">
        <v>28759.08</v>
      </c>
      <c r="G222" s="34">
        <v>-1588.01</v>
      </c>
      <c r="H222" s="34">
        <v>-20.29</v>
      </c>
      <c r="I222" s="34">
        <v>79.089999999999989</v>
      </c>
      <c r="M222" s="34">
        <v>10497.720000000003</v>
      </c>
      <c r="O222" s="34"/>
      <c r="P222" s="34">
        <v>-678.75</v>
      </c>
      <c r="R222" s="34">
        <v>4966.0499999999993</v>
      </c>
      <c r="S222" s="34"/>
      <c r="T222" s="34"/>
      <c r="V222" s="3"/>
    </row>
    <row r="223" spans="1:22" x14ac:dyDescent="0.25">
      <c r="A223" t="s">
        <v>370</v>
      </c>
      <c r="B223" s="34">
        <v>10701.130000000001</v>
      </c>
      <c r="C223" s="34"/>
      <c r="D223" s="34"/>
      <c r="E223" s="34">
        <v>24.689999999999998</v>
      </c>
      <c r="N223" s="34">
        <v>119309.17</v>
      </c>
      <c r="P223" s="34">
        <v>-208.82</v>
      </c>
      <c r="Q223" s="34">
        <v>-38.21</v>
      </c>
      <c r="U223" s="34">
        <v>123201.14</v>
      </c>
      <c r="V223" s="3">
        <f>U223-P223-N223-Q223-R223+N223-I224-G224-F224-D223-E223-B223-M222-R222-R221-Q222-Q221-P221-P222-K223-K222-I222-G222-F222-E222-E221-B222-B221-M221-D221-D222-M223-H222-C221</f>
        <v>9.4502183856093325E-13</v>
      </c>
    </row>
    <row r="224" spans="1:22" x14ac:dyDescent="0.25">
      <c r="A224" t="s">
        <v>371</v>
      </c>
      <c r="B224" s="9">
        <v>15517.380000000001</v>
      </c>
      <c r="C224" s="9">
        <v>-93.94</v>
      </c>
      <c r="E224" s="9">
        <v>310.37</v>
      </c>
      <c r="F224" s="34">
        <v>46127.35</v>
      </c>
      <c r="G224" s="34">
        <v>-1618.6399999999999</v>
      </c>
      <c r="H224" s="34"/>
      <c r="I224" s="34">
        <v>197.7</v>
      </c>
      <c r="N224" s="9">
        <v>48712.62</v>
      </c>
      <c r="P224" s="9">
        <v>-84.47</v>
      </c>
      <c r="U224" s="9">
        <v>48628.15</v>
      </c>
      <c r="V224" s="1">
        <f>U224-P224-N224-Q224-R224+N224-I225-G225-F225-D224-E224-B224-K225-M224-H225-C224</f>
        <v>-2.1174173525650986E-12</v>
      </c>
    </row>
    <row r="225" spans="1:22" x14ac:dyDescent="0.25">
      <c r="A225" t="s">
        <v>372</v>
      </c>
      <c r="B225" s="2">
        <v>12469.48</v>
      </c>
      <c r="E225" s="2">
        <v>19.34</v>
      </c>
      <c r="F225" s="9">
        <v>34071.68</v>
      </c>
      <c r="G225" s="9">
        <v>-1008.63</v>
      </c>
      <c r="H225" s="9">
        <v>-84.24</v>
      </c>
      <c r="N225" s="2">
        <v>42806.43</v>
      </c>
      <c r="P225" s="2">
        <v>-933.37</v>
      </c>
      <c r="U225" s="2">
        <v>41873.06</v>
      </c>
      <c r="V225" s="1">
        <f>U225-P225-N225-Q225-R225+N225-I226-G226-F226-D225-E225-B225-K226-M225-H226-C225</f>
        <v>2.3288038164537284E-12</v>
      </c>
    </row>
    <row r="226" spans="1:22" x14ac:dyDescent="0.25">
      <c r="A226" t="s">
        <v>373</v>
      </c>
      <c r="B226" s="38">
        <v>27628.39</v>
      </c>
      <c r="C226" s="38">
        <v>-183.85</v>
      </c>
      <c r="E226" s="38">
        <v>42.49</v>
      </c>
      <c r="F226" s="2">
        <v>31577.43</v>
      </c>
      <c r="G226" s="2">
        <v>-1286.93</v>
      </c>
      <c r="H226" s="2">
        <v>-13.56</v>
      </c>
      <c r="I226" s="2">
        <v>40.67</v>
      </c>
      <c r="N226" s="38">
        <v>58332.24</v>
      </c>
      <c r="P226" s="38">
        <v>-485.66</v>
      </c>
      <c r="U226" s="38">
        <v>57846.58</v>
      </c>
      <c r="V226" s="1">
        <f>U226-P226-N226-Q226-R226+N226-I227-G227-F227-D226-E226-B226-K227-M226-H227-C226</f>
        <v>4.8032688937382773E-12</v>
      </c>
    </row>
    <row r="227" spans="1:22" x14ac:dyDescent="0.25">
      <c r="A227" t="s">
        <v>374</v>
      </c>
      <c r="B227" s="39">
        <v>35790.879999999997</v>
      </c>
      <c r="D227" s="39">
        <v>562.74000000000876</v>
      </c>
      <c r="E227" s="39">
        <v>9</v>
      </c>
      <c r="F227" s="38">
        <v>32622.11</v>
      </c>
      <c r="G227" s="38">
        <v>-2280.3000000000002</v>
      </c>
      <c r="H227" s="38">
        <v>-79.930000000000007</v>
      </c>
      <c r="I227" s="38">
        <v>583.33000000000004</v>
      </c>
      <c r="N227" s="39">
        <v>72774.679999999993</v>
      </c>
      <c r="P227" s="39">
        <v>-685.44</v>
      </c>
      <c r="U227" s="39">
        <v>72089.240000000005</v>
      </c>
      <c r="V227" s="1">
        <f>U227-P227-N227-Q227-R227+N227-I228-G228-F228-D227-E227-B227-K228-M227-H228-C227</f>
        <v>4.6469494918710552E-12</v>
      </c>
    </row>
    <row r="228" spans="1:22" x14ac:dyDescent="0.25">
      <c r="A228" t="s">
        <v>375</v>
      </c>
      <c r="B228" s="40">
        <v>22148.899999999998</v>
      </c>
      <c r="F228" s="39">
        <v>38055.68</v>
      </c>
      <c r="G228" s="39">
        <v>-1580.5</v>
      </c>
      <c r="H228" s="39">
        <v>-63.11999999999999</v>
      </c>
      <c r="P228" s="41">
        <v>-830.94</v>
      </c>
    </row>
    <row r="229" spans="1:22" x14ac:dyDescent="0.25">
      <c r="A229" t="s">
        <v>376</v>
      </c>
      <c r="B229" s="41">
        <v>16975.96</v>
      </c>
      <c r="E229" s="41">
        <v>90.46</v>
      </c>
      <c r="F229" s="41">
        <v>54567.01</v>
      </c>
      <c r="G229" s="41">
        <v>-698.87</v>
      </c>
      <c r="H229" s="41">
        <v>-205.41</v>
      </c>
      <c r="I229" s="41">
        <v>60.879999999999995</v>
      </c>
      <c r="K229" s="41">
        <v>238.04</v>
      </c>
      <c r="L229" s="41"/>
      <c r="M229" s="41">
        <v>427.14</v>
      </c>
      <c r="O229" s="41"/>
      <c r="P229" s="41">
        <v>-528.6</v>
      </c>
      <c r="R229" s="41">
        <v>4888.3099999999995</v>
      </c>
      <c r="S229" s="41"/>
      <c r="T229" s="41"/>
    </row>
    <row r="230" spans="1:22" x14ac:dyDescent="0.25">
      <c r="A230" t="s">
        <v>377</v>
      </c>
      <c r="B230" s="41">
        <v>10311.290000000001</v>
      </c>
      <c r="E230" s="41">
        <v>65.39</v>
      </c>
      <c r="N230" s="41">
        <v>150631.56</v>
      </c>
      <c r="P230" s="41">
        <v>-228.05</v>
      </c>
      <c r="Q230" s="41">
        <v>-71.73</v>
      </c>
      <c r="U230" s="41">
        <v>153860.54999999999</v>
      </c>
      <c r="V230" s="3">
        <f>U230-P230-N230-Q230-R230+N230-I231-G231-F231-D230-E230-B230-M229-R229-R228-Q229-Q228-P228-P229-K230-K229-I229-G229-F229-E229-E228-B229-B228-M228-D228-D229-M230-H229-C228-H231-K231</f>
        <v>-0.50000000000160227</v>
      </c>
    </row>
    <row r="231" spans="1:22" x14ac:dyDescent="0.25">
      <c r="A231" t="s">
        <v>378</v>
      </c>
      <c r="B231" s="42">
        <v>9895.5399999999991</v>
      </c>
      <c r="C231" s="17"/>
      <c r="D231" s="42">
        <v>90.58</v>
      </c>
      <c r="F231" s="41">
        <v>52943.72</v>
      </c>
      <c r="G231" s="41">
        <v>-6294.62</v>
      </c>
      <c r="H231" s="41">
        <v>-27.57</v>
      </c>
      <c r="K231" s="41">
        <v>29.74</v>
      </c>
      <c r="L231" s="41"/>
      <c r="N231" s="42">
        <v>31337.08</v>
      </c>
      <c r="P231" s="42">
        <v>-303.48</v>
      </c>
      <c r="Q231" s="42">
        <v>-52.93</v>
      </c>
      <c r="U231" s="42">
        <v>30980.67</v>
      </c>
      <c r="V231" s="1">
        <f>U231-P231-N231-Q231-R231+N231-I232-G232-F232-D231-E231-B231-K232-M231-H232-C231</f>
        <v>-8.6686213762732223E-13</v>
      </c>
    </row>
    <row r="232" spans="1:22" x14ac:dyDescent="0.25">
      <c r="A232" t="s">
        <v>379</v>
      </c>
      <c r="B232" s="31">
        <v>10154.58</v>
      </c>
      <c r="C232" s="17"/>
      <c r="E232" s="31">
        <v>131.1</v>
      </c>
      <c r="F232" s="42">
        <v>23887.98</v>
      </c>
      <c r="G232" s="42">
        <v>-3392.63</v>
      </c>
      <c r="H232" s="42">
        <v>-99.36</v>
      </c>
      <c r="I232" s="42">
        <v>930.65</v>
      </c>
      <c r="K232" s="42">
        <v>24.32</v>
      </c>
      <c r="L232" s="42"/>
      <c r="N232" s="31">
        <v>40444.11</v>
      </c>
      <c r="P232" s="31">
        <v>-499.79</v>
      </c>
      <c r="U232" s="31">
        <v>39944.32</v>
      </c>
      <c r="V232" s="1">
        <f>U232-P232-N232-Q232-R232+N232-I233-G233-F233-D232-E232-B232-K233-M232-H233-C232</f>
        <v>1.4779288903810084E-12</v>
      </c>
    </row>
    <row r="233" spans="1:22" x14ac:dyDescent="0.25">
      <c r="A233" t="s">
        <v>380</v>
      </c>
      <c r="B233" s="30">
        <v>11479.01</v>
      </c>
      <c r="F233" s="31">
        <v>31592</v>
      </c>
      <c r="G233" s="31">
        <v>-1629.9799999999998</v>
      </c>
      <c r="H233" s="31">
        <v>-292.10000000000002</v>
      </c>
      <c r="I233" s="31">
        <v>488.51000000000005</v>
      </c>
      <c r="N233" s="30">
        <v>37939.9</v>
      </c>
      <c r="P233" s="30">
        <v>-973.17</v>
      </c>
      <c r="U233" s="30">
        <v>36966.730000000003</v>
      </c>
      <c r="V233" s="1">
        <f>U233-P233-N233-Q233-R233+N233-I234-G234-F234-D233-E233-B233-K234-M233-H234-C233</f>
        <v>-3.993250174971763E-12</v>
      </c>
    </row>
    <row r="234" spans="1:22" x14ac:dyDescent="0.25">
      <c r="A234" t="s">
        <v>381</v>
      </c>
      <c r="B234" s="11">
        <v>15102</v>
      </c>
      <c r="C234" s="11">
        <v>-213.36</v>
      </c>
      <c r="E234" s="11">
        <v>7.65</v>
      </c>
      <c r="F234" s="30">
        <v>27749.64</v>
      </c>
      <c r="G234" s="30">
        <v>-1430.81</v>
      </c>
      <c r="H234" s="30">
        <v>-95.45</v>
      </c>
      <c r="I234" s="30">
        <v>187.66000000000003</v>
      </c>
      <c r="K234" s="30">
        <v>49.85</v>
      </c>
      <c r="L234" s="30"/>
      <c r="N234" s="11">
        <v>39366.61</v>
      </c>
      <c r="P234" s="11">
        <v>-161.49</v>
      </c>
      <c r="U234" s="11">
        <v>39205.120000000003</v>
      </c>
      <c r="V234" s="1">
        <f>U234-P234-N234-Q234-R234+N234-I235-G235-F235-D234-E234-B234-K235-M234-H235-C234</f>
        <v>2.7000623958883807E-12</v>
      </c>
    </row>
    <row r="235" spans="1:22" x14ac:dyDescent="0.25">
      <c r="A235" t="s">
        <v>382</v>
      </c>
      <c r="B235" s="43">
        <v>18017.120000000003</v>
      </c>
      <c r="C235" s="43">
        <v>-120.87</v>
      </c>
      <c r="F235" s="11">
        <v>29348.949999999997</v>
      </c>
      <c r="G235" s="11">
        <v>-4878.63</v>
      </c>
      <c r="I235" s="11">
        <v>49.849999999999994</v>
      </c>
      <c r="K235" s="11">
        <v>-49.85</v>
      </c>
      <c r="L235" s="11"/>
      <c r="P235" s="43">
        <v>-388.87</v>
      </c>
    </row>
    <row r="236" spans="1:22" x14ac:dyDescent="0.25">
      <c r="A236" t="s">
        <v>383</v>
      </c>
      <c r="B236" s="43">
        <v>15919.869999999999</v>
      </c>
      <c r="F236" s="43">
        <v>25892.82</v>
      </c>
      <c r="G236" s="43">
        <v>-1128.67</v>
      </c>
      <c r="H236" s="43">
        <v>-43.69</v>
      </c>
      <c r="I236" s="43">
        <v>157.44</v>
      </c>
      <c r="M236" s="43">
        <v>50985.530000000006</v>
      </c>
      <c r="O236" s="43"/>
      <c r="P236" s="43">
        <v>-424.27</v>
      </c>
      <c r="R236" s="43">
        <v>3966.31</v>
      </c>
      <c r="S236" s="43"/>
      <c r="T236" s="43"/>
    </row>
    <row r="237" spans="1:22" x14ac:dyDescent="0.25">
      <c r="A237" t="s">
        <v>1465</v>
      </c>
      <c r="B237" s="43">
        <v>12223.609999999999</v>
      </c>
      <c r="E237" s="43">
        <v>3.19</v>
      </c>
      <c r="N237" s="43">
        <v>146873.23000000001</v>
      </c>
      <c r="P237" s="43">
        <v>-331.63</v>
      </c>
      <c r="U237" s="43">
        <v>149694.76999999999</v>
      </c>
      <c r="V237" s="3">
        <f>U237-P237-N237-Q237-R237+N237-I238-G238-F238-D237-E237-B237-M236-R236-R235-Q236-Q235-P235-P236-K237-K236-I236-G236-F236-E236-E235-B236-B235-M235-D235-D236-M237-H236-C235-H238-K238</f>
        <v>-3.3253400033572689E-12</v>
      </c>
    </row>
    <row r="238" spans="1:22" x14ac:dyDescent="0.25">
      <c r="A238" t="s">
        <v>384</v>
      </c>
      <c r="B238" s="33">
        <v>10935.61</v>
      </c>
      <c r="C238" s="33">
        <v>-300.5</v>
      </c>
      <c r="D238" s="33">
        <v>213.61</v>
      </c>
      <c r="F238" s="43">
        <v>25769.399999999998</v>
      </c>
      <c r="G238" s="43">
        <v>-751.13</v>
      </c>
      <c r="H238" s="43">
        <v>-215.01000000000002</v>
      </c>
      <c r="I238" s="43">
        <v>163.62</v>
      </c>
      <c r="N238" s="33">
        <v>36047.94</v>
      </c>
      <c r="P238" s="33">
        <v>-256.12</v>
      </c>
      <c r="U238" s="33">
        <v>35791.82</v>
      </c>
      <c r="V238" s="1">
        <f>U238-P238-N238-Q238-R238+N238-I239-G239-F239-D238-E238-B238-K239-M238-H239-C238</f>
        <v>0</v>
      </c>
    </row>
    <row r="239" spans="1:22" x14ac:dyDescent="0.25">
      <c r="A239" t="s">
        <v>385</v>
      </c>
      <c r="B239" s="30">
        <v>17338.400000000001</v>
      </c>
      <c r="F239" s="33">
        <v>27734.61</v>
      </c>
      <c r="G239" s="33">
        <v>-2501.38</v>
      </c>
      <c r="H239" s="33">
        <v>-58.68</v>
      </c>
      <c r="I239" s="33">
        <v>24.669999999999998</v>
      </c>
      <c r="N239" s="30">
        <v>47784.54</v>
      </c>
      <c r="P239" s="30">
        <v>-267.55</v>
      </c>
      <c r="U239" s="30">
        <v>47516.99</v>
      </c>
      <c r="V239" s="1">
        <f>U239-P239-N239-Q239-R239+N239-I240-G240-F240-D239-E239-B239-K240-M239-H240-C239</f>
        <v>0</v>
      </c>
    </row>
    <row r="240" spans="1:22" x14ac:dyDescent="0.25">
      <c r="A240" t="s">
        <v>386</v>
      </c>
      <c r="B240" s="2">
        <v>16968.38</v>
      </c>
      <c r="F240" s="30">
        <v>33497.81</v>
      </c>
      <c r="G240" s="30">
        <v>-3194.85</v>
      </c>
      <c r="I240" s="30">
        <v>143.18</v>
      </c>
      <c r="N240" s="2">
        <v>29823.8</v>
      </c>
      <c r="P240" s="2">
        <v>-582.30999999999995</v>
      </c>
      <c r="U240" s="2">
        <v>29241.49</v>
      </c>
      <c r="V240" s="1">
        <f>U240-P240-N240-Q240-R240+N240-I241-G241-F241-D240-E240-B240-K241-M240-H241-C240</f>
        <v>-1.8758328224066645E-12</v>
      </c>
    </row>
    <row r="241" spans="1:22" x14ac:dyDescent="0.25">
      <c r="A241" t="s">
        <v>387</v>
      </c>
      <c r="B241" s="45">
        <v>9694.83</v>
      </c>
      <c r="C241" s="45">
        <v>-384.87</v>
      </c>
      <c r="F241" s="2">
        <v>17690.370000000003</v>
      </c>
      <c r="G241" s="2">
        <v>-4378.7700000000004</v>
      </c>
      <c r="H241" s="2">
        <v>-470.49</v>
      </c>
      <c r="I241" s="2">
        <v>6.4899999999999993</v>
      </c>
      <c r="K241" s="2">
        <v>7.82</v>
      </c>
      <c r="L241" s="2"/>
      <c r="N241" s="45">
        <v>26849.32</v>
      </c>
      <c r="P241" s="45">
        <v>-504.62</v>
      </c>
      <c r="U241" s="45">
        <v>26344.7</v>
      </c>
      <c r="V241" s="1">
        <f>U241-P241-N241-Q241-R241+N241-I242-G242-F242-D241-E241-B241-K242-M241-H242-C241</f>
        <v>1.9895196601282805E-12</v>
      </c>
    </row>
    <row r="242" spans="1:22" x14ac:dyDescent="0.25">
      <c r="A242" t="s">
        <v>388</v>
      </c>
      <c r="B242" s="38">
        <v>8940.7099999999991</v>
      </c>
      <c r="F242" s="45">
        <v>19512.55</v>
      </c>
      <c r="G242" s="45">
        <v>-1704.47</v>
      </c>
      <c r="H242" s="45">
        <v>-268.71999999999997</v>
      </c>
      <c r="I242" s="45">
        <v>7.82</v>
      </c>
      <c r="K242" s="45">
        <v>-7.82</v>
      </c>
      <c r="L242" s="45"/>
      <c r="P242" s="38">
        <v>-415.15</v>
      </c>
    </row>
    <row r="243" spans="1:22" x14ac:dyDescent="0.25">
      <c r="A243" t="s">
        <v>389</v>
      </c>
      <c r="B243" s="38">
        <v>9310.3799999999992</v>
      </c>
      <c r="F243" s="38">
        <v>19207.27</v>
      </c>
      <c r="G243" s="38">
        <v>-1546.0800000000002</v>
      </c>
      <c r="H243" s="38">
        <v>-4504.22</v>
      </c>
      <c r="I243" s="38">
        <v>1383.37</v>
      </c>
      <c r="M243" s="38">
        <v>23098.31</v>
      </c>
      <c r="O243" s="38"/>
      <c r="P243" s="38">
        <v>-648.23</v>
      </c>
      <c r="R243" s="38">
        <v>6517.74</v>
      </c>
      <c r="S243" s="38"/>
      <c r="T243" s="38"/>
    </row>
    <row r="244" spans="1:22" x14ac:dyDescent="0.25">
      <c r="A244" t="s">
        <v>390</v>
      </c>
      <c r="B244" s="38">
        <v>5484.8099999999995</v>
      </c>
      <c r="K244" s="38">
        <v>3.78</v>
      </c>
      <c r="L244" s="38"/>
      <c r="N244" s="38">
        <v>84790.73</v>
      </c>
      <c r="U244" s="38">
        <v>90245.09</v>
      </c>
      <c r="V244" s="3">
        <f>U244-P244-N244-Q244-R244+N244-I245-G245-F245-D244-E244-B244-M243-R243-R242-Q243-Q242-P242-P243-K244-K243-I243-G243-F243-E243-E242-B243-B242-M242-D242-D243-M244-H243-C242-H245-K245</f>
        <v>9.0949470177292824E-13</v>
      </c>
    </row>
    <row r="245" spans="1:22" x14ac:dyDescent="0.25">
      <c r="A245" t="s">
        <v>391</v>
      </c>
      <c r="B245" s="46">
        <v>6501.29</v>
      </c>
      <c r="D245" s="46">
        <v>1047.5999999999999</v>
      </c>
      <c r="F245" s="38">
        <v>24174.55</v>
      </c>
      <c r="G245" s="38">
        <v>-762.15000000000009</v>
      </c>
      <c r="N245" s="46">
        <v>20705.71</v>
      </c>
      <c r="P245" s="46">
        <v>-831.01</v>
      </c>
      <c r="U245" s="46">
        <v>19874.7</v>
      </c>
      <c r="V245" s="1">
        <f>U245-P245-N245-Q245-R245+N245-I246-G246-F246-D245-E245-B245-K246-M245-H246-C245</f>
        <v>-6.8212102632969618E-13</v>
      </c>
    </row>
    <row r="246" spans="1:22" x14ac:dyDescent="0.25">
      <c r="A246" t="s">
        <v>392</v>
      </c>
      <c r="B246" s="47">
        <v>7704.2599999999993</v>
      </c>
      <c r="F246" s="46">
        <v>16212.36</v>
      </c>
      <c r="G246" s="46">
        <v>-2421</v>
      </c>
      <c r="H246" s="46">
        <v>-634.54</v>
      </c>
      <c r="I246" s="46">
        <v>3.78</v>
      </c>
      <c r="K246" s="46">
        <v>-3.78</v>
      </c>
      <c r="L246" s="46"/>
      <c r="M246" s="47">
        <v>10396.030000000001</v>
      </c>
      <c r="N246" s="47">
        <v>40044.46</v>
      </c>
      <c r="O246" s="47"/>
      <c r="P246" s="47">
        <v>-253.55</v>
      </c>
      <c r="R246" s="47">
        <v>1406.79</v>
      </c>
      <c r="S246" s="47"/>
      <c r="T246" s="47"/>
      <c r="U246" s="47">
        <v>41197.699999999997</v>
      </c>
      <c r="V246" s="1">
        <f>U246-P246-N246-Q246-R246+N246-I247-G247-F247-D246-E246-B246-K247-M246-H247-C246</f>
        <v>-1.8189894035458565E-12</v>
      </c>
    </row>
    <row r="247" spans="1:22" x14ac:dyDescent="0.25">
      <c r="A247" t="s">
        <v>393</v>
      </c>
      <c r="B247" s="48">
        <v>6683.6299999999992</v>
      </c>
      <c r="D247" s="48">
        <v>384.87</v>
      </c>
      <c r="F247" s="47">
        <v>25571.09</v>
      </c>
      <c r="G247" s="47">
        <v>-3683.0699999999997</v>
      </c>
      <c r="I247" s="47">
        <v>56.150000000000006</v>
      </c>
      <c r="N247" s="48">
        <v>26652.55</v>
      </c>
      <c r="P247" s="48">
        <v>-471.34</v>
      </c>
      <c r="U247" s="48">
        <v>26181.21</v>
      </c>
      <c r="V247" s="1">
        <f>U247-P247-N247-Q247-R247+N247-I248-G248-F248-D247-E247-B247-K248-M247-H248-C247</f>
        <v>4.5474735088646412E-12</v>
      </c>
    </row>
    <row r="248" spans="1:22" x14ac:dyDescent="0.25">
      <c r="A248" t="s">
        <v>394</v>
      </c>
      <c r="B248" s="33">
        <v>1058.9000000000001</v>
      </c>
      <c r="F248" s="48">
        <v>20854.899999999998</v>
      </c>
      <c r="G248" s="48">
        <v>-1285.3600000000001</v>
      </c>
      <c r="I248" s="48">
        <v>14.51</v>
      </c>
      <c r="N248" s="33">
        <v>15594.5</v>
      </c>
      <c r="P248" s="33">
        <v>-427.58</v>
      </c>
      <c r="U248" s="33">
        <v>15166.92</v>
      </c>
      <c r="V248" s="1">
        <f>U248-P248-N248-Q248-R248+N248-I249-G249-F249-D248-E248-B248-K249-M248-H249-C248</f>
        <v>-4.5474735088646412E-13</v>
      </c>
    </row>
    <row r="249" spans="1:22" x14ac:dyDescent="0.25">
      <c r="A249" t="s">
        <v>395</v>
      </c>
      <c r="B249" s="8">
        <v>2796.6000000000004</v>
      </c>
      <c r="F249" s="33">
        <v>15262.210000000001</v>
      </c>
      <c r="G249" s="33">
        <v>-726.61</v>
      </c>
      <c r="P249" s="8">
        <v>-258.31</v>
      </c>
    </row>
    <row r="250" spans="1:22" x14ac:dyDescent="0.25">
      <c r="A250" t="s">
        <v>396</v>
      </c>
      <c r="B250" s="8">
        <v>1576.1699999999998</v>
      </c>
      <c r="F250" s="8">
        <v>12480.800000000001</v>
      </c>
      <c r="G250" s="8">
        <v>-248.11</v>
      </c>
      <c r="H250" s="8">
        <v>-1354.34</v>
      </c>
      <c r="M250" s="8">
        <v>13661.099999999989</v>
      </c>
      <c r="O250" s="8"/>
      <c r="P250" s="8">
        <v>-240</v>
      </c>
      <c r="R250" s="8">
        <v>3897.22</v>
      </c>
      <c r="S250" s="8"/>
      <c r="T250" s="8"/>
    </row>
    <row r="251" spans="1:22" x14ac:dyDescent="0.25">
      <c r="A251" t="s">
        <v>397</v>
      </c>
      <c r="B251" s="8">
        <v>953.99</v>
      </c>
      <c r="N251" s="8">
        <v>51706.9</v>
      </c>
      <c r="P251" s="8">
        <v>-19.02</v>
      </c>
      <c r="U251" s="8">
        <v>55086.79</v>
      </c>
      <c r="V251" s="3">
        <f>U251-P251-N251-Q251-R251+N251-I252-G252-F252-D251-E251-B251-M250-R250-R249-Q250-Q249-P249-P250-K251-K250-I250-G250-F250-E250-E249-B250-B249-M249-D249-D250-M251-H250-C249-H252-K252</f>
        <v>4.2916781239910051E-12</v>
      </c>
    </row>
    <row r="252" spans="1:22" x14ac:dyDescent="0.25">
      <c r="A252" t="s">
        <v>398</v>
      </c>
      <c r="B252" s="49">
        <v>1846.16</v>
      </c>
      <c r="F252" s="8">
        <v>23059.600000000002</v>
      </c>
      <c r="G252" s="8">
        <v>-1091.5</v>
      </c>
      <c r="H252" s="8">
        <v>-250.47</v>
      </c>
      <c r="I252" s="8">
        <v>123.06</v>
      </c>
      <c r="N252" s="49">
        <v>16024.46</v>
      </c>
      <c r="P252" s="49">
        <v>-479.06</v>
      </c>
      <c r="U252" s="49">
        <v>15545.4</v>
      </c>
      <c r="V252" s="1">
        <f>U252-P252-N252-Q252-R252+N252-I253-G253-F253-D252-E252-B252-K253-M252-H253-C252</f>
        <v>-1.6129320101754274E-12</v>
      </c>
    </row>
    <row r="253" spans="1:22" x14ac:dyDescent="0.25">
      <c r="A253" t="s">
        <v>399</v>
      </c>
      <c r="B253" s="50">
        <v>2246.92</v>
      </c>
      <c r="F253" s="49">
        <v>15007.99</v>
      </c>
      <c r="G253" s="49">
        <v>-770.70999999999992</v>
      </c>
      <c r="H253" s="49">
        <v>-58.98</v>
      </c>
      <c r="N253" s="50">
        <v>15877.69</v>
      </c>
      <c r="P253" s="50">
        <v>-389.71</v>
      </c>
      <c r="U253" s="50">
        <v>15487.98</v>
      </c>
      <c r="V253" s="1">
        <f>U253-P253-N253-Q253-R253+N253-I254-G254-F254-D253-E253-B253-K254-M253-H254-C253</f>
        <v>-1.8900436771218665E-12</v>
      </c>
    </row>
    <row r="254" spans="1:22" x14ac:dyDescent="0.25">
      <c r="A254" t="s">
        <v>400</v>
      </c>
      <c r="B254" s="2">
        <v>1504.55</v>
      </c>
      <c r="F254" s="50">
        <v>14692.78</v>
      </c>
      <c r="G254" s="50">
        <v>-1336.0900000000001</v>
      </c>
      <c r="H254" s="50">
        <v>-93.67</v>
      </c>
      <c r="I254" s="50">
        <v>367.75</v>
      </c>
      <c r="N254" s="2">
        <v>18039.87</v>
      </c>
      <c r="P254" s="2">
        <v>-731.17</v>
      </c>
      <c r="U254" s="2">
        <v>17308.7</v>
      </c>
      <c r="V254" s="1">
        <f>U254-P254-N254-Q254-R254+N254-I255-G255-F255-D254-E254-B254-K255-M254-H255-C254-L255</f>
        <v>3.9759133485528508E-12</v>
      </c>
    </row>
    <row r="255" spans="1:22" x14ac:dyDescent="0.25">
      <c r="A255" t="s">
        <v>401</v>
      </c>
      <c r="B255" s="5">
        <v>2444.8100000000004</v>
      </c>
      <c r="F255" s="2">
        <v>18382.469999999998</v>
      </c>
      <c r="G255" s="2">
        <v>-1806.24</v>
      </c>
      <c r="H255" s="2">
        <v>-47.35</v>
      </c>
      <c r="I255" s="2">
        <v>6.46</v>
      </c>
      <c r="K255" s="2"/>
      <c r="L255" s="2">
        <v>-0.02</v>
      </c>
      <c r="N255" s="5">
        <v>14593.86</v>
      </c>
      <c r="P255" s="5">
        <v>-984.55</v>
      </c>
      <c r="U255" s="5">
        <v>13609.31</v>
      </c>
      <c r="V255" s="1">
        <f>U255-P255-N255-Q255-R255+N255-I256-G256-F256-D255-E255-B255-K256-M255-H256-C255-L256</f>
        <v>-3.0212499169124385E-12</v>
      </c>
    </row>
    <row r="256" spans="1:22" x14ac:dyDescent="0.25">
      <c r="A256" t="s">
        <v>402</v>
      </c>
      <c r="B256" s="6">
        <v>1719.1699999999998</v>
      </c>
      <c r="F256" s="5">
        <v>12247.980000000001</v>
      </c>
      <c r="H256" s="5">
        <v>-101.83</v>
      </c>
      <c r="K256" s="5">
        <v>3.5</v>
      </c>
      <c r="L256" s="5">
        <v>-0.6</v>
      </c>
      <c r="P256" s="6">
        <v>-400.84</v>
      </c>
    </row>
    <row r="257" spans="1:22" x14ac:dyDescent="0.25">
      <c r="A257" t="s">
        <v>403</v>
      </c>
      <c r="B257" s="6">
        <v>1178.56</v>
      </c>
      <c r="E257" s="6">
        <v>14.92</v>
      </c>
      <c r="F257" s="6">
        <v>14008.710000000001</v>
      </c>
      <c r="G257" s="6">
        <v>-390.31</v>
      </c>
      <c r="H257" s="6">
        <v>-55.74</v>
      </c>
      <c r="M257" s="6">
        <v>10170.799999999999</v>
      </c>
      <c r="O257" s="6"/>
      <c r="P257" s="6">
        <v>-435.07</v>
      </c>
      <c r="R257" s="6">
        <v>1299.48</v>
      </c>
      <c r="S257" s="6"/>
      <c r="T257" s="6"/>
    </row>
    <row r="258" spans="1:22" x14ac:dyDescent="0.25">
      <c r="A258" t="s">
        <v>404</v>
      </c>
      <c r="B258" s="6">
        <v>1756.37</v>
      </c>
      <c r="N258" s="6">
        <v>50352.29</v>
      </c>
      <c r="U258" s="6">
        <v>50815.86</v>
      </c>
      <c r="V258" s="3">
        <f>U258-P258-N258-Q258-R258+N258-I259-G259-F259-D258-E258-B258-M257-R257-R256-Q257-Q256-P256-P257-K258-K257-I257-G257-F257-E257-E256-B257-B256-M256-D256-D257-M258-H257-C256-H259-K259</f>
        <v>5.4498627832799684E-12</v>
      </c>
    </row>
    <row r="259" spans="1:22" x14ac:dyDescent="0.25">
      <c r="A259" t="s">
        <v>405</v>
      </c>
      <c r="B259" s="33">
        <v>1246.08</v>
      </c>
      <c r="E259" s="33">
        <v>3.76</v>
      </c>
      <c r="F259" s="6">
        <v>21970.1</v>
      </c>
      <c r="G259" s="6">
        <v>-289.01</v>
      </c>
      <c r="I259" s="6">
        <v>272.21999999999997</v>
      </c>
      <c r="K259" s="6">
        <v>-3.5</v>
      </c>
      <c r="L259" s="6"/>
      <c r="N259" s="33">
        <v>15228.55</v>
      </c>
      <c r="P259" s="33">
        <v>-619.49</v>
      </c>
      <c r="U259" s="33">
        <v>14609.06</v>
      </c>
      <c r="V259" s="1">
        <f>U259-P259-N259-Q259-R259+N259-I260-G260-F260-D259-E259-B259-K260-M259-H260-C259-L260</f>
        <v>-8.6419760236822185E-13</v>
      </c>
    </row>
    <row r="260" spans="1:22" x14ac:dyDescent="0.25">
      <c r="A260" t="s">
        <v>406</v>
      </c>
      <c r="B260" s="34">
        <v>1272.3599999999999</v>
      </c>
      <c r="E260" s="34">
        <v>7.11</v>
      </c>
      <c r="F260" s="33">
        <v>14903.56</v>
      </c>
      <c r="G260" s="33">
        <v>-932.3</v>
      </c>
      <c r="K260" s="33">
        <v>7.45</v>
      </c>
      <c r="N260" s="34">
        <v>17972.400000000001</v>
      </c>
      <c r="P260" s="34">
        <v>-690.04</v>
      </c>
      <c r="U260" s="34">
        <v>17282.36</v>
      </c>
      <c r="V260" s="1">
        <f>U260-P260-N260-Q260-R260+N260-I261-G261-F261-D260-E260-B260-K261-M260-H261-C260-L261</f>
        <v>1.3642420526593924E-12</v>
      </c>
    </row>
    <row r="261" spans="1:22" x14ac:dyDescent="0.25">
      <c r="A261" t="s">
        <v>407</v>
      </c>
      <c r="B261" s="47">
        <v>1647.14</v>
      </c>
      <c r="F261" s="34">
        <v>14522.81</v>
      </c>
      <c r="G261" s="34">
        <v>-906.16</v>
      </c>
      <c r="I261" s="34">
        <v>3076.28</v>
      </c>
      <c r="N261" s="47">
        <v>13534.89</v>
      </c>
      <c r="P261" s="47">
        <v>-661.72</v>
      </c>
      <c r="U261" s="47">
        <v>12873.17</v>
      </c>
      <c r="V261" s="1">
        <f>U261-P261-N261-Q261-R261+N261-I262-G262-F262-D261-E261-B261-K262-M261-H262-C261-L262</f>
        <v>4.0945025148175773E-13</v>
      </c>
    </row>
    <row r="262" spans="1:22" x14ac:dyDescent="0.25">
      <c r="A262" t="s">
        <v>408</v>
      </c>
      <c r="B262" s="30">
        <v>1784.9099999999999</v>
      </c>
      <c r="F262" s="47">
        <v>12549.49</v>
      </c>
      <c r="G262" s="47">
        <v>-763.43000000000006</v>
      </c>
      <c r="I262" s="47">
        <v>109.14</v>
      </c>
      <c r="K262" s="47">
        <v>-7.45</v>
      </c>
      <c r="N262" s="30">
        <v>14357.75</v>
      </c>
      <c r="P262" s="30">
        <v>-314.99</v>
      </c>
      <c r="U262" s="30">
        <v>14042.76</v>
      </c>
      <c r="V262" s="1">
        <f>U262-P262-N262-Q262-R262+N262-I263-G263-F263-D262-E262-B262-K263-M262-H263-C262-L263</f>
        <v>9.5212726591853425E-13</v>
      </c>
    </row>
    <row r="263" spans="1:22" x14ac:dyDescent="0.25">
      <c r="A263" t="s">
        <v>409</v>
      </c>
      <c r="B263" s="45">
        <v>1701.18</v>
      </c>
      <c r="F263" s="30">
        <v>12932.199999999999</v>
      </c>
      <c r="G263" s="30">
        <v>-289.07</v>
      </c>
      <c r="H263" s="30">
        <v>-87.04</v>
      </c>
      <c r="I263" s="30">
        <v>16.75</v>
      </c>
      <c r="P263" s="45">
        <v>-1697.64</v>
      </c>
    </row>
    <row r="264" spans="1:22" x14ac:dyDescent="0.25">
      <c r="A264" t="s">
        <v>410</v>
      </c>
      <c r="B264" s="45">
        <v>1414.3799999999999</v>
      </c>
      <c r="F264" s="45">
        <v>16455.560000000001</v>
      </c>
      <c r="G264" s="45">
        <v>-1849.14</v>
      </c>
      <c r="H264" s="45">
        <v>-0.77</v>
      </c>
      <c r="M264" s="45">
        <v>13243.78</v>
      </c>
      <c r="O264" s="45"/>
      <c r="P264" s="45">
        <v>-289.33999999999997</v>
      </c>
      <c r="R264" s="45">
        <v>1502.81</v>
      </c>
      <c r="S264" s="45"/>
      <c r="T264" s="45"/>
    </row>
    <row r="265" spans="1:22" x14ac:dyDescent="0.25">
      <c r="A265" t="s">
        <v>411</v>
      </c>
      <c r="B265" s="45">
        <v>1248.31</v>
      </c>
      <c r="N265" s="45">
        <v>53407.040000000001</v>
      </c>
      <c r="P265" s="45">
        <v>-488.68</v>
      </c>
      <c r="U265" s="45">
        <v>52434.19</v>
      </c>
      <c r="V265" s="3">
        <f>U265-P265-N265-Q265-R265+N265-I266-G266-F266-D265-E265-B265-M264-R264-R263-Q264-Q263-P263-P264-K265-K264-I264-G264-F264-E264-E263-B264-B263-M263-D263-D264-M265-H264-C263-H266-K266</f>
        <v>9.2770235937678081E-13</v>
      </c>
    </row>
    <row r="266" spans="1:22" x14ac:dyDescent="0.25">
      <c r="A266" t="s">
        <v>412</v>
      </c>
      <c r="B266" s="31">
        <v>1457.5900000000001</v>
      </c>
      <c r="F266" s="45">
        <v>21946.61</v>
      </c>
      <c r="G266" s="45">
        <v>-752.87</v>
      </c>
      <c r="N266" s="31">
        <v>11883.3</v>
      </c>
      <c r="P266" s="31">
        <v>-576.98</v>
      </c>
      <c r="U266" s="31">
        <v>11306.32</v>
      </c>
      <c r="V266" s="1">
        <f>U266-P266-N266-Q266-R266+N266-I267-G267-F267-D266-E266-B266-K267-M266-H267-C266-L267</f>
        <v>5.1159076974727213E-13</v>
      </c>
    </row>
    <row r="267" spans="1:22" x14ac:dyDescent="0.25">
      <c r="A267" t="s">
        <v>413</v>
      </c>
      <c r="B267" s="11">
        <v>2064.0700000000002</v>
      </c>
      <c r="F267" s="31">
        <v>14109.259999999998</v>
      </c>
      <c r="G267" s="31">
        <v>-3631.77</v>
      </c>
      <c r="H267" s="31">
        <v>-149.31</v>
      </c>
      <c r="I267" s="31">
        <v>97.53</v>
      </c>
      <c r="N267" s="11">
        <v>14010.94</v>
      </c>
      <c r="P267" s="11">
        <v>-584.49</v>
      </c>
      <c r="U267" s="11">
        <v>13426.45</v>
      </c>
      <c r="V267" s="1">
        <f>U267-P267-N267-Q267-R267+N267-I268-G268-F268-D267-E267-B267-K268-M267-H268-C267-L268</f>
        <v>3.4106051316484809E-13</v>
      </c>
    </row>
    <row r="268" spans="1:22" x14ac:dyDescent="0.25">
      <c r="A268" t="s">
        <v>414</v>
      </c>
      <c r="B268" s="13">
        <v>1669.96</v>
      </c>
      <c r="E268" s="13">
        <v>83.899999999999991</v>
      </c>
      <c r="F268" s="11">
        <v>12311.07</v>
      </c>
      <c r="G268" s="11">
        <v>-601.93000000000006</v>
      </c>
      <c r="H268" s="11">
        <v>-54.629999999999995</v>
      </c>
      <c r="I268" s="11">
        <v>292.36</v>
      </c>
      <c r="N268" s="13">
        <v>16612.96</v>
      </c>
      <c r="P268" s="13">
        <v>-494.79</v>
      </c>
      <c r="U268" s="13">
        <v>16118.17</v>
      </c>
      <c r="V268" s="1">
        <f>U268-P268-N268-Q268-R268+N268-I269-G269-F269-D268-E268-B268-K269-M268-H269-C268-L269</f>
        <v>-1.3642420526593924E-12</v>
      </c>
    </row>
    <row r="269" spans="1:22" x14ac:dyDescent="0.25">
      <c r="A269" t="s">
        <v>415</v>
      </c>
      <c r="B269" s="51">
        <v>2079.08</v>
      </c>
      <c r="F269" s="13">
        <v>15231.65</v>
      </c>
      <c r="G269" s="13">
        <v>-334.11</v>
      </c>
      <c r="H269" s="13">
        <v>-54.25</v>
      </c>
      <c r="I269" s="13">
        <v>15.81</v>
      </c>
      <c r="N269" s="51">
        <v>16747.650000000001</v>
      </c>
      <c r="P269" s="51">
        <v>-53.25</v>
      </c>
      <c r="U269" s="51">
        <v>16694.400000000001</v>
      </c>
      <c r="V269" s="1">
        <f>U269-P269-N269-Q269-R269+N269-I270-G270-F270-D269-E269-B269-K270-M269-H270-C269-L270</f>
        <v>-2.2026824808563106E-13</v>
      </c>
    </row>
    <row r="270" spans="1:22" x14ac:dyDescent="0.25">
      <c r="A270" t="s">
        <v>416</v>
      </c>
      <c r="B270" s="32">
        <v>1688.8400000000001</v>
      </c>
      <c r="F270" s="51">
        <v>15295.25</v>
      </c>
      <c r="G270" s="51">
        <v>-581.41999999999996</v>
      </c>
      <c r="H270" s="51">
        <v>-45.26</v>
      </c>
      <c r="P270" s="1">
        <v>-667.9</v>
      </c>
    </row>
    <row r="271" spans="1:22" x14ac:dyDescent="0.25">
      <c r="A271" t="s">
        <v>417</v>
      </c>
      <c r="B271" s="32">
        <v>2024.16</v>
      </c>
      <c r="E271" s="32">
        <v>67.2</v>
      </c>
      <c r="F271" s="32">
        <v>17169.63</v>
      </c>
      <c r="G271" s="32">
        <v>-1765.42</v>
      </c>
      <c r="H271" s="32">
        <v>-33.21</v>
      </c>
      <c r="I271" s="32">
        <v>5.47</v>
      </c>
      <c r="M271" s="32">
        <v>31816.240000000002</v>
      </c>
      <c r="O271" s="32"/>
      <c r="P271" s="1">
        <v>-238.67</v>
      </c>
      <c r="R271" s="32">
        <v>6097.9599999999991</v>
      </c>
      <c r="S271" s="32"/>
      <c r="T271" s="32"/>
      <c r="V271" s="3"/>
    </row>
    <row r="272" spans="1:22" x14ac:dyDescent="0.25">
      <c r="A272" t="s">
        <v>418</v>
      </c>
      <c r="B272" s="32">
        <v>2258.5</v>
      </c>
      <c r="E272" s="32">
        <v>62.93</v>
      </c>
      <c r="N272" s="32">
        <v>74747.570000000007</v>
      </c>
      <c r="P272" s="32">
        <v>-330.65</v>
      </c>
      <c r="U272" s="32">
        <v>79608.31</v>
      </c>
      <c r="V272" s="3">
        <f>U272-P272-N272-Q272-R272+N272-I273-G273-F273-D272-E272-B272-M271-R271-R270-Q271-Q270-P270-P271-K272-K271-I271-G271-F271-E271-E270-B271-B270-M270-D270-D271-M272-H271-C270-H273-K273</f>
        <v>-5.7198690228688065E-12</v>
      </c>
    </row>
    <row r="273" spans="1:22" x14ac:dyDescent="0.25">
      <c r="A273" t="s">
        <v>419</v>
      </c>
      <c r="B273" s="34">
        <v>3195.31</v>
      </c>
      <c r="F273" s="32">
        <v>23532.62</v>
      </c>
      <c r="G273" s="32">
        <v>-2079.3900000000003</v>
      </c>
      <c r="N273" s="34">
        <v>18079.740000000002</v>
      </c>
      <c r="P273" s="34">
        <v>-423.69</v>
      </c>
      <c r="U273" s="34">
        <v>17656.05</v>
      </c>
      <c r="V273" s="1">
        <f>U273-P273-N273-Q273-R273+N273-I274-G274-F274-D273-E273-B273-K274-M273-H274-C273-L274</f>
        <v>-5.2580162446247414E-13</v>
      </c>
    </row>
    <row r="274" spans="1:22" x14ac:dyDescent="0.25">
      <c r="A274" t="s">
        <v>420</v>
      </c>
      <c r="B274" s="38">
        <v>2785.54</v>
      </c>
      <c r="F274" s="34">
        <v>15224.98</v>
      </c>
      <c r="G274" s="34">
        <v>-338.71999999999997</v>
      </c>
      <c r="H274" s="34">
        <v>-32.67</v>
      </c>
      <c r="I274" s="34">
        <v>30.84</v>
      </c>
      <c r="N274" s="38">
        <v>21796.52</v>
      </c>
      <c r="P274" s="38">
        <v>-224.85</v>
      </c>
      <c r="U274" s="38">
        <v>21571.67</v>
      </c>
      <c r="V274" s="1">
        <f>U274-P274-N274-Q274-R274+N274-I275-G275-F275-D274-E274-B274-K275-M274-H275-C274-L275</f>
        <v>6.2527760746888816E-13</v>
      </c>
    </row>
    <row r="275" spans="1:22" x14ac:dyDescent="0.25">
      <c r="A275" t="s">
        <v>421</v>
      </c>
      <c r="B275" s="5">
        <v>2488.73</v>
      </c>
      <c r="F275" s="38">
        <v>19459.609999999997</v>
      </c>
      <c r="G275" s="38">
        <v>-392.95</v>
      </c>
      <c r="H275" s="38">
        <v>-55.680000000000007</v>
      </c>
      <c r="N275" s="5">
        <v>11470.58</v>
      </c>
      <c r="P275" s="5">
        <v>-1019.29</v>
      </c>
      <c r="U275" s="5">
        <v>10451.290000000001</v>
      </c>
      <c r="V275" s="1">
        <f>U275-P275-N275-Q275-R275+N275-I276-G276-F276-D275-E275-B275-K276-M275-H276-C275-L276</f>
        <v>3.5456082514428999E-12</v>
      </c>
    </row>
    <row r="276" spans="1:22" x14ac:dyDescent="0.25">
      <c r="A276" t="s">
        <v>422</v>
      </c>
      <c r="B276" s="2">
        <v>2209.4900000000002</v>
      </c>
      <c r="F276" s="5">
        <v>16220.929999999998</v>
      </c>
      <c r="G276" s="5">
        <v>-7205.18</v>
      </c>
      <c r="H276" s="5">
        <v>-33.9</v>
      </c>
      <c r="M276" s="52">
        <v>10812.75</v>
      </c>
      <c r="N276" s="2">
        <v>29768.03</v>
      </c>
      <c r="O276" s="52"/>
      <c r="P276" s="2">
        <v>-1278.42</v>
      </c>
      <c r="R276" s="52">
        <v>794.46</v>
      </c>
      <c r="S276" s="52"/>
      <c r="T276" s="52"/>
      <c r="U276" s="2">
        <v>29284.07</v>
      </c>
      <c r="V276" s="1">
        <f>U276-P276-N276-Q276-R276+N276-I277-G277-F277-D276-E276-B276-K277-M276-H277-C276-L277</f>
        <v>9.4591001698063337E-13</v>
      </c>
    </row>
    <row r="277" spans="1:22" x14ac:dyDescent="0.25">
      <c r="A277" t="s">
        <v>423</v>
      </c>
      <c r="B277" s="11">
        <v>2991.25</v>
      </c>
      <c r="F277" s="2">
        <v>18717.439999999999</v>
      </c>
      <c r="G277" s="2">
        <v>-1969.36</v>
      </c>
      <c r="H277" s="2">
        <v>-2.29</v>
      </c>
      <c r="P277" s="11">
        <v>-1952.75</v>
      </c>
    </row>
    <row r="278" spans="1:22" x14ac:dyDescent="0.25">
      <c r="A278" t="s">
        <v>424</v>
      </c>
      <c r="B278" s="11">
        <v>1325.68</v>
      </c>
      <c r="F278" s="11">
        <v>15705.72</v>
      </c>
      <c r="G278" s="11">
        <v>-1504.33</v>
      </c>
      <c r="H278" s="11">
        <v>-77.42</v>
      </c>
      <c r="I278" s="11">
        <v>126.11000000000001</v>
      </c>
      <c r="M278" s="11">
        <v>41670.320000000007</v>
      </c>
      <c r="O278" s="11"/>
      <c r="P278" s="11">
        <v>-1482.59</v>
      </c>
      <c r="R278" s="11">
        <v>3168.7700000000004</v>
      </c>
      <c r="S278" s="11"/>
      <c r="T278" s="11"/>
    </row>
    <row r="279" spans="1:22" x14ac:dyDescent="0.25">
      <c r="A279" t="s">
        <v>425</v>
      </c>
      <c r="B279" s="11">
        <v>1365.9299999999998</v>
      </c>
      <c r="N279" s="11">
        <v>82358.05</v>
      </c>
      <c r="P279" s="11">
        <v>-351</v>
      </c>
      <c r="U279" s="11">
        <v>81740.479999999996</v>
      </c>
      <c r="V279" s="3">
        <f>U279-P279-N279-Q279-R279+N279-I280-G280-F280-D279-E279-B279-M278-R278-R277-Q278-Q277-P277-P278-K279-K278-I278-G278-F278-E278-E277-B278-B277-M277-D277-D278-M279-H278-C277-H280-K280</f>
        <v>-1.7969625787372934E-11</v>
      </c>
    </row>
    <row r="280" spans="1:22" x14ac:dyDescent="0.25">
      <c r="A280" t="s">
        <v>426</v>
      </c>
      <c r="B280" s="49">
        <v>3032.67</v>
      </c>
      <c r="C280" s="49">
        <v>-14.46</v>
      </c>
      <c r="F280" s="11">
        <v>22133.9</v>
      </c>
      <c r="G280" s="11">
        <v>-1357.79</v>
      </c>
      <c r="H280" s="11">
        <v>-21.32</v>
      </c>
      <c r="N280" s="49">
        <v>22175.84</v>
      </c>
      <c r="P280" s="49">
        <v>-488.09</v>
      </c>
      <c r="U280" s="49">
        <v>21687.75</v>
      </c>
      <c r="V280" s="1">
        <f>U280-P280-N280-Q280-R280+N280-I281-G281-F281-D280-E280-B280-K281-M280-H281-C280-L281</f>
        <v>-9.4502183856093325E-13</v>
      </c>
    </row>
    <row r="281" spans="1:22" x14ac:dyDescent="0.25">
      <c r="A281" t="s">
        <v>427</v>
      </c>
      <c r="B281" s="34">
        <v>1638.3100000000002</v>
      </c>
      <c r="F281" s="49">
        <v>19810.73</v>
      </c>
      <c r="G281" s="49">
        <v>-653.1</v>
      </c>
      <c r="N281" s="34">
        <v>20497.98</v>
      </c>
      <c r="P281" s="34">
        <v>-735.56</v>
      </c>
      <c r="U281" s="34">
        <v>19762.419999999998</v>
      </c>
      <c r="V281" s="1">
        <f>U281-P281-N281-Q281-R281+N281-I282-G282-F282-D281-E281-B281-K282-M281-H282-C281-L282</f>
        <v>3.0269120543380268E-12</v>
      </c>
    </row>
    <row r="282" spans="1:22" x14ac:dyDescent="0.25">
      <c r="A282" t="s">
        <v>428</v>
      </c>
      <c r="B282" s="47">
        <v>2939.45</v>
      </c>
      <c r="E282" s="47">
        <v>17.43</v>
      </c>
      <c r="F282" s="34">
        <v>19169.509999999998</v>
      </c>
      <c r="G282" s="34">
        <v>-316.77</v>
      </c>
      <c r="H282" s="34">
        <v>-44.739999999999995</v>
      </c>
      <c r="I282" s="34">
        <v>45.26</v>
      </c>
      <c r="K282" s="34">
        <v>6.41</v>
      </c>
      <c r="N282" s="47">
        <v>15966.97</v>
      </c>
      <c r="P282" s="47">
        <v>-687.7</v>
      </c>
      <c r="U282" s="47">
        <v>15279.27</v>
      </c>
      <c r="V282" s="1">
        <f>U282-P282-N282-Q282-R282+N282-I283-G283-F283-D282-E282-B282-K283-M282-H283-C282-L283</f>
        <v>2.8190783041281975E-12</v>
      </c>
    </row>
    <row r="283" spans="1:22" x14ac:dyDescent="0.25">
      <c r="A283" t="s">
        <v>429</v>
      </c>
      <c r="B283" s="44">
        <v>2436.54</v>
      </c>
      <c r="F283" s="47">
        <v>16907.05</v>
      </c>
      <c r="G283" s="47">
        <v>-3925.07</v>
      </c>
      <c r="H283" s="47">
        <v>-6.41</v>
      </c>
      <c r="I283" s="47">
        <v>30.96</v>
      </c>
      <c r="K283" s="47">
        <v>3.56</v>
      </c>
      <c r="N283" s="44">
        <v>17026.669999999998</v>
      </c>
      <c r="P283" s="44">
        <v>-418.25</v>
      </c>
      <c r="U283" s="44">
        <v>16608.419999999998</v>
      </c>
      <c r="V283" s="1">
        <f>U283-P283-N283-Q283-R283+N283-I284-G284-F284-D283-E283-B283-K284-M283-H284-C283-L284</f>
        <v>1.4188650254709501E-12</v>
      </c>
    </row>
    <row r="284" spans="1:22" x14ac:dyDescent="0.25">
      <c r="A284" t="s">
        <v>430</v>
      </c>
      <c r="B284" s="33">
        <v>2651.96</v>
      </c>
      <c r="E284" s="33">
        <v>8.0900000000000016</v>
      </c>
      <c r="F284" s="44">
        <v>15181.74</v>
      </c>
      <c r="G284" s="44">
        <v>-600.99</v>
      </c>
      <c r="H284" s="44">
        <v>-3.56</v>
      </c>
      <c r="I284" s="44">
        <v>12.94</v>
      </c>
      <c r="P284" s="33">
        <v>-765.25</v>
      </c>
    </row>
    <row r="285" spans="1:22" x14ac:dyDescent="0.25">
      <c r="A285" t="s">
        <v>431</v>
      </c>
      <c r="B285" s="33">
        <v>2363.58</v>
      </c>
      <c r="F285" s="33">
        <v>13567.14</v>
      </c>
      <c r="G285" s="33">
        <v>-1193.52</v>
      </c>
      <c r="H285" s="33">
        <v>-192.63</v>
      </c>
      <c r="M285" s="33">
        <v>9720.76</v>
      </c>
      <c r="O285" s="33"/>
      <c r="P285" s="33">
        <v>-621.19000000000005</v>
      </c>
      <c r="R285" s="33">
        <v>1961.75</v>
      </c>
      <c r="S285" s="33"/>
      <c r="T285" s="33"/>
    </row>
    <row r="286" spans="1:22" x14ac:dyDescent="0.25">
      <c r="A286" t="s">
        <v>432</v>
      </c>
      <c r="B286" s="33">
        <v>1747.49</v>
      </c>
      <c r="N286" s="33">
        <v>53644.74</v>
      </c>
      <c r="P286" s="33">
        <v>-425.17</v>
      </c>
      <c r="U286" s="33">
        <v>53794.879999999997</v>
      </c>
      <c r="V286" s="3">
        <f>U286-P286-N286-Q286-R286+N286-I287-G287-F287-D286-E286-B286-M285-R285-R284-Q285-Q284-P284-P285-K286-K285-I285-G285-F285-E285-E284-B285-B284-M284-D284-D285-M286-H285-C284-H287-K287</f>
        <v>-7.3896444519050419E-12</v>
      </c>
    </row>
    <row r="287" spans="1:22" x14ac:dyDescent="0.25">
      <c r="A287" t="s">
        <v>433</v>
      </c>
      <c r="B287" s="38">
        <v>2537.5500000000002</v>
      </c>
      <c r="F287" s="33">
        <v>27211.360000000001</v>
      </c>
      <c r="G287" s="33">
        <v>-2255.67</v>
      </c>
      <c r="I287" s="33">
        <v>16.18</v>
      </c>
      <c r="N287" s="38">
        <v>19312.060000000001</v>
      </c>
      <c r="P287" s="38">
        <v>-422.07</v>
      </c>
      <c r="U287" s="38">
        <v>18889.990000000002</v>
      </c>
      <c r="V287" s="1">
        <f>U287-P287-N287-Q287-R287+N287-I288-G288-F288-D287-E287-B287-K288-M287-H288-C287-L288</f>
        <v>1.8545165403338615E-12</v>
      </c>
    </row>
    <row r="288" spans="1:22" x14ac:dyDescent="0.25">
      <c r="A288" t="s">
        <v>434</v>
      </c>
      <c r="B288" s="53">
        <v>2267.5499999999997</v>
      </c>
      <c r="F288" s="38">
        <v>17152.32</v>
      </c>
      <c r="G288" s="38">
        <v>-321.27000000000004</v>
      </c>
      <c r="H288" s="38">
        <v>-56.54</v>
      </c>
      <c r="N288" s="53">
        <v>17464.59</v>
      </c>
      <c r="P288" s="53">
        <v>-382.42</v>
      </c>
      <c r="U288" s="53">
        <v>17082.169999999998</v>
      </c>
      <c r="V288" s="1">
        <f>U288-P288-N288-Q288-R288+N288-I289-G289-F289-D288-E288-B288-K289-M288-H289-C288-L289</f>
        <v>-2.4868995751603507E-12</v>
      </c>
    </row>
    <row r="289" spans="1:23" x14ac:dyDescent="0.25">
      <c r="A289" t="s">
        <v>435</v>
      </c>
      <c r="B289" s="46">
        <v>2228.2199999999998</v>
      </c>
      <c r="F289" s="53">
        <v>17150.939999999999</v>
      </c>
      <c r="G289" s="53">
        <v>-1869.11</v>
      </c>
      <c r="H289" s="53">
        <v>-124.26</v>
      </c>
      <c r="I289" s="53">
        <v>39.47</v>
      </c>
      <c r="N289" s="46">
        <v>22745.06</v>
      </c>
      <c r="P289" s="46">
        <v>-463.07</v>
      </c>
      <c r="U289" s="46">
        <v>22281.99</v>
      </c>
      <c r="V289" s="1">
        <f>U289-P289-N289-Q289-R289+N289-I290-G290-F290-D289-E289-B289-K290-M289-H290-C289-L290</f>
        <v>2.2355450823852152E-12</v>
      </c>
    </row>
    <row r="290" spans="1:23" x14ac:dyDescent="0.25">
      <c r="A290" t="s">
        <v>436</v>
      </c>
      <c r="B290" s="34">
        <v>2312.6799999999998</v>
      </c>
      <c r="C290" s="34">
        <v>-179.12</v>
      </c>
      <c r="F290" s="46">
        <v>20722.329999999998</v>
      </c>
      <c r="G290" s="46">
        <v>-275.02999999999997</v>
      </c>
      <c r="H290" s="46">
        <v>-7.88</v>
      </c>
      <c r="K290" s="54">
        <v>77.42</v>
      </c>
      <c r="N290" s="34">
        <v>19057.47</v>
      </c>
      <c r="P290" s="34">
        <v>-594.73</v>
      </c>
      <c r="U290" s="34">
        <v>18462.740000000002</v>
      </c>
      <c r="V290" s="1">
        <f>U290-P290-N290-Q290-R290+N290-I291-G291-F291-D290-E290-B290-K291-M290-H291-C290-L291</f>
        <v>4.2348347051301971E-12</v>
      </c>
    </row>
    <row r="291" spans="1:23" x14ac:dyDescent="0.25">
      <c r="A291" t="s">
        <v>437</v>
      </c>
      <c r="B291" s="2">
        <v>2348.0700000000002</v>
      </c>
      <c r="E291" s="2">
        <v>6.56</v>
      </c>
      <c r="F291" s="34">
        <v>18466.68</v>
      </c>
      <c r="G291" s="34">
        <v>-1497.1499999999999</v>
      </c>
      <c r="H291" s="34">
        <v>-123.03999999999999</v>
      </c>
      <c r="I291" s="34">
        <v>77.42</v>
      </c>
      <c r="P291" s="2">
        <v>-1431.72</v>
      </c>
    </row>
    <row r="292" spans="1:23" x14ac:dyDescent="0.25">
      <c r="A292" t="s">
        <v>438</v>
      </c>
      <c r="B292" s="2">
        <v>2016.64</v>
      </c>
      <c r="F292" s="2">
        <v>17410.210000000003</v>
      </c>
      <c r="G292" s="2">
        <v>-480.15999999999997</v>
      </c>
      <c r="H292" s="2">
        <v>-6.3500000000000005</v>
      </c>
      <c r="M292" s="2">
        <v>8349.6</v>
      </c>
      <c r="O292" s="2"/>
      <c r="P292" s="2">
        <v>-448.15</v>
      </c>
      <c r="R292" s="2">
        <v>1522.87</v>
      </c>
      <c r="S292" s="2"/>
      <c r="T292" s="2"/>
    </row>
    <row r="293" spans="1:23" x14ac:dyDescent="0.25">
      <c r="A293" t="s">
        <v>439</v>
      </c>
      <c r="B293" s="2">
        <v>1933.6399999999999</v>
      </c>
      <c r="N293" s="2">
        <v>60284.52</v>
      </c>
      <c r="P293" s="2">
        <v>-483.41</v>
      </c>
      <c r="U293" s="2">
        <v>59444.11</v>
      </c>
      <c r="V293" s="3">
        <f>U293-P293-N293-Q293-R293+N293-I294-G294-F294-D293-E293-B293-M292-R292-R291-Q292-Q291-P291-P292-K293-K292-I292-G292-F292-E292-E291-B292-B291-M291-D291-D292-M293-H292-C291-H294-K294</f>
        <v>4.6043169277254492E-12</v>
      </c>
    </row>
    <row r="294" spans="1:23" x14ac:dyDescent="0.25">
      <c r="A294" t="s">
        <v>440</v>
      </c>
      <c r="B294" s="55">
        <v>2342.5700000000002</v>
      </c>
      <c r="F294" s="2">
        <v>29920.95</v>
      </c>
      <c r="G294" s="2">
        <v>-754.69</v>
      </c>
      <c r="H294" s="2">
        <v>-459.95</v>
      </c>
      <c r="N294" s="55">
        <v>17535.580000000002</v>
      </c>
      <c r="P294" s="55">
        <v>-883.45</v>
      </c>
      <c r="U294" s="55">
        <v>16652.13</v>
      </c>
      <c r="V294" s="1">
        <f>U294-P294-N294-Q294-R294+N294-I295-G295-F295-D294-E294-B294-K295-M294-H295-C294-L295</f>
        <v>2.2737367544323206E-13</v>
      </c>
    </row>
    <row r="295" spans="1:23" x14ac:dyDescent="0.25">
      <c r="A295" t="s">
        <v>441</v>
      </c>
      <c r="B295" s="32">
        <v>2678.89</v>
      </c>
      <c r="F295" s="55">
        <v>16238.76</v>
      </c>
      <c r="G295" s="55">
        <v>-535.70999999999992</v>
      </c>
      <c r="H295" s="55">
        <v>-559.47</v>
      </c>
      <c r="I295" s="55">
        <v>49.43</v>
      </c>
      <c r="N295" s="32">
        <v>5766.7</v>
      </c>
      <c r="P295" s="32">
        <v>-494.34</v>
      </c>
      <c r="U295" s="32">
        <v>5272.36</v>
      </c>
      <c r="V295" s="1">
        <f>U295-P295-N295-Q295-R295+N295-I296-G296-F296-D295-E295-B295-K296-M295-H296-C295-L296</f>
        <v>-4.5474735088646412E-13</v>
      </c>
    </row>
    <row r="296" spans="1:23" x14ac:dyDescent="0.25">
      <c r="A296" t="s">
        <v>442</v>
      </c>
      <c r="B296" s="38">
        <v>2892.19</v>
      </c>
      <c r="E296" s="38">
        <v>27.39</v>
      </c>
      <c r="F296" s="32">
        <v>17634.189999999999</v>
      </c>
      <c r="G296" s="32">
        <v>-14546.38</v>
      </c>
      <c r="N296" s="38">
        <v>26977.13</v>
      </c>
      <c r="P296" s="38">
        <v>-79.930000000000007</v>
      </c>
      <c r="U296" s="38">
        <v>26897.200000000001</v>
      </c>
      <c r="V296" s="1">
        <f>U296-P296-N296-Q296-R296+N296-I297-G297-F297-D296-E296-B296-K297-M296-H297-C296-L297</f>
        <v>4.007461029686965E-12</v>
      </c>
    </row>
    <row r="297" spans="1:23" x14ac:dyDescent="0.25">
      <c r="A297" t="s">
        <v>443</v>
      </c>
      <c r="B297" s="2">
        <v>2778.19</v>
      </c>
      <c r="C297" s="2">
        <v>-14.13</v>
      </c>
      <c r="D297" s="2"/>
      <c r="E297" s="2">
        <v>17.25</v>
      </c>
      <c r="F297" s="38">
        <v>25872.35</v>
      </c>
      <c r="G297" s="38">
        <v>-1613.66</v>
      </c>
      <c r="H297" s="38">
        <v>-235.4</v>
      </c>
      <c r="I297" s="38">
        <v>34.26</v>
      </c>
      <c r="N297" s="2">
        <v>23440.52</v>
      </c>
      <c r="P297" s="2">
        <v>-532.71</v>
      </c>
      <c r="U297" s="2">
        <v>22907.81</v>
      </c>
      <c r="V297" s="1">
        <f>U297-P297-N297-Q297-R297+N297-I298-G298-F298-D297-E297-B297-K298-M297-H298-C297-L298</f>
        <v>1.085354028873553E-12</v>
      </c>
    </row>
    <row r="298" spans="1:23" x14ac:dyDescent="0.25">
      <c r="A298" t="s">
        <v>444</v>
      </c>
      <c r="B298" s="56">
        <v>3177.32</v>
      </c>
      <c r="F298" s="2">
        <v>21880.35</v>
      </c>
      <c r="G298" s="2">
        <v>-733.05000000000007</v>
      </c>
      <c r="H298" s="2">
        <v>-492.69</v>
      </c>
      <c r="K298" s="2">
        <v>4.5999999999999996</v>
      </c>
      <c r="O298" s="3">
        <f t="shared" ref="O298:O361" si="0">N298-K299-I299-H299-G299-F299-E298-D298-C298-B298-M298-L298</f>
        <v>-14480.89</v>
      </c>
      <c r="P298" s="56">
        <v>-443.23</v>
      </c>
      <c r="T298" s="3">
        <f t="shared" ref="T298:T329" si="1">S298-R298-Q298-P298</f>
        <v>443.23</v>
      </c>
    </row>
    <row r="299" spans="1:23" x14ac:dyDescent="0.25">
      <c r="A299" t="s">
        <v>445</v>
      </c>
      <c r="B299" s="56">
        <v>6809.34</v>
      </c>
      <c r="E299" s="56">
        <v>19.02</v>
      </c>
      <c r="F299" s="56">
        <v>14237.699999999999</v>
      </c>
      <c r="G299" s="56">
        <v>-1624.98</v>
      </c>
      <c r="H299" s="56">
        <v>-1309.1500000000001</v>
      </c>
      <c r="I299" s="56">
        <v>4.6000000000000005</v>
      </c>
      <c r="K299" s="56">
        <v>-4.5999999999999996</v>
      </c>
      <c r="L299" s="1">
        <v>-0.06</v>
      </c>
      <c r="M299" s="56">
        <v>12731.140000000001</v>
      </c>
      <c r="O299" s="3">
        <f t="shared" si="0"/>
        <v>-19559.439999999999</v>
      </c>
      <c r="P299" s="56">
        <v>-516.57000000000005</v>
      </c>
      <c r="R299" s="56">
        <v>1491.67</v>
      </c>
      <c r="T299" s="3">
        <f t="shared" si="1"/>
        <v>-975.1</v>
      </c>
    </row>
    <row r="300" spans="1:23" x14ac:dyDescent="0.25">
      <c r="A300" t="s">
        <v>446</v>
      </c>
      <c r="B300" s="56">
        <v>6461.3899999999994</v>
      </c>
      <c r="O300" s="3">
        <f t="shared" si="0"/>
        <v>-38917.300000000003</v>
      </c>
      <c r="P300" s="56">
        <v>-121.34</v>
      </c>
      <c r="T300" s="3">
        <f t="shared" si="1"/>
        <v>121.34</v>
      </c>
    </row>
    <row r="301" spans="1:23" x14ac:dyDescent="0.25">
      <c r="A301" t="s">
        <v>447</v>
      </c>
      <c r="B301" s="56">
        <v>5508.74</v>
      </c>
      <c r="F301" s="56">
        <v>34421.880000000005</v>
      </c>
      <c r="G301" s="56">
        <v>-1614.66</v>
      </c>
      <c r="H301" s="56">
        <v>-351.31</v>
      </c>
      <c r="N301" s="56">
        <v>99870.33</v>
      </c>
      <c r="O301" s="3">
        <f t="shared" si="0"/>
        <v>72957.62999999999</v>
      </c>
      <c r="S301" s="56">
        <v>410.53</v>
      </c>
      <c r="T301" s="3">
        <f t="shared" si="1"/>
        <v>410.53</v>
      </c>
      <c r="U301" s="56">
        <v>100280.86</v>
      </c>
      <c r="V301" s="3">
        <f>U301-P301-N301-Q301-R301+N301-I302-G302-F302-D301-E301-B301-M300-R300-R299-Q300-Q299-P299-P300-K301-K300-I300-G300-F300-E300-E299-B300-B299-M299-D299-D300-M301-H300-C299-H302-K302-B298-F299-G299-H299-I299-K299-P298-F301-G301-H301</f>
        <v>-6.0000000006027676E-2</v>
      </c>
      <c r="W301" s="17" t="s">
        <v>1466</v>
      </c>
    </row>
    <row r="302" spans="1:23" x14ac:dyDescent="0.25">
      <c r="A302" t="s">
        <v>448</v>
      </c>
      <c r="B302" s="6">
        <v>7165.02</v>
      </c>
      <c r="F302" s="56">
        <v>21944.550000000003</v>
      </c>
      <c r="G302" s="56">
        <v>-486.59</v>
      </c>
      <c r="H302" s="56">
        <v>-54</v>
      </c>
      <c r="N302" s="6">
        <v>25062.1</v>
      </c>
      <c r="O302" s="3">
        <f t="shared" si="0"/>
        <v>-3.637978807091713E-12</v>
      </c>
      <c r="P302" s="6">
        <v>-361.54</v>
      </c>
      <c r="S302" s="6">
        <v>-361.54</v>
      </c>
      <c r="T302" s="3">
        <f t="shared" si="1"/>
        <v>0</v>
      </c>
      <c r="U302" s="6">
        <v>24700.560000000001</v>
      </c>
      <c r="V302" s="1">
        <f>U302-P302-N302-Q302-R302+N302-I303-G303-F303-D302-E302-B302-K303-M302-H303-C302-L303</f>
        <v>1.3073986337985843E-12</v>
      </c>
    </row>
    <row r="303" spans="1:23" x14ac:dyDescent="0.25">
      <c r="A303" t="s">
        <v>449</v>
      </c>
      <c r="B303" s="33">
        <v>10011.14</v>
      </c>
      <c r="F303" s="6">
        <v>17314.43</v>
      </c>
      <c r="G303" s="6">
        <v>-371.34999999999997</v>
      </c>
      <c r="H303" s="6">
        <v>-39.32</v>
      </c>
      <c r="I303" s="6">
        <v>985.44</v>
      </c>
      <c r="K303" s="6">
        <v>7.88</v>
      </c>
      <c r="N303" s="33">
        <v>29562.39</v>
      </c>
      <c r="O303" s="3">
        <f t="shared" si="0"/>
        <v>3.637978807091713E-12</v>
      </c>
      <c r="P303" s="33">
        <v>-751.16</v>
      </c>
      <c r="S303" s="33">
        <v>-751.16</v>
      </c>
      <c r="T303" s="3">
        <f t="shared" si="1"/>
        <v>0</v>
      </c>
      <c r="U303" s="33">
        <v>28811.23</v>
      </c>
      <c r="V303" s="1">
        <f>U303-P303-N303-Q303-R303+N303-I304-G304-F304-D303-E303-B303-K304-M303-H304-C303-L304</f>
        <v>1.7621459846850485E-12</v>
      </c>
    </row>
    <row r="304" spans="1:23" x14ac:dyDescent="0.25">
      <c r="A304" t="s">
        <v>450</v>
      </c>
      <c r="B304" s="39">
        <v>10208.700000000001</v>
      </c>
      <c r="D304" s="39">
        <v>87.29</v>
      </c>
      <c r="E304" s="39">
        <v>165.66</v>
      </c>
      <c r="F304" s="33">
        <v>22443.23</v>
      </c>
      <c r="G304" s="33">
        <v>-2672.56</v>
      </c>
      <c r="H304" s="33">
        <v>-225.77</v>
      </c>
      <c r="K304" s="58">
        <v>6.35</v>
      </c>
      <c r="N304" s="39">
        <v>34458.78</v>
      </c>
      <c r="O304" s="3">
        <f t="shared" si="0"/>
        <v>-3.637978807091713E-12</v>
      </c>
      <c r="P304" s="39">
        <v>-499.82</v>
      </c>
      <c r="S304" s="1">
        <v>-499.82</v>
      </c>
      <c r="T304" s="3">
        <f t="shared" si="1"/>
        <v>0</v>
      </c>
      <c r="U304" s="39">
        <v>33958.959999999999</v>
      </c>
      <c r="V304" s="1">
        <f>U304-P304-N304-Q304-R304+N304-I305-G305-F305-D304-E304-B304-K305-M304-H305-C304-L305</f>
        <v>-6.4801497501321137E-12</v>
      </c>
    </row>
    <row r="305" spans="1:22" x14ac:dyDescent="0.25">
      <c r="A305" t="s">
        <v>451</v>
      </c>
      <c r="B305" s="5">
        <v>8858.75</v>
      </c>
      <c r="F305" s="39">
        <v>25295.100000000002</v>
      </c>
      <c r="G305" s="39">
        <v>-729.45999999999992</v>
      </c>
      <c r="H305" s="39">
        <v>-581.30000000000007</v>
      </c>
      <c r="I305" s="39">
        <v>12.790000000000001</v>
      </c>
      <c r="O305" s="3">
        <f t="shared" si="0"/>
        <v>-30230.510000000002</v>
      </c>
      <c r="P305" s="5">
        <v>-1143.51</v>
      </c>
      <c r="T305" s="3">
        <f t="shared" si="1"/>
        <v>1143.51</v>
      </c>
    </row>
    <row r="306" spans="1:22" x14ac:dyDescent="0.25">
      <c r="A306" t="s">
        <v>452</v>
      </c>
      <c r="B306" s="5">
        <v>12211.33</v>
      </c>
      <c r="F306" s="5">
        <v>22278.65</v>
      </c>
      <c r="G306" s="5">
        <v>-857.38</v>
      </c>
      <c r="H306" s="5">
        <v>-63.739999999999995</v>
      </c>
      <c r="I306" s="5">
        <v>14.23</v>
      </c>
      <c r="M306" s="5">
        <v>24809.74</v>
      </c>
      <c r="O306" s="3">
        <f t="shared" si="0"/>
        <v>-37021.07</v>
      </c>
      <c r="P306" s="5">
        <v>-2289.36</v>
      </c>
      <c r="R306" s="5">
        <v>7154.88</v>
      </c>
      <c r="T306" s="3">
        <f t="shared" si="1"/>
        <v>-4865.5200000000004</v>
      </c>
    </row>
    <row r="307" spans="1:22" x14ac:dyDescent="0.25">
      <c r="A307" t="s">
        <v>453</v>
      </c>
      <c r="B307" s="5">
        <v>6555.81</v>
      </c>
      <c r="N307" s="5">
        <v>112549.85</v>
      </c>
      <c r="O307" s="3">
        <f t="shared" si="0"/>
        <v>67251.580000000016</v>
      </c>
      <c r="S307" s="1">
        <v>3722.01</v>
      </c>
      <c r="T307" s="3">
        <f t="shared" si="1"/>
        <v>3722.01</v>
      </c>
      <c r="U307" s="5">
        <v>116271.86</v>
      </c>
      <c r="V307" s="3">
        <f>U307-P307-N307-Q307-R307+N307-I308-G308-F308-D307-E307-B307-M306-R306-R305-Q306-Q305-P305-P306-K307-K306-I306-G306-F306-E306-E305-B306-B305-M305-D305-D306-M307-H306-C305-H308-K308</f>
        <v>-1.6513013179064728E-11</v>
      </c>
    </row>
    <row r="308" spans="1:22" x14ac:dyDescent="0.25">
      <c r="A308" t="s">
        <v>454</v>
      </c>
      <c r="B308" s="2">
        <v>7359.7</v>
      </c>
      <c r="F308" s="5">
        <v>39652.29</v>
      </c>
      <c r="G308" s="5">
        <v>-708.23</v>
      </c>
      <c r="H308" s="5">
        <v>-201.6</v>
      </c>
      <c r="N308" s="2">
        <v>27388.65</v>
      </c>
      <c r="O308" s="3">
        <f t="shared" si="0"/>
        <v>9.0949470177292824E-13</v>
      </c>
      <c r="P308" s="2">
        <v>-343.94</v>
      </c>
      <c r="T308" s="3">
        <f t="shared" si="1"/>
        <v>343.94</v>
      </c>
      <c r="U308" s="2">
        <v>27044.71</v>
      </c>
      <c r="V308" s="1">
        <f>U308-P308-N308-Q308-R308+N308-I309-G309-F309-D308-E308-B308-K309-M308-H309-C308-L309</f>
        <v>-1.2505552149377763E-12</v>
      </c>
    </row>
    <row r="309" spans="1:22" x14ac:dyDescent="0.25">
      <c r="A309" t="s">
        <v>455</v>
      </c>
      <c r="B309" s="11">
        <v>5897.93</v>
      </c>
      <c r="F309" s="2">
        <v>20903.899999999998</v>
      </c>
      <c r="G309" s="2">
        <v>-638.76</v>
      </c>
      <c r="H309" s="2">
        <v>-298.35000000000002</v>
      </c>
      <c r="I309" s="2">
        <v>62.160000000000004</v>
      </c>
      <c r="N309" s="11">
        <v>29909.26</v>
      </c>
      <c r="O309" s="3">
        <f t="shared" si="0"/>
        <v>0</v>
      </c>
      <c r="P309" s="11">
        <v>-344.07</v>
      </c>
      <c r="T309" s="3">
        <f t="shared" si="1"/>
        <v>344.07</v>
      </c>
      <c r="U309" s="11">
        <v>29565.19</v>
      </c>
      <c r="V309" s="1">
        <f>U309-P309-N309-Q309-R309+N309-I310-G310-F310-D309-E309-B309-K310-M309-H310-C309-L310</f>
        <v>0</v>
      </c>
    </row>
    <row r="310" spans="1:22" x14ac:dyDescent="0.25">
      <c r="A310" t="s">
        <v>456</v>
      </c>
      <c r="B310" s="32">
        <v>9109.26</v>
      </c>
      <c r="C310" s="32">
        <v>-95.17</v>
      </c>
      <c r="E310" s="32">
        <v>19.34</v>
      </c>
      <c r="F310" s="11">
        <v>25055.26</v>
      </c>
      <c r="G310" s="11">
        <v>-1524.52</v>
      </c>
      <c r="I310" s="11">
        <v>480.59000000000003</v>
      </c>
      <c r="N310" s="32">
        <v>22076.720000000001</v>
      </c>
      <c r="O310" s="3">
        <f t="shared" si="0"/>
        <v>3.637978807091713E-12</v>
      </c>
      <c r="P310" s="32">
        <v>-66.16</v>
      </c>
      <c r="T310" s="3">
        <f t="shared" si="1"/>
        <v>66.16</v>
      </c>
      <c r="U310" s="32">
        <v>22010.560000000001</v>
      </c>
      <c r="V310" s="1">
        <f>U310-P310-N310-Q310-R310+N310-I311-G311-F311-D310-E310-B310-K311-M310-H311-C310-L311</f>
        <v>2.2879476091475226E-12</v>
      </c>
    </row>
    <row r="311" spans="1:22" x14ac:dyDescent="0.25">
      <c r="A311" t="s">
        <v>457</v>
      </c>
      <c r="B311" s="2">
        <v>12438.8</v>
      </c>
      <c r="C311" s="2">
        <v>-43.99</v>
      </c>
      <c r="E311" s="2">
        <v>65.010000000000005</v>
      </c>
      <c r="F311" s="32">
        <v>16497.8</v>
      </c>
      <c r="G311" s="32">
        <v>-3381.9900000000002</v>
      </c>
      <c r="H311" s="32">
        <v>-153.98000000000002</v>
      </c>
      <c r="I311" s="32">
        <v>74.039999999999992</v>
      </c>
      <c r="K311" s="32">
        <v>7.42</v>
      </c>
      <c r="N311" s="2">
        <v>32176.6</v>
      </c>
      <c r="O311" s="3">
        <f t="shared" si="0"/>
        <v>0</v>
      </c>
      <c r="P311" s="2">
        <v>-508.78</v>
      </c>
      <c r="T311" s="3">
        <f t="shared" si="1"/>
        <v>508.78</v>
      </c>
      <c r="U311" s="2">
        <v>31667.82</v>
      </c>
      <c r="V311" s="1">
        <f>U311-P311-N311-Q311-R311+N311-I312-G312-F312-D311-E311-B311-K312-M311-H312-C311-L312</f>
        <v>5.0448534238967113E-13</v>
      </c>
    </row>
    <row r="312" spans="1:22" x14ac:dyDescent="0.25">
      <c r="A312" t="s">
        <v>458</v>
      </c>
      <c r="B312" s="33">
        <v>13885.68</v>
      </c>
      <c r="E312" s="33">
        <v>9.9799999999999986</v>
      </c>
      <c r="F312" s="2">
        <v>22648.71</v>
      </c>
      <c r="G312" s="2">
        <v>-2770.5</v>
      </c>
      <c r="H312" s="2">
        <v>-184.82</v>
      </c>
      <c r="I312" s="2">
        <v>23.39</v>
      </c>
      <c r="O312" s="3">
        <f t="shared" si="0"/>
        <v>-31672.030000000002</v>
      </c>
      <c r="P312" s="33">
        <v>-793.52</v>
      </c>
      <c r="T312" s="3">
        <f t="shared" si="1"/>
        <v>793.52</v>
      </c>
    </row>
    <row r="313" spans="1:22" x14ac:dyDescent="0.25">
      <c r="A313" t="s">
        <v>459</v>
      </c>
      <c r="B313" s="33">
        <v>24807.46</v>
      </c>
      <c r="F313" s="33">
        <v>21544.31</v>
      </c>
      <c r="G313" s="33">
        <v>-3750.5</v>
      </c>
      <c r="H313" s="33">
        <v>-73.12</v>
      </c>
      <c r="I313" s="33">
        <v>55.68</v>
      </c>
      <c r="M313" s="33">
        <v>16240.5</v>
      </c>
      <c r="O313" s="3">
        <f t="shared" si="0"/>
        <v>-41047.96</v>
      </c>
      <c r="P313" s="33">
        <v>-1231.54</v>
      </c>
      <c r="R313" s="61">
        <v>3538.03</v>
      </c>
      <c r="T313" s="3">
        <f t="shared" si="1"/>
        <v>-2306.4900000000002</v>
      </c>
    </row>
    <row r="314" spans="1:22" x14ac:dyDescent="0.25">
      <c r="A314" t="s">
        <v>460</v>
      </c>
      <c r="B314" s="33">
        <v>26219.43</v>
      </c>
      <c r="E314" s="33">
        <v>59.230000000000004</v>
      </c>
      <c r="N314" s="33">
        <v>126575.07</v>
      </c>
      <c r="O314" s="3">
        <f t="shared" si="0"/>
        <v>72719.989999999991</v>
      </c>
      <c r="T314" s="3">
        <f t="shared" si="1"/>
        <v>0</v>
      </c>
      <c r="U314" s="33">
        <v>128088.04</v>
      </c>
      <c r="V314" s="3">
        <f>U314-P314-N314-Q314-R314+N314-I315-G315-F315-D314-E314-B314-M313-R313-R312-Q313-Q312-P312-P313-K314-K313-I313-G313-F313-E313-E312-B313-B312-M312-D312-D313-M314-H313-C312-H315-K315</f>
        <v>-1.2505552149377763E-11</v>
      </c>
    </row>
    <row r="315" spans="1:22" x14ac:dyDescent="0.25">
      <c r="A315" t="s">
        <v>461</v>
      </c>
      <c r="B315" s="35">
        <v>22642.33</v>
      </c>
      <c r="F315" s="33">
        <v>31398.86</v>
      </c>
      <c r="G315" s="33">
        <v>-3038.84</v>
      </c>
      <c r="H315" s="33">
        <v>-825.12</v>
      </c>
      <c r="I315" s="33">
        <v>41.52</v>
      </c>
      <c r="N315" s="35">
        <v>21560.86</v>
      </c>
      <c r="O315" s="3">
        <f t="shared" si="0"/>
        <v>-3.637978807091713E-12</v>
      </c>
      <c r="P315" s="35">
        <v>-290.88</v>
      </c>
      <c r="Q315" s="35">
        <v>0.71</v>
      </c>
      <c r="T315" s="3">
        <f t="shared" si="1"/>
        <v>290.17</v>
      </c>
      <c r="U315" s="35">
        <v>21270.69</v>
      </c>
      <c r="V315" s="1">
        <f>U315-P315-N315-Q315-R315+N315-I316-G316-F316-D315-E315-B315-K316-M315-H316-C315-L316</f>
        <v>-6.8389738316909643E-12</v>
      </c>
    </row>
    <row r="316" spans="1:22" x14ac:dyDescent="0.25">
      <c r="A316" t="s">
        <v>462</v>
      </c>
      <c r="B316" s="47">
        <v>22894.720000000001</v>
      </c>
      <c r="F316" s="35">
        <v>24139.16</v>
      </c>
      <c r="G316" s="35">
        <v>-25255.85</v>
      </c>
      <c r="H316" s="35">
        <v>-12.98</v>
      </c>
      <c r="I316" s="35">
        <v>48.2</v>
      </c>
      <c r="N316" s="47">
        <v>45546.559999999998</v>
      </c>
      <c r="O316" s="3">
        <f t="shared" si="0"/>
        <v>-7.2759576141834259E-12</v>
      </c>
      <c r="P316" s="47">
        <v>-641.14</v>
      </c>
      <c r="T316" s="3">
        <f t="shared" si="1"/>
        <v>641.14</v>
      </c>
      <c r="U316" s="47">
        <v>44905.42</v>
      </c>
      <c r="V316" s="1">
        <f>U316-P316-N316-Q316-R316+N316-I317-G317-F317-D316-E316-B316-K317-M316-H317-C316-L317</f>
        <v>-6.3664629124104977E-12</v>
      </c>
    </row>
    <row r="317" spans="1:22" x14ac:dyDescent="0.25">
      <c r="A317" t="s">
        <v>463</v>
      </c>
      <c r="B317" s="49">
        <v>22343.97</v>
      </c>
      <c r="E317" s="49">
        <v>168.15</v>
      </c>
      <c r="F317" s="47">
        <v>24437.5</v>
      </c>
      <c r="G317" s="47">
        <v>-773.95</v>
      </c>
      <c r="H317" s="47">
        <v>-1011.71</v>
      </c>
      <c r="N317" s="49">
        <v>40800.870000000003</v>
      </c>
      <c r="O317" s="3">
        <f t="shared" si="0"/>
        <v>-7.2759576141834259E-12</v>
      </c>
      <c r="P317" s="49">
        <v>-844.2</v>
      </c>
      <c r="T317" s="3">
        <f t="shared" si="1"/>
        <v>844.2</v>
      </c>
      <c r="U317" s="49">
        <v>39956.67</v>
      </c>
      <c r="V317" s="1">
        <f>U317-P317-N317-Q317-R317+N317-I318-G318-F318-D317-E317-B317-K318-M317-H318-C317-L318</f>
        <v>-1.546140993013978E-11</v>
      </c>
    </row>
    <row r="318" spans="1:22" x14ac:dyDescent="0.25">
      <c r="A318" t="s">
        <v>464</v>
      </c>
      <c r="B318" s="31">
        <v>19991.420000000002</v>
      </c>
      <c r="E318" s="31">
        <v>103.3</v>
      </c>
      <c r="F318" s="49">
        <v>19510.660000000003</v>
      </c>
      <c r="G318" s="49">
        <v>-393.74</v>
      </c>
      <c r="H318" s="49">
        <v>-940.79</v>
      </c>
      <c r="I318" s="49">
        <v>112.62</v>
      </c>
      <c r="N318" s="31">
        <v>47491.95</v>
      </c>
      <c r="O318" s="3">
        <f t="shared" si="0"/>
        <v>-3.637978807091713E-12</v>
      </c>
      <c r="P318" s="31">
        <v>-749.66</v>
      </c>
      <c r="T318" s="3">
        <f t="shared" si="1"/>
        <v>749.66</v>
      </c>
      <c r="U318" s="31">
        <v>46742.29</v>
      </c>
      <c r="V318" s="1">
        <f>U318-P318-N318-Q318-R318+N318-I319-G319-F319-D318-E318-B318-K319-M318-H319-C318-L319</f>
        <v>6.5512040237081237E-12</v>
      </c>
    </row>
    <row r="319" spans="1:22" x14ac:dyDescent="0.25">
      <c r="A319" t="s">
        <v>465</v>
      </c>
      <c r="B319" s="38">
        <v>27812.35</v>
      </c>
      <c r="C319" s="38">
        <v>-91.97999999999999</v>
      </c>
      <c r="E319" s="38">
        <v>24.11</v>
      </c>
      <c r="F319" s="31">
        <v>28901.66</v>
      </c>
      <c r="G319" s="31">
        <v>-1542.04</v>
      </c>
      <c r="H319" s="31">
        <v>-62.21</v>
      </c>
      <c r="I319" s="31">
        <v>50.31</v>
      </c>
      <c r="K319" s="31">
        <v>49.51</v>
      </c>
      <c r="O319" s="3">
        <f t="shared" si="0"/>
        <v>-49668.69</v>
      </c>
      <c r="P319" s="38">
        <v>-373.72</v>
      </c>
      <c r="T319" s="3">
        <f t="shared" si="1"/>
        <v>373.72</v>
      </c>
    </row>
    <row r="320" spans="1:22" x14ac:dyDescent="0.25">
      <c r="A320" t="s">
        <v>466</v>
      </c>
      <c r="B320" s="38">
        <v>30845.579999999998</v>
      </c>
      <c r="F320" s="38">
        <v>23186.33</v>
      </c>
      <c r="G320" s="38">
        <v>-928.46</v>
      </c>
      <c r="H320" s="38">
        <v>-333.65999999999997</v>
      </c>
      <c r="M320" s="38">
        <v>16294.039999999999</v>
      </c>
      <c r="O320" s="3">
        <f t="shared" si="0"/>
        <v>-47139.619999999995</v>
      </c>
      <c r="P320" s="38">
        <v>-588.95000000000005</v>
      </c>
      <c r="R320" s="38">
        <v>1797.59</v>
      </c>
      <c r="T320" s="3">
        <f t="shared" si="1"/>
        <v>-1208.6399999999999</v>
      </c>
    </row>
    <row r="321" spans="1:23" x14ac:dyDescent="0.25">
      <c r="A321" t="s">
        <v>467</v>
      </c>
      <c r="B321" s="38">
        <v>17685.84</v>
      </c>
      <c r="N321" s="38">
        <v>151375.38</v>
      </c>
      <c r="O321" s="3">
        <f t="shared" si="0"/>
        <v>96808.310000000027</v>
      </c>
      <c r="P321" s="38">
        <v>-1264.3599999999999</v>
      </c>
      <c r="T321" s="3">
        <f t="shared" si="1"/>
        <v>1264.3599999999999</v>
      </c>
      <c r="U321" s="38">
        <v>150945.94</v>
      </c>
      <c r="V321" s="3">
        <f>U321-P321-N321-Q321-R321+N321-I322-G322-F322-D321-E321-B321-M320-R320-R319-Q320-Q319-P319-P320-K321-K320-I320-G320-F320-E320-E319-B320-B319-M319-D319-D320-M321-H320-C319-H322-K322</f>
        <v>1.4367174117069226E-11</v>
      </c>
    </row>
    <row r="322" spans="1:23" x14ac:dyDescent="0.25">
      <c r="A322" t="s">
        <v>468</v>
      </c>
      <c r="B322" s="37">
        <v>28574.829999999998</v>
      </c>
      <c r="C322" s="37">
        <v>-91.66</v>
      </c>
      <c r="F322" s="38">
        <v>38151.829999999994</v>
      </c>
      <c r="G322" s="38">
        <v>-1213.8999999999999</v>
      </c>
      <c r="H322" s="38">
        <v>-56.7</v>
      </c>
      <c r="N322" s="37">
        <v>52588.97</v>
      </c>
      <c r="O322" s="3">
        <f t="shared" si="0"/>
        <v>0</v>
      </c>
      <c r="P322" s="37">
        <v>-369.53</v>
      </c>
      <c r="T322" s="3">
        <f t="shared" si="1"/>
        <v>369.53</v>
      </c>
      <c r="U322" s="37">
        <v>52219.44</v>
      </c>
      <c r="V322" s="1">
        <f>U322-P322-N322-Q322-R322+N322-I323-G323-F323-D322-E322-B322-K323-M322-H323-C322-L323</f>
        <v>2.7000623958883807E-12</v>
      </c>
    </row>
    <row r="323" spans="1:23" x14ac:dyDescent="0.25">
      <c r="A323" t="s">
        <v>469</v>
      </c>
      <c r="B323" s="2">
        <v>27910.959999999999</v>
      </c>
      <c r="F323" s="37">
        <v>25196.04</v>
      </c>
      <c r="G323" s="37">
        <v>-787.07</v>
      </c>
      <c r="H323" s="37">
        <v>-473.45</v>
      </c>
      <c r="I323" s="37">
        <v>154.71</v>
      </c>
      <c r="K323" s="37">
        <v>15.57</v>
      </c>
      <c r="N323" s="2">
        <v>47376.43</v>
      </c>
      <c r="O323" s="3">
        <f t="shared" si="0"/>
        <v>3.637978807091713E-12</v>
      </c>
      <c r="P323" s="2">
        <v>-273.27999999999997</v>
      </c>
      <c r="T323" s="3">
        <f t="shared" si="1"/>
        <v>273.27999999999997</v>
      </c>
      <c r="U323" s="2">
        <v>47103.15</v>
      </c>
      <c r="V323" s="1">
        <f>U323-P323-N323-Q323-R323+N323-I324-G324-F324-D323-E323-B323-K324-M323-H324-C323-L324</f>
        <v>5.5706550483591855E-12</v>
      </c>
    </row>
    <row r="324" spans="1:23" x14ac:dyDescent="0.25">
      <c r="A324" t="s">
        <v>470</v>
      </c>
      <c r="B324" s="34">
        <v>29368.3</v>
      </c>
      <c r="E324" s="34">
        <v>115.38</v>
      </c>
      <c r="F324" s="2">
        <v>22782.62</v>
      </c>
      <c r="G324" s="2">
        <v>-2333.1600000000003</v>
      </c>
      <c r="H324" s="2">
        <v>-983.9899999999999</v>
      </c>
      <c r="N324" s="34">
        <v>58860.98</v>
      </c>
      <c r="O324" s="3">
        <f t="shared" si="0"/>
        <v>3.637978807091713E-12</v>
      </c>
      <c r="P324" s="34">
        <v>-487.21</v>
      </c>
      <c r="T324" s="3">
        <f t="shared" si="1"/>
        <v>487.21</v>
      </c>
      <c r="U324" s="34">
        <v>58373.77</v>
      </c>
      <c r="V324" s="1">
        <f>U324-P324-N324-Q324-R324+N324-I325-G325-F325-D324-E324-B324-K325-M324-H325-C324-L325</f>
        <v>-6.8212102632969618E-12</v>
      </c>
    </row>
    <row r="325" spans="1:23" x14ac:dyDescent="0.25">
      <c r="A325" t="s">
        <v>471</v>
      </c>
      <c r="B325" s="46">
        <v>31521.56</v>
      </c>
      <c r="E325" s="46">
        <v>39.86</v>
      </c>
      <c r="F325" s="34">
        <v>31243.02</v>
      </c>
      <c r="G325" s="34">
        <v>-786.49</v>
      </c>
      <c r="H325" s="34">
        <v>-1079.23</v>
      </c>
      <c r="N325" s="46">
        <v>58485.13</v>
      </c>
      <c r="O325" s="3">
        <f t="shared" si="0"/>
        <v>3.637978807091713E-12</v>
      </c>
      <c r="P325" s="46">
        <v>-695.28</v>
      </c>
      <c r="T325" s="3">
        <f t="shared" si="1"/>
        <v>695.28</v>
      </c>
      <c r="U325" s="46">
        <v>57789.85</v>
      </c>
      <c r="V325" s="1">
        <f>U325-P325-N325-Q325-R325+N325-I326-G326-F326-D325-E325-B325-K326-M325-H326-C325-L326</f>
        <v>-6.2527760746888816E-12</v>
      </c>
    </row>
    <row r="326" spans="1:23" x14ac:dyDescent="0.25">
      <c r="A326" t="s">
        <v>472</v>
      </c>
      <c r="B326" s="33">
        <v>30051.13</v>
      </c>
      <c r="C326" s="33">
        <v>-172.76999999999998</v>
      </c>
      <c r="F326" s="46">
        <v>30033.239999999998</v>
      </c>
      <c r="G326" s="46">
        <v>-3023.4799999999996</v>
      </c>
      <c r="H326" s="46">
        <v>-101.62</v>
      </c>
      <c r="I326" s="46">
        <v>15.57</v>
      </c>
      <c r="O326" s="3">
        <f t="shared" si="0"/>
        <v>-56687.92</v>
      </c>
      <c r="P326" s="33">
        <v>-593.6</v>
      </c>
      <c r="T326" s="3">
        <f t="shared" si="1"/>
        <v>593.6</v>
      </c>
    </row>
    <row r="327" spans="1:23" x14ac:dyDescent="0.25">
      <c r="A327" t="s">
        <v>473</v>
      </c>
      <c r="B327" s="33">
        <v>27830.27</v>
      </c>
      <c r="F327" s="33">
        <v>27127.68</v>
      </c>
      <c r="G327" s="33">
        <v>-483.82000000000005</v>
      </c>
      <c r="I327" s="33">
        <v>55.970000000000006</v>
      </c>
      <c r="K327" s="33">
        <v>109.73</v>
      </c>
      <c r="M327" s="33">
        <v>19901.490000000002</v>
      </c>
      <c r="O327" s="3">
        <f t="shared" si="0"/>
        <v>-47731.76</v>
      </c>
      <c r="P327" s="33">
        <v>-352.79</v>
      </c>
      <c r="R327" s="33">
        <v>4880.45</v>
      </c>
      <c r="T327" s="3">
        <f t="shared" si="1"/>
        <v>-4527.66</v>
      </c>
    </row>
    <row r="328" spans="1:23" x14ac:dyDescent="0.25">
      <c r="A328" t="s">
        <v>474</v>
      </c>
      <c r="B328" s="33">
        <v>31655.260000000002</v>
      </c>
      <c r="N328" s="33">
        <v>181678.4</v>
      </c>
      <c r="O328" s="3">
        <f t="shared" si="0"/>
        <v>104419.68</v>
      </c>
      <c r="P328" s="33">
        <v>-341.62</v>
      </c>
      <c r="S328" s="1">
        <v>3592.44</v>
      </c>
      <c r="T328" s="3">
        <f t="shared" si="1"/>
        <v>3934.06</v>
      </c>
      <c r="U328" s="33">
        <v>185270.84</v>
      </c>
      <c r="V328" s="3">
        <f>U328-P328-N328-Q328-R328+N328-I329-G329-F329-D328-E328-B328-M327-R327-R326-Q327-Q326-P326-P327-K328-K327-I327-G327-F327-E327-E326-B327-B326-M326-D326-D327-M328-H327-C326-H329-K329</f>
        <v>1.6861179119587177E-11</v>
      </c>
    </row>
    <row r="329" spans="1:23" x14ac:dyDescent="0.25">
      <c r="A329" t="s">
        <v>475</v>
      </c>
      <c r="B329" s="49">
        <v>30617.1</v>
      </c>
      <c r="D329" s="49">
        <v>14.770000000000001</v>
      </c>
      <c r="F329" s="33">
        <v>46718.95</v>
      </c>
      <c r="G329" s="33">
        <v>-1421.3500000000001</v>
      </c>
      <c r="H329" s="33">
        <v>-12.79</v>
      </c>
      <c r="I329" s="33">
        <v>318.64999999999998</v>
      </c>
      <c r="N329" s="49">
        <v>50766.94</v>
      </c>
      <c r="O329" s="3">
        <f t="shared" si="0"/>
        <v>7.2759576141834259E-12</v>
      </c>
      <c r="P329" s="49">
        <v>-364.33</v>
      </c>
      <c r="T329" s="3">
        <f t="shared" si="1"/>
        <v>364.33</v>
      </c>
      <c r="U329" s="49">
        <v>50402.61</v>
      </c>
      <c r="V329" s="1">
        <f>U329-P329-N329-Q329-R329+N329-I330-G330-F330-D329-E329-B329-K330-M329-H330-C329-L330</f>
        <v>6.1390892369672656E-12</v>
      </c>
    </row>
    <row r="330" spans="1:23" x14ac:dyDescent="0.25">
      <c r="A330" t="s">
        <v>476</v>
      </c>
      <c r="B330" s="32">
        <v>33565.61</v>
      </c>
      <c r="F330" s="49">
        <v>21019.31</v>
      </c>
      <c r="G330" s="49">
        <v>-1345.41</v>
      </c>
      <c r="H330" s="49">
        <v>-300.97000000000003</v>
      </c>
      <c r="I330" s="49">
        <v>762.14</v>
      </c>
      <c r="N330" s="32">
        <v>62139.78</v>
      </c>
      <c r="O330" s="3">
        <f t="shared" si="0"/>
        <v>1.4551915228366852E-11</v>
      </c>
      <c r="P330" s="32">
        <v>-646.14</v>
      </c>
      <c r="T330" s="3">
        <f t="shared" ref="T330:T361" si="2">S330-R330-Q330-P330</f>
        <v>646.14</v>
      </c>
      <c r="U330" s="32">
        <v>61493.64</v>
      </c>
      <c r="V330" s="1">
        <f>U330-P330-N330-Q330-R330+N330-I331-G331-F331-D330-E330-B330-K331-M330-H331-C330-L331</f>
        <v>8.1286088970955461E-12</v>
      </c>
    </row>
    <row r="331" spans="1:23" x14ac:dyDescent="0.25">
      <c r="A331" t="s">
        <v>477</v>
      </c>
      <c r="B331" s="38">
        <v>36664.71</v>
      </c>
      <c r="E331" s="38">
        <v>94.47</v>
      </c>
      <c r="F331" s="32">
        <v>30045.51</v>
      </c>
      <c r="G331" s="32">
        <v>-1176.9100000000001</v>
      </c>
      <c r="H331" s="32">
        <v>-317.22999999999996</v>
      </c>
      <c r="I331" s="32">
        <v>132.53</v>
      </c>
      <c r="K331" s="32">
        <v>-109.73</v>
      </c>
      <c r="N331" s="38">
        <v>69918.570000000007</v>
      </c>
      <c r="O331" s="3">
        <f t="shared" si="0"/>
        <v>-0.60000000000582077</v>
      </c>
      <c r="P331" s="38">
        <v>-450.89</v>
      </c>
      <c r="T331" s="3">
        <f t="shared" si="2"/>
        <v>450.89</v>
      </c>
      <c r="U331" s="38">
        <v>69467.679999999993</v>
      </c>
      <c r="V331" s="1">
        <f>U331-P331-N331-Q331-R331+N331-I332-G332-F332-D331-E331-B331-K332-M331-H332-C331-L332</f>
        <v>-1.4553358518298865E-11</v>
      </c>
      <c r="W331" s="1" t="s">
        <v>1467</v>
      </c>
    </row>
    <row r="332" spans="1:23" x14ac:dyDescent="0.25">
      <c r="A332" t="s">
        <v>478</v>
      </c>
      <c r="B332" s="35">
        <v>34158.080000000002</v>
      </c>
      <c r="E332" s="35">
        <v>5.59</v>
      </c>
      <c r="F332" s="38">
        <v>33545.68</v>
      </c>
      <c r="G332" s="38">
        <v>-877.51</v>
      </c>
      <c r="H332" s="38">
        <v>-57.4</v>
      </c>
      <c r="I332" s="38">
        <v>549.22</v>
      </c>
      <c r="L332" s="1">
        <v>-0.6</v>
      </c>
      <c r="N332" s="35">
        <v>68968.19</v>
      </c>
      <c r="O332" s="3">
        <f t="shared" si="0"/>
        <v>0.6</v>
      </c>
      <c r="P332" s="35">
        <v>-305.64</v>
      </c>
      <c r="T332" s="3">
        <f t="shared" si="2"/>
        <v>305.64</v>
      </c>
      <c r="U332" s="35">
        <v>68662.55</v>
      </c>
      <c r="V332" s="1">
        <f>U332-P332-N332-Q332-R332+N332-I333-G333-F333-D332-E332-B332-K333-M332-H333-C332-L333</f>
        <v>0</v>
      </c>
    </row>
    <row r="333" spans="1:23" x14ac:dyDescent="0.25">
      <c r="A333" t="s">
        <v>479</v>
      </c>
      <c r="B333" s="53">
        <v>33869.68</v>
      </c>
      <c r="E333" s="53">
        <v>25.57</v>
      </c>
      <c r="F333" s="35">
        <v>35559.550000000003</v>
      </c>
      <c r="G333" s="35">
        <v>-991.01</v>
      </c>
      <c r="I333" s="35">
        <v>235.98</v>
      </c>
      <c r="O333" s="3">
        <f t="shared" si="0"/>
        <v>-59669.61</v>
      </c>
      <c r="P333" s="53">
        <v>-523.63</v>
      </c>
      <c r="T333" s="3">
        <f t="shared" si="2"/>
        <v>523.63</v>
      </c>
    </row>
    <row r="334" spans="1:23" x14ac:dyDescent="0.25">
      <c r="A334" t="s">
        <v>480</v>
      </c>
      <c r="B334" s="53">
        <v>38013.810000000005</v>
      </c>
      <c r="E334" s="53">
        <v>45.09</v>
      </c>
      <c r="F334" s="53">
        <v>26927.94</v>
      </c>
      <c r="G334" s="53">
        <v>-1140.01</v>
      </c>
      <c r="H334" s="53">
        <v>-22.43</v>
      </c>
      <c r="I334" s="53">
        <v>8.86</v>
      </c>
      <c r="M334" s="53">
        <v>21763.09</v>
      </c>
      <c r="O334" s="3">
        <f t="shared" si="0"/>
        <v>-59821.990000000005</v>
      </c>
      <c r="P334" s="53">
        <v>-552.26</v>
      </c>
      <c r="R334" s="53">
        <v>6911.53</v>
      </c>
      <c r="T334" s="3">
        <f t="shared" si="2"/>
        <v>-6359.2699999999995</v>
      </c>
    </row>
    <row r="335" spans="1:23" x14ac:dyDescent="0.25">
      <c r="A335" t="s">
        <v>481</v>
      </c>
      <c r="B335" s="53">
        <v>31793.85</v>
      </c>
      <c r="E335" s="53">
        <v>42.92</v>
      </c>
      <c r="L335" s="1">
        <v>-0.6</v>
      </c>
      <c r="N335" s="53">
        <v>201269.62</v>
      </c>
      <c r="O335" s="3">
        <f t="shared" si="0"/>
        <v>119491.59999999998</v>
      </c>
      <c r="P335" s="53">
        <v>-131.55000000000001</v>
      </c>
      <c r="S335" s="1">
        <v>5704.09</v>
      </c>
      <c r="T335" s="3">
        <f t="shared" si="2"/>
        <v>5835.64</v>
      </c>
      <c r="U335" s="53">
        <v>206973.71</v>
      </c>
      <c r="V335" s="3">
        <f>U335-P335-N335-Q335-R335+N335-I336-G336-F336-D335-E335-B335-M334-R334-R333-Q334-Q333-P333-P334-K335-K334-I334-G334-F334-E334-E333-B334-B333-M333-D333-D334-M335-H334-C333-H336-K336</f>
        <v>-0.60000000005704379</v>
      </c>
      <c r="W335" s="1" t="s">
        <v>1468</v>
      </c>
    </row>
    <row r="336" spans="1:23" x14ac:dyDescent="0.25">
      <c r="A336" t="s">
        <v>482</v>
      </c>
      <c r="B336" s="62">
        <v>33864.32</v>
      </c>
      <c r="F336" s="53">
        <v>50795.149999999994</v>
      </c>
      <c r="G336" s="53">
        <v>-853.30000000000007</v>
      </c>
      <c r="N336" s="62">
        <v>57807.96</v>
      </c>
      <c r="O336" s="3">
        <f t="shared" si="0"/>
        <v>7.2759576141834259E-12</v>
      </c>
      <c r="P336" s="62">
        <v>-408.43</v>
      </c>
      <c r="T336" s="3">
        <f t="shared" si="2"/>
        <v>408.43</v>
      </c>
      <c r="U336" s="62">
        <v>57399.53</v>
      </c>
      <c r="V336" s="1">
        <f>U336-P336-N336-Q336-R336+N336-I337-G337-F337-D336-E336-B336-K337-M336-H337-C336-L337</f>
        <v>0.60000000000321163</v>
      </c>
    </row>
    <row r="337" spans="1:23" x14ac:dyDescent="0.25">
      <c r="A337" t="s">
        <v>483</v>
      </c>
      <c r="B337" s="34">
        <v>36502.769999999997</v>
      </c>
      <c r="F337" s="62">
        <v>26494.12</v>
      </c>
      <c r="G337" s="62">
        <v>-2525.1799999999998</v>
      </c>
      <c r="H337" s="62">
        <v>-134.66</v>
      </c>
      <c r="I337" s="62">
        <v>40.72</v>
      </c>
      <c r="K337" s="62">
        <v>68.64</v>
      </c>
      <c r="L337" s="1">
        <v>-0.6</v>
      </c>
      <c r="M337" s="34">
        <v>10598.080000000002</v>
      </c>
      <c r="N337" s="34">
        <v>79533.119999999995</v>
      </c>
      <c r="O337" s="3">
        <f t="shared" si="0"/>
        <v>8.7311269325596186E-12</v>
      </c>
      <c r="P337" s="34">
        <v>-911.36</v>
      </c>
      <c r="R337" s="34">
        <v>1113.8900000000001</v>
      </c>
      <c r="T337" s="3">
        <f t="shared" si="2"/>
        <v>-202.53000000000009</v>
      </c>
      <c r="U337" s="34">
        <v>79735.649999999994</v>
      </c>
      <c r="V337" s="1">
        <f>U337-P337-N337-Q337-R337+N337-I338-G338-F338-D337-E337-B337-K338-M337-H338-C337-L338</f>
        <v>-0.59999999999467946</v>
      </c>
      <c r="W337" s="1" t="s">
        <v>1469</v>
      </c>
    </row>
    <row r="338" spans="1:23" x14ac:dyDescent="0.25">
      <c r="A338" t="s">
        <v>484</v>
      </c>
      <c r="B338" s="56">
        <v>39279.89</v>
      </c>
      <c r="F338" s="34">
        <v>32956.6</v>
      </c>
      <c r="G338" s="34">
        <v>-272.82</v>
      </c>
      <c r="H338" s="34">
        <v>-545.49</v>
      </c>
      <c r="I338" s="34">
        <v>20.64</v>
      </c>
      <c r="K338" s="34">
        <v>273.94</v>
      </c>
      <c r="N338" s="56">
        <v>75426.59</v>
      </c>
      <c r="O338" s="3">
        <f t="shared" si="0"/>
        <v>0</v>
      </c>
      <c r="P338" s="56">
        <v>-1556.88</v>
      </c>
      <c r="T338" s="3">
        <f t="shared" si="2"/>
        <v>1556.88</v>
      </c>
      <c r="U338" s="56">
        <v>73869.710000000006</v>
      </c>
      <c r="V338" s="1">
        <f>U338-P338-N338-Q338-R338+N338-I339-G339-F339-D338-E338-B338-K339-M338-H339-C338-L339</f>
        <v>0.60000000001455189</v>
      </c>
    </row>
    <row r="339" spans="1:23" x14ac:dyDescent="0.25">
      <c r="A339" t="s">
        <v>485</v>
      </c>
      <c r="B339" s="59">
        <v>38584.870000000003</v>
      </c>
      <c r="D339" s="59">
        <v>62.66</v>
      </c>
      <c r="F339" s="56">
        <v>36532.009999999995</v>
      </c>
      <c r="G339" s="56">
        <v>-644.84</v>
      </c>
      <c r="I339" s="56">
        <v>259.53000000000003</v>
      </c>
      <c r="L339" s="1">
        <v>-0.6</v>
      </c>
      <c r="N339" s="59">
        <v>73210.17</v>
      </c>
      <c r="O339" s="3">
        <f t="shared" si="0"/>
        <v>-1.3096745909990659E-11</v>
      </c>
      <c r="P339" s="59">
        <v>-419.18</v>
      </c>
      <c r="T339" s="3">
        <f t="shared" si="2"/>
        <v>419.18</v>
      </c>
      <c r="U339" s="59">
        <v>72790.990000000005</v>
      </c>
      <c r="V339" s="1">
        <f>U339-P339-N339-Q339-R339+N339-I340-G340-F340-D339-E339-B339-K340-M339-H340-C339-L340</f>
        <v>-0.60000000001484288</v>
      </c>
      <c r="W339" s="1" t="s">
        <v>1470</v>
      </c>
    </row>
    <row r="340" spans="1:23" x14ac:dyDescent="0.25">
      <c r="A340" t="s">
        <v>486</v>
      </c>
      <c r="B340" s="57">
        <v>39126.67</v>
      </c>
      <c r="D340" s="57">
        <v>182.02</v>
      </c>
      <c r="E340" s="57">
        <v>31.78</v>
      </c>
      <c r="F340" s="59">
        <v>36082.130000000005</v>
      </c>
      <c r="G340" s="59">
        <v>-1661.58</v>
      </c>
      <c r="H340" s="59">
        <v>-1.83</v>
      </c>
      <c r="I340" s="59">
        <v>144.52000000000001</v>
      </c>
      <c r="O340" s="3">
        <f t="shared" si="0"/>
        <v>-69442.549999999988</v>
      </c>
      <c r="P340" s="57">
        <v>-908.01</v>
      </c>
      <c r="T340" s="3">
        <f t="shared" si="2"/>
        <v>908.01</v>
      </c>
    </row>
    <row r="341" spans="1:23" x14ac:dyDescent="0.25">
      <c r="A341" t="s">
        <v>487</v>
      </c>
      <c r="B341" s="57">
        <v>43887.67</v>
      </c>
      <c r="D341" s="57">
        <v>77.62</v>
      </c>
      <c r="E341" s="57">
        <v>17.239999999999998</v>
      </c>
      <c r="F341" s="57">
        <v>31090.94</v>
      </c>
      <c r="G341" s="57">
        <v>-896.43</v>
      </c>
      <c r="H341" s="57">
        <v>-107.18</v>
      </c>
      <c r="I341" s="57">
        <v>14.75</v>
      </c>
      <c r="M341" s="57">
        <v>21887.880000000005</v>
      </c>
      <c r="O341" s="3">
        <f t="shared" si="0"/>
        <v>-65870.41</v>
      </c>
      <c r="P341" s="57">
        <v>-726.2</v>
      </c>
      <c r="R341" s="57">
        <v>4004.5600000000009</v>
      </c>
      <c r="T341" s="3">
        <f t="shared" si="2"/>
        <v>-3278.3600000000006</v>
      </c>
    </row>
    <row r="342" spans="1:23" x14ac:dyDescent="0.25">
      <c r="A342" t="s">
        <v>488</v>
      </c>
      <c r="B342" s="57">
        <v>43011.42</v>
      </c>
      <c r="N342" s="57">
        <v>224351</v>
      </c>
      <c r="O342" s="3">
        <f t="shared" si="0"/>
        <v>135312.96000000002</v>
      </c>
      <c r="P342" s="57">
        <v>-170.84</v>
      </c>
      <c r="S342" s="1">
        <v>2199.5100000000002</v>
      </c>
      <c r="T342" s="3">
        <f t="shared" si="2"/>
        <v>2370.3500000000004</v>
      </c>
      <c r="U342" s="57">
        <v>226550.51</v>
      </c>
      <c r="V342" s="3">
        <f>U342-P342-N342-Q342-R342+N342-I343-G343-F343-D342-E342-B342-M341-R341-R340-Q341-Q340-P340-P341-K342-K341-I341-G341-F341-E341-E340-B341-B340-M340-D340-D341-M342-H341-C340-H343-K343</f>
        <v>-2.5011104298755527E-11</v>
      </c>
    </row>
    <row r="343" spans="1:23" x14ac:dyDescent="0.25">
      <c r="A343" t="s">
        <v>489</v>
      </c>
      <c r="B343" s="10">
        <v>38341.100000000006</v>
      </c>
      <c r="F343" s="57">
        <v>48595.29</v>
      </c>
      <c r="G343" s="57">
        <v>-2568.67</v>
      </c>
      <c r="I343" s="57">
        <v>273.94</v>
      </c>
      <c r="K343" s="57">
        <v>-273.94</v>
      </c>
      <c r="N343" s="10">
        <v>67245.66</v>
      </c>
      <c r="O343" s="3">
        <f t="shared" si="0"/>
        <v>1.4551915228366852E-11</v>
      </c>
      <c r="P343" s="10">
        <v>-1104.43</v>
      </c>
      <c r="T343" s="3">
        <f t="shared" si="2"/>
        <v>1104.43</v>
      </c>
      <c r="U343" s="10">
        <v>66141.23</v>
      </c>
      <c r="V343" s="1">
        <f>U343-P343-N343-Q343-R343+N343-I344-G344-F344-D343-E343-B343-K344-M343-H344-C343-L344</f>
        <v>-4.6611603465862572E-12</v>
      </c>
    </row>
    <row r="344" spans="1:23" x14ac:dyDescent="0.25">
      <c r="A344" t="s">
        <v>490</v>
      </c>
      <c r="B344" s="37">
        <v>45787.94</v>
      </c>
      <c r="E344" s="37">
        <v>63.830000000000005</v>
      </c>
      <c r="F344" s="10">
        <v>30714.76</v>
      </c>
      <c r="G344" s="10">
        <v>-1630.25</v>
      </c>
      <c r="H344" s="10">
        <v>-277.63</v>
      </c>
      <c r="I344" s="10">
        <v>97.68</v>
      </c>
      <c r="N344" s="37">
        <v>69119.53</v>
      </c>
      <c r="O344" s="3">
        <f t="shared" si="0"/>
        <v>7.2759576141834259E-12</v>
      </c>
      <c r="P344" s="37">
        <v>-289.55</v>
      </c>
      <c r="T344" s="3">
        <f t="shared" si="2"/>
        <v>289.55</v>
      </c>
      <c r="U344" s="37">
        <v>68829.98</v>
      </c>
      <c r="V344" s="1">
        <f>U344-P344-N344-Q344-R344+N344-I345-G345-F345-D344-E344-B344-K345-M344-H345-C344-L345</f>
        <v>-4.3769432522822171E-12</v>
      </c>
    </row>
    <row r="345" spans="1:23" x14ac:dyDescent="0.25">
      <c r="A345" t="s">
        <v>491</v>
      </c>
      <c r="B345" s="9">
        <v>45546.39</v>
      </c>
      <c r="C345" s="9">
        <v>-76.66</v>
      </c>
      <c r="D345" s="9">
        <v>346.01</v>
      </c>
      <c r="E345" s="9">
        <v>9.1499999999999986</v>
      </c>
      <c r="F345" s="37">
        <v>24328.71</v>
      </c>
      <c r="G345" s="37">
        <v>-1033.6799999999998</v>
      </c>
      <c r="H345" s="37">
        <v>-278.32</v>
      </c>
      <c r="I345" s="37">
        <v>242.68</v>
      </c>
      <c r="K345" s="37">
        <v>8.3699999999999992</v>
      </c>
      <c r="N345" s="9">
        <v>71503.45</v>
      </c>
      <c r="O345" s="3">
        <f t="shared" si="0"/>
        <v>-7.2759576141834259E-12</v>
      </c>
      <c r="P345" s="9">
        <v>-157.66</v>
      </c>
      <c r="T345" s="3">
        <f t="shared" si="2"/>
        <v>157.66</v>
      </c>
      <c r="U345" s="9">
        <v>71345.789999999994</v>
      </c>
      <c r="V345" s="1">
        <f>U345-P345-N345-Q345-R345+N345-I346-G346-F346-D345-E345-B345-K346-M345-H346-C345-L346</f>
        <v>-1.5489831639570184E-11</v>
      </c>
    </row>
    <row r="346" spans="1:23" x14ac:dyDescent="0.25">
      <c r="A346" t="s">
        <v>492</v>
      </c>
      <c r="B346" s="2">
        <v>51639.86</v>
      </c>
      <c r="F346" s="9">
        <v>30248.04</v>
      </c>
      <c r="G346" s="9">
        <v>-4250.57</v>
      </c>
      <c r="H346" s="9">
        <v>-380.66999999999996</v>
      </c>
      <c r="I346" s="9">
        <v>58.97</v>
      </c>
      <c r="K346" s="9">
        <v>2.79</v>
      </c>
      <c r="N346" s="2">
        <v>84947.44</v>
      </c>
      <c r="O346" s="3">
        <f t="shared" si="0"/>
        <v>7.2759576141834259E-12</v>
      </c>
      <c r="P346" s="2">
        <v>-691.11</v>
      </c>
      <c r="T346" s="3">
        <f t="shared" si="2"/>
        <v>691.11</v>
      </c>
      <c r="U346" s="2">
        <v>84256.33</v>
      </c>
      <c r="V346" s="1">
        <f>U346-P346-N346-Q346-R346+N346-I347-G347-F347-D346-E346-B346-K347-M346-H347-C346-L347</f>
        <v>3.780087354243733E-12</v>
      </c>
    </row>
    <row r="347" spans="1:23" x14ac:dyDescent="0.25">
      <c r="A347" t="s">
        <v>493</v>
      </c>
      <c r="B347" s="5">
        <v>48931.33</v>
      </c>
      <c r="F347" s="2">
        <v>34630.120000000003</v>
      </c>
      <c r="G347" s="2">
        <v>-1080.8800000000001</v>
      </c>
      <c r="H347" s="2">
        <v>-241.66</v>
      </c>
      <c r="O347" s="3">
        <f t="shared" si="0"/>
        <v>-79487.77</v>
      </c>
      <c r="P347" s="5">
        <v>-194.86</v>
      </c>
      <c r="T347" s="3">
        <f t="shared" si="2"/>
        <v>194.86</v>
      </c>
    </row>
    <row r="348" spans="1:23" x14ac:dyDescent="0.25">
      <c r="A348" t="s">
        <v>494</v>
      </c>
      <c r="B348" s="5">
        <v>47824.33</v>
      </c>
      <c r="E348" s="5">
        <v>22.48</v>
      </c>
      <c r="F348" s="5">
        <v>31565.68</v>
      </c>
      <c r="G348" s="5">
        <v>-1048.6300000000001</v>
      </c>
      <c r="H348" s="5">
        <v>-37.81</v>
      </c>
      <c r="I348" s="5">
        <v>82.78</v>
      </c>
      <c r="K348" s="5">
        <v>-5.58</v>
      </c>
      <c r="M348" s="5">
        <v>43707.859999999993</v>
      </c>
      <c r="O348" s="3">
        <f t="shared" si="0"/>
        <v>-91554.67</v>
      </c>
      <c r="P348" s="5">
        <v>-1224.3399999999999</v>
      </c>
      <c r="R348" s="5">
        <v>2433.6800000000003</v>
      </c>
      <c r="T348" s="3">
        <f t="shared" si="2"/>
        <v>-1209.3400000000004</v>
      </c>
      <c r="V348" s="3"/>
    </row>
    <row r="349" spans="1:23" x14ac:dyDescent="0.25">
      <c r="A349" t="s">
        <v>495</v>
      </c>
      <c r="B349" s="5">
        <v>50128.07</v>
      </c>
      <c r="E349" s="5">
        <v>359.22999999999996</v>
      </c>
      <c r="L349" s="1">
        <v>-0.6</v>
      </c>
      <c r="N349" s="5">
        <v>265246.67</v>
      </c>
      <c r="O349" s="3">
        <f t="shared" si="0"/>
        <v>171042.43999999994</v>
      </c>
      <c r="P349" s="5">
        <v>-179.43</v>
      </c>
      <c r="S349" s="1">
        <v>2433.6799999999998</v>
      </c>
      <c r="T349" s="3">
        <f t="shared" si="2"/>
        <v>2613.1099999999997</v>
      </c>
      <c r="U349" s="5">
        <v>266081.71999999997</v>
      </c>
      <c r="V349" s="3">
        <f>U349-P349-N349-Q349-R349+N349-I350-G350-F350-D349-E349-B349-M348-R348-R347-Q348-Q347-P347-P348-K349-K348-I348-G348-F348-E348-E347-B348-B347-M347-D347-D348-M349-H348-C347-H350-K350</f>
        <v>-0.60000000003084786</v>
      </c>
      <c r="W349" s="1" t="s">
        <v>1471</v>
      </c>
    </row>
    <row r="350" spans="1:23" x14ac:dyDescent="0.25">
      <c r="A350" t="s">
        <v>496</v>
      </c>
      <c r="B350" s="4">
        <v>56053.130000000005</v>
      </c>
      <c r="C350" s="4">
        <v>-172.64000000000001</v>
      </c>
      <c r="E350" s="4">
        <v>12.959999999999999</v>
      </c>
      <c r="F350" s="5">
        <v>45665.55</v>
      </c>
      <c r="G350" s="5">
        <v>-1938.8500000000001</v>
      </c>
      <c r="H350" s="5">
        <v>-9.17</v>
      </c>
      <c r="N350" s="4">
        <v>89207.67</v>
      </c>
      <c r="O350" s="3">
        <f t="shared" si="0"/>
        <v>-2.1827872842550278E-11</v>
      </c>
      <c r="P350" s="4">
        <v>-132.30000000000001</v>
      </c>
      <c r="T350" s="3">
        <f t="shared" si="2"/>
        <v>132.30000000000001</v>
      </c>
      <c r="U350" s="4">
        <v>89075.37</v>
      </c>
      <c r="V350" s="1">
        <f>U350-P350-N350-Q350-R350+N350-I351-G351-F351-D350-E350-B350-K351-M350-H351-C350-L351</f>
        <v>-1.4807710613240488E-11</v>
      </c>
    </row>
    <row r="351" spans="1:23" x14ac:dyDescent="0.25">
      <c r="A351" t="s">
        <v>497</v>
      </c>
      <c r="B351" s="6">
        <v>58734.869999999995</v>
      </c>
      <c r="F351" s="4">
        <v>33821.08</v>
      </c>
      <c r="G351" s="4">
        <v>-1009.2600000000001</v>
      </c>
      <c r="H351" s="4">
        <v>-67.040000000000006</v>
      </c>
      <c r="I351" s="4">
        <v>569.44000000000005</v>
      </c>
      <c r="N351" s="6">
        <v>86230.49</v>
      </c>
      <c r="O351" s="3">
        <f t="shared" si="0"/>
        <v>1.4551915228366852E-11</v>
      </c>
      <c r="P351" s="6">
        <v>-158.26</v>
      </c>
      <c r="T351" s="3">
        <f t="shared" si="2"/>
        <v>158.26</v>
      </c>
      <c r="U351" s="6">
        <v>86072.23</v>
      </c>
      <c r="V351" s="1">
        <f>U351-P351-N351-Q351-R351+N351-I352-G352-F352-D351-E351-B351-K352-M351-H352-C351-L352</f>
        <v>4.7748471843078732E-12</v>
      </c>
    </row>
    <row r="352" spans="1:23" x14ac:dyDescent="0.25">
      <c r="A352" t="s">
        <v>498</v>
      </c>
      <c r="B352" s="7">
        <v>56814.31</v>
      </c>
      <c r="E352" s="7">
        <v>10.969999999999999</v>
      </c>
      <c r="F352" s="6">
        <v>30196.670000000002</v>
      </c>
      <c r="G352" s="6">
        <v>-1304.57</v>
      </c>
      <c r="H352" s="6">
        <v>-1403.3700000000001</v>
      </c>
      <c r="I352" s="6">
        <v>6.89</v>
      </c>
      <c r="N352" s="7">
        <v>90558.5</v>
      </c>
      <c r="O352" s="3">
        <f t="shared" si="0"/>
        <v>-2.1827872842550278E-11</v>
      </c>
      <c r="P352" s="7">
        <v>-93.9</v>
      </c>
      <c r="T352" s="3">
        <f t="shared" si="2"/>
        <v>93.9</v>
      </c>
      <c r="U352" s="7">
        <v>90464.6</v>
      </c>
      <c r="V352" s="1">
        <f>U352-P352-N352-Q352-R352+N352-I353-G353-F353-D352-E352-B352-K353-M352-H353-C352-L353</f>
        <v>-1.1368683772161603E-11</v>
      </c>
    </row>
    <row r="353" spans="1:22" x14ac:dyDescent="0.25">
      <c r="A353" t="s">
        <v>499</v>
      </c>
      <c r="B353" s="63">
        <v>59417.8</v>
      </c>
      <c r="F353" s="7">
        <v>35749.93</v>
      </c>
      <c r="G353" s="7">
        <v>-981.18000000000006</v>
      </c>
      <c r="H353" s="7">
        <v>-1092.23</v>
      </c>
      <c r="I353" s="7">
        <v>59.489999999999995</v>
      </c>
      <c r="K353" s="7">
        <v>-2.79</v>
      </c>
      <c r="N353" s="63">
        <v>92008.94</v>
      </c>
      <c r="O353" s="3">
        <f t="shared" si="0"/>
        <v>7.2759576141834259E-12</v>
      </c>
      <c r="P353" s="63">
        <v>-248.51</v>
      </c>
      <c r="T353" s="3">
        <f t="shared" si="2"/>
        <v>248.51</v>
      </c>
      <c r="U353" s="63">
        <v>91760.43</v>
      </c>
      <c r="V353" s="1">
        <f>U353-P353-N353-Q353-R353+N353-I354-G354-F354-D353-E353-B353-K354-M353-H354-C353-L354</f>
        <v>-1.1937117960769683E-11</v>
      </c>
    </row>
    <row r="354" spans="1:22" x14ac:dyDescent="0.25">
      <c r="A354" t="s">
        <v>500</v>
      </c>
      <c r="B354" s="64">
        <v>58093.120000000003</v>
      </c>
      <c r="F354" s="63">
        <v>33889.85</v>
      </c>
      <c r="G354" s="63">
        <v>-977.34</v>
      </c>
      <c r="H354" s="63">
        <v>-346.13</v>
      </c>
      <c r="I354" s="63">
        <v>24.759999999999998</v>
      </c>
      <c r="O354" s="3">
        <f t="shared" si="0"/>
        <v>-89280.7</v>
      </c>
      <c r="P354" s="64">
        <v>-242.37</v>
      </c>
      <c r="T354" s="3">
        <f t="shared" si="2"/>
        <v>242.37</v>
      </c>
    </row>
    <row r="355" spans="1:22" x14ac:dyDescent="0.25">
      <c r="A355" t="s">
        <v>501</v>
      </c>
      <c r="B355" s="64">
        <v>61645.83</v>
      </c>
      <c r="F355" s="64">
        <v>33796.639999999999</v>
      </c>
      <c r="G355" s="64">
        <v>-1983.39</v>
      </c>
      <c r="H355" s="64">
        <v>-871.65000000000009</v>
      </c>
      <c r="I355" s="64">
        <v>245.98000000000002</v>
      </c>
      <c r="M355" s="64">
        <v>18856.189999999999</v>
      </c>
      <c r="O355" s="3">
        <f t="shared" si="0"/>
        <v>-80502.02</v>
      </c>
      <c r="P355" s="64">
        <v>-191.4</v>
      </c>
      <c r="R355" s="64">
        <v>2610.29</v>
      </c>
      <c r="T355" s="3">
        <f t="shared" si="2"/>
        <v>-2418.89</v>
      </c>
    </row>
    <row r="356" spans="1:22" x14ac:dyDescent="0.25">
      <c r="A356" t="s">
        <v>502</v>
      </c>
      <c r="B356" s="64">
        <v>60883.26</v>
      </c>
      <c r="N356" s="64">
        <v>275461.96000000002</v>
      </c>
      <c r="O356" s="3">
        <f t="shared" si="0"/>
        <v>169782.72000000003</v>
      </c>
      <c r="P356" s="64">
        <v>-141.61000000000001</v>
      </c>
      <c r="S356" s="1">
        <v>2610.29</v>
      </c>
      <c r="T356" s="3">
        <f t="shared" si="2"/>
        <v>2751.9</v>
      </c>
      <c r="U356" s="64">
        <v>277496.87</v>
      </c>
      <c r="V356" s="3">
        <f>U356-P356-N356-Q356-R356+N356-I357-G357-F357-D356-E356-B356-M355-R355-R354-Q355-Q354-P354-P355-K356-K355-I355-G355-F355-E355-E354-B355-B354-M354-D354-D355-M356-H355-C354-H357-K357</f>
        <v>-3.0468072509393096E-11</v>
      </c>
    </row>
    <row r="357" spans="1:22" x14ac:dyDescent="0.25">
      <c r="A357" t="s">
        <v>503</v>
      </c>
      <c r="B357" s="65">
        <v>65848.38</v>
      </c>
      <c r="D357" s="65">
        <v>86.06</v>
      </c>
      <c r="E357" s="65">
        <v>148.11000000000001</v>
      </c>
      <c r="F357" s="64">
        <v>46678.76</v>
      </c>
      <c r="G357" s="64">
        <v>-1972.78</v>
      </c>
      <c r="I357" s="64">
        <v>90</v>
      </c>
      <c r="N357" s="65">
        <v>92760.2</v>
      </c>
      <c r="O357" s="3">
        <f t="shared" si="0"/>
        <v>-1.4551915228366852E-11</v>
      </c>
      <c r="P357" s="65">
        <v>-157.94999999999999</v>
      </c>
      <c r="T357" s="3">
        <f t="shared" si="2"/>
        <v>157.94999999999999</v>
      </c>
      <c r="U357" s="65">
        <v>92602.25</v>
      </c>
      <c r="V357" s="1">
        <f>U357-P357-N357-Q357-R357+N357-I358-G358-F358-D357-E357-B357-K358-M357-H358-C357-L358</f>
        <v>-5.8122395785176195E-12</v>
      </c>
    </row>
    <row r="358" spans="1:22" x14ac:dyDescent="0.25">
      <c r="A358" t="s">
        <v>504</v>
      </c>
      <c r="B358" s="66">
        <v>67643.73000000001</v>
      </c>
      <c r="C358" s="66">
        <v>-17.619999999999997</v>
      </c>
      <c r="E358" s="66">
        <v>6.0299999999999994</v>
      </c>
      <c r="F358" s="65">
        <v>27701.829999999998</v>
      </c>
      <c r="G358" s="65">
        <v>-1033.25</v>
      </c>
      <c r="H358" s="65">
        <v>-33.150000000000006</v>
      </c>
      <c r="I358" s="65">
        <v>2.9200000000000004</v>
      </c>
      <c r="K358" s="65">
        <v>39.299999999999997</v>
      </c>
      <c r="N358" s="66">
        <v>88519.78</v>
      </c>
      <c r="O358" s="3">
        <f t="shared" si="0"/>
        <v>-1.4551915228366852E-11</v>
      </c>
      <c r="P358" s="66">
        <v>-458.19</v>
      </c>
      <c r="T358" s="3">
        <f t="shared" si="2"/>
        <v>458.19</v>
      </c>
      <c r="U358" s="66">
        <v>88061.59</v>
      </c>
      <c r="V358" s="1">
        <f>U358-P358-N358-Q358-R358+N358-I359-G359-F359-D358-E358-B358-K359-M358-H359-C358-L359</f>
        <v>-9.9547037279990036E-12</v>
      </c>
    </row>
    <row r="359" spans="1:22" x14ac:dyDescent="0.25">
      <c r="A359" t="s">
        <v>505</v>
      </c>
      <c r="B359" s="67">
        <v>57442.79</v>
      </c>
      <c r="D359" s="67">
        <v>77.180000000000007</v>
      </c>
      <c r="E359" s="67">
        <v>48.75</v>
      </c>
      <c r="F359" s="66">
        <v>23672.97</v>
      </c>
      <c r="G359" s="66">
        <v>-2863.76</v>
      </c>
      <c r="H359" s="66">
        <v>-430.54999999999995</v>
      </c>
      <c r="I359" s="66">
        <v>286.67999999999995</v>
      </c>
      <c r="K359" s="66">
        <v>222.3</v>
      </c>
      <c r="N359" s="67">
        <v>81186.36</v>
      </c>
      <c r="O359" s="3">
        <f t="shared" si="0"/>
        <v>7.2759576141834259E-12</v>
      </c>
      <c r="P359" s="67">
        <v>-677.37</v>
      </c>
      <c r="T359" s="3">
        <f t="shared" si="2"/>
        <v>677.37</v>
      </c>
      <c r="U359" s="67">
        <v>80508.990000000005</v>
      </c>
      <c r="V359" s="1">
        <f>U359-P359-N359-Q359-R359+N359-I360-G360-F360-D359-E359-B359-K360-M359-H360-C359-L360</f>
        <v>2.9842794901924208E-13</v>
      </c>
    </row>
    <row r="360" spans="1:22" x14ac:dyDescent="0.25">
      <c r="A360" t="s">
        <v>506</v>
      </c>
      <c r="B360" s="68">
        <v>62703.7</v>
      </c>
      <c r="C360" s="68">
        <v>-344.47</v>
      </c>
      <c r="F360" s="67">
        <v>24242.35</v>
      </c>
      <c r="G360" s="67">
        <v>-1698.8700000000001</v>
      </c>
      <c r="H360" s="67">
        <v>-104.82000000000001</v>
      </c>
      <c r="I360" s="67">
        <v>1178.9799999999998</v>
      </c>
      <c r="N360" s="68">
        <v>85761.76</v>
      </c>
      <c r="O360" s="3">
        <f t="shared" si="0"/>
        <v>0</v>
      </c>
      <c r="P360" s="68">
        <v>-374.22</v>
      </c>
      <c r="T360" s="3">
        <f t="shared" si="2"/>
        <v>374.22</v>
      </c>
      <c r="U360" s="68">
        <v>85387.54</v>
      </c>
      <c r="V360" s="1">
        <f>U360-P360-N360-Q360-R360+N360-I361-G361-F361-D360-E360-B360-K361-M360-H361-C360-L361</f>
        <v>-5.2295945351943374E-12</v>
      </c>
    </row>
    <row r="361" spans="1:22" x14ac:dyDescent="0.25">
      <c r="A361" t="s">
        <v>507</v>
      </c>
      <c r="B361" s="69">
        <v>63512.82</v>
      </c>
      <c r="C361" s="69">
        <v>-85.95</v>
      </c>
      <c r="E361" s="69">
        <v>20.2</v>
      </c>
      <c r="F361" s="68">
        <v>24340.7</v>
      </c>
      <c r="G361" s="68">
        <v>-292.42</v>
      </c>
      <c r="H361" s="68">
        <v>-698.24</v>
      </c>
      <c r="I361" s="68">
        <v>385.52</v>
      </c>
      <c r="K361" s="68">
        <v>-333.03</v>
      </c>
      <c r="O361" s="3">
        <f t="shared" si="0"/>
        <v>-86661.37</v>
      </c>
      <c r="P361" s="69">
        <v>-451.19</v>
      </c>
      <c r="T361" s="3">
        <f t="shared" si="2"/>
        <v>451.19</v>
      </c>
    </row>
    <row r="362" spans="1:22" x14ac:dyDescent="0.25">
      <c r="A362" t="s">
        <v>508</v>
      </c>
      <c r="B362" s="69">
        <v>63978.74</v>
      </c>
      <c r="E362" s="69">
        <v>61.74</v>
      </c>
      <c r="F362" s="69">
        <v>25448.51</v>
      </c>
      <c r="G362" s="69">
        <v>-2232.59</v>
      </c>
      <c r="H362" s="69">
        <v>-3.92</v>
      </c>
      <c r="I362" s="69">
        <v>2.2999999999999998</v>
      </c>
      <c r="M362" s="69">
        <v>37935.58</v>
      </c>
      <c r="O362" s="3">
        <f t="shared" ref="O362:O425" si="3">N362-K363-I363-H363-G363-F363-E362-D362-C362-B362-M362-L362</f>
        <v>-101976.06</v>
      </c>
      <c r="P362" s="69">
        <v>-53.07</v>
      </c>
      <c r="R362" s="69">
        <v>6732.76</v>
      </c>
      <c r="T362" s="3">
        <f t="shared" ref="T362:T393" si="4">S362-R362-Q362-P362</f>
        <v>-6679.6900000000005</v>
      </c>
    </row>
    <row r="363" spans="1:22" x14ac:dyDescent="0.25">
      <c r="A363" t="s">
        <v>509</v>
      </c>
      <c r="B363" s="69">
        <v>67473.459999999992</v>
      </c>
      <c r="N363" s="69">
        <v>305265.05</v>
      </c>
      <c r="O363" s="3">
        <f t="shared" si="3"/>
        <v>188637.42999999996</v>
      </c>
      <c r="P363" s="69">
        <v>-181.58</v>
      </c>
      <c r="T363" s="3">
        <f t="shared" si="4"/>
        <v>181.58</v>
      </c>
      <c r="U363" s="69">
        <v>311311.96999999997</v>
      </c>
      <c r="V363" s="3">
        <f>U363-P363-N363-Q363-R363+N363-I364-G364-F364-D363-E363-B363-M362-R362-R361-Q362-Q361-P361-P362-K363-K362-I362-G362-F362-E362-E361-B362-B361-M361-D361-D362-M363-H362-C361-H364-K364</f>
        <v>1.5710099887655815E-11</v>
      </c>
    </row>
    <row r="364" spans="1:22" x14ac:dyDescent="0.25">
      <c r="A364" t="s">
        <v>510</v>
      </c>
      <c r="B364" s="39">
        <v>61872.06</v>
      </c>
      <c r="E364" s="39">
        <v>4.7300000000000004</v>
      </c>
      <c r="F364" s="69">
        <v>49748.62</v>
      </c>
      <c r="G364" s="69">
        <v>-567.54</v>
      </c>
      <c r="H364" s="69">
        <v>-48.660000000000004</v>
      </c>
      <c r="I364" s="69">
        <v>21.74</v>
      </c>
      <c r="N364" s="39">
        <v>87126.33</v>
      </c>
      <c r="O364" s="3">
        <f t="shared" si="3"/>
        <v>1.4551915228366852E-11</v>
      </c>
      <c r="P364" s="39">
        <v>-494.16</v>
      </c>
      <c r="Q364" s="39">
        <v>0.2</v>
      </c>
      <c r="T364" s="3">
        <f t="shared" si="4"/>
        <v>493.96000000000004</v>
      </c>
      <c r="U364" s="39">
        <v>86632.37</v>
      </c>
      <c r="V364" s="1">
        <f>U364-P364-N364-Q364-R364+N364-I365-G365-F365-D364-E364-B364-K365-M364-H365-C364-L365</f>
        <v>9.8907548817805946E-12</v>
      </c>
    </row>
    <row r="365" spans="1:22" x14ac:dyDescent="0.25">
      <c r="A365" t="s">
        <v>511</v>
      </c>
      <c r="B365" s="34">
        <v>66895.930000000008</v>
      </c>
      <c r="F365" s="39">
        <v>26784.959999999999</v>
      </c>
      <c r="G365" s="39">
        <v>-1457.1</v>
      </c>
      <c r="H365" s="39">
        <v>-91.42</v>
      </c>
      <c r="I365" s="39">
        <v>86.81</v>
      </c>
      <c r="K365" s="39">
        <v>-73.709999999999994</v>
      </c>
      <c r="N365" s="34">
        <v>90557.82</v>
      </c>
      <c r="O365" s="3">
        <f t="shared" si="3"/>
        <v>0</v>
      </c>
      <c r="P365" s="34">
        <v>-268.33999999999997</v>
      </c>
      <c r="T365" s="3">
        <f t="shared" si="4"/>
        <v>268.33999999999997</v>
      </c>
      <c r="U365" s="34">
        <v>90289.48</v>
      </c>
      <c r="V365" s="1">
        <f>U365-P365-N365-Q365-R365+N365-I366-G366-F366-D365-E365-B365-K366-M365-H366-C365-L366</f>
        <v>-1.7461587731304462E-11</v>
      </c>
    </row>
    <row r="366" spans="1:22" x14ac:dyDescent="0.25">
      <c r="A366" t="s">
        <v>512</v>
      </c>
      <c r="B366" s="43">
        <v>66082.720000000001</v>
      </c>
      <c r="E366" s="43">
        <v>50.63</v>
      </c>
      <c r="F366" s="34">
        <v>23630</v>
      </c>
      <c r="G366" s="34">
        <v>-863.48</v>
      </c>
      <c r="H366" s="34">
        <v>-16.55</v>
      </c>
      <c r="I366" s="34">
        <v>911.92</v>
      </c>
      <c r="N366" s="43">
        <v>85222.42</v>
      </c>
      <c r="O366" s="3">
        <f t="shared" si="3"/>
        <v>0</v>
      </c>
      <c r="P366" s="43">
        <v>-148.97999999999999</v>
      </c>
      <c r="T366" s="3">
        <f t="shared" si="4"/>
        <v>148.97999999999999</v>
      </c>
      <c r="U366" s="43">
        <v>85073.44</v>
      </c>
      <c r="V366" s="1">
        <f>U366-P366-N366-Q366-R366+N366-I367-G367-F367-D366-E366-B366-K367-M366-H367-C366-L367</f>
        <v>0</v>
      </c>
    </row>
    <row r="367" spans="1:22" x14ac:dyDescent="0.25">
      <c r="A367" t="s">
        <v>513</v>
      </c>
      <c r="B367" s="46">
        <v>69270.03</v>
      </c>
      <c r="E367" s="46">
        <v>115.39</v>
      </c>
      <c r="F367" s="43">
        <v>19524.120000000003</v>
      </c>
      <c r="G367" s="43">
        <v>-351.05</v>
      </c>
      <c r="H367" s="43">
        <v>-84</v>
      </c>
      <c r="I367" s="43"/>
      <c r="N367" s="46">
        <v>84675.57</v>
      </c>
      <c r="O367" s="3">
        <f t="shared" si="3"/>
        <v>1.4551915228366852E-11</v>
      </c>
      <c r="P367" s="46">
        <v>-322.74</v>
      </c>
      <c r="T367" s="3">
        <f t="shared" si="4"/>
        <v>322.74</v>
      </c>
      <c r="U367" s="46">
        <v>84352.83</v>
      </c>
      <c r="V367" s="1">
        <f>U367-P367-N367-Q367-R367+N367-I368-G368-F368-D367-E367-B367-K368-M367-H368-C367-L368</f>
        <v>1.1596057447604835E-11</v>
      </c>
    </row>
    <row r="368" spans="1:22" x14ac:dyDescent="0.25">
      <c r="A368" t="s">
        <v>514</v>
      </c>
      <c r="B368" s="2">
        <v>77572.78</v>
      </c>
      <c r="F368" s="46">
        <v>16990.440000000002</v>
      </c>
      <c r="G368" s="46">
        <v>-1240.1300000000001</v>
      </c>
      <c r="H368" s="46">
        <v>-539.79999999999995</v>
      </c>
      <c r="I368" s="46">
        <v>79.64</v>
      </c>
      <c r="O368" s="3">
        <f t="shared" si="3"/>
        <v>-95113.13</v>
      </c>
      <c r="P368" s="2">
        <v>-639.53</v>
      </c>
      <c r="Q368" s="2">
        <v>-69.66</v>
      </c>
      <c r="R368" s="2">
        <v>1319.75</v>
      </c>
      <c r="T368" s="3">
        <f t="shared" si="4"/>
        <v>-610.55999999999995</v>
      </c>
    </row>
    <row r="369" spans="1:22" x14ac:dyDescent="0.25">
      <c r="A369" t="s">
        <v>515</v>
      </c>
      <c r="B369" s="2">
        <v>58717.64</v>
      </c>
      <c r="F369" s="2">
        <v>18505.740000000002</v>
      </c>
      <c r="G369" s="2">
        <v>-771.75</v>
      </c>
      <c r="H369" s="2">
        <v>-199.70999999999998</v>
      </c>
      <c r="I369" s="2">
        <v>6.07</v>
      </c>
      <c r="M369" s="2">
        <v>50399.429999999993</v>
      </c>
      <c r="O369" s="3">
        <f t="shared" si="3"/>
        <v>-109117.06999999999</v>
      </c>
      <c r="P369" s="2">
        <v>-1982.88</v>
      </c>
      <c r="R369" s="2">
        <v>2873.6099999999997</v>
      </c>
      <c r="T369" s="3">
        <f t="shared" si="4"/>
        <v>-890.72999999999956</v>
      </c>
    </row>
    <row r="370" spans="1:22" x14ac:dyDescent="0.25">
      <c r="A370" t="s">
        <v>516</v>
      </c>
      <c r="B370" s="2">
        <v>59058.38</v>
      </c>
      <c r="E370" s="2">
        <v>4.32</v>
      </c>
      <c r="N370" s="2">
        <v>295434.78999999998</v>
      </c>
      <c r="O370" s="3">
        <f t="shared" si="3"/>
        <v>204230.2</v>
      </c>
      <c r="P370" s="2">
        <v>-238.12</v>
      </c>
      <c r="Q370" s="3"/>
      <c r="T370" s="3">
        <f t="shared" si="4"/>
        <v>238.12</v>
      </c>
      <c r="U370" s="2">
        <v>296697.96000000002</v>
      </c>
      <c r="V370" s="3">
        <f>U370-P370-N370-Q370-R370+N370-I371-G371-F371-D370-E370-B370-M369-R369-R368-Q369-Q368-P368-P369-K370-K369-I369-G369-F369-E369-E368-B369-B368-M368-D368-D369-M370-H369-C368-H371-K371</f>
        <v>8.0888185038929805E-11</v>
      </c>
    </row>
    <row r="371" spans="1:22" x14ac:dyDescent="0.25">
      <c r="A371" t="s">
        <v>517</v>
      </c>
      <c r="B371" s="42">
        <v>61447.15</v>
      </c>
      <c r="E371" s="42">
        <v>12.94</v>
      </c>
      <c r="F371" s="2">
        <v>32685.05</v>
      </c>
      <c r="G371" s="2">
        <v>-559.33999999999992</v>
      </c>
      <c r="I371" s="2">
        <v>16.18</v>
      </c>
      <c r="N371" s="42">
        <v>76172.679999999993</v>
      </c>
      <c r="O371" s="3">
        <f t="shared" si="3"/>
        <v>-1.4551915228366852E-11</v>
      </c>
      <c r="P371" s="42">
        <v>-205.57</v>
      </c>
      <c r="Q371" s="42">
        <v>10.01</v>
      </c>
      <c r="T371" s="3">
        <f t="shared" si="4"/>
        <v>195.56</v>
      </c>
      <c r="U371" s="42">
        <v>75977.119999999995</v>
      </c>
      <c r="V371" s="1">
        <f>U371-P371-N371-Q371-R371+N371-I372-G372-F372-D371-E371-B371-K372-M371-H372-C371-L372</f>
        <v>-5.8264504332328215E-13</v>
      </c>
    </row>
    <row r="372" spans="1:22" x14ac:dyDescent="0.25">
      <c r="A372" t="s">
        <v>518</v>
      </c>
      <c r="B372" s="46">
        <v>64868.57</v>
      </c>
      <c r="C372" s="46">
        <v>-172.35</v>
      </c>
      <c r="E372" s="46">
        <v>5.1100000000000003</v>
      </c>
      <c r="F372" s="42">
        <v>15565.730000000001</v>
      </c>
      <c r="G372" s="42">
        <v>-761.77</v>
      </c>
      <c r="H372" s="42">
        <v>-119.86</v>
      </c>
      <c r="I372" s="42">
        <v>28.49</v>
      </c>
      <c r="N372" s="46">
        <v>85897.54</v>
      </c>
      <c r="O372" s="3">
        <f t="shared" si="3"/>
        <v>0</v>
      </c>
      <c r="P372" s="46">
        <v>-1350.44</v>
      </c>
      <c r="T372" s="3">
        <f t="shared" si="4"/>
        <v>1350.44</v>
      </c>
      <c r="U372" s="46">
        <v>84547.1</v>
      </c>
      <c r="V372" s="1">
        <f>U372-P372-N372-Q372-R372+N372-I373-G373-F373-D372-E372-B372-K373-M372-H373-C372-L373</f>
        <v>1.4409806681214832E-11</v>
      </c>
    </row>
    <row r="373" spans="1:22" x14ac:dyDescent="0.25">
      <c r="A373" t="s">
        <v>519</v>
      </c>
      <c r="B373" s="38">
        <v>73834.899999999994</v>
      </c>
      <c r="D373" s="38">
        <v>172.06</v>
      </c>
      <c r="E373" s="38">
        <v>24.58</v>
      </c>
      <c r="F373" s="46">
        <v>24355.61</v>
      </c>
      <c r="G373" s="46">
        <v>-1609.97</v>
      </c>
      <c r="H373" s="46">
        <v>-1643.0800000000002</v>
      </c>
      <c r="I373" s="46">
        <v>93.65</v>
      </c>
      <c r="N373" s="38">
        <v>90274.65</v>
      </c>
      <c r="O373" s="3">
        <f t="shared" si="3"/>
        <v>1.4551915228366852E-11</v>
      </c>
      <c r="P373" s="38">
        <v>-232.11</v>
      </c>
      <c r="T373" s="3">
        <f t="shared" si="4"/>
        <v>232.11</v>
      </c>
      <c r="U373" s="38">
        <v>90042.54</v>
      </c>
      <c r="V373" s="1">
        <f>U373-P373-N373-Q373-R373+N373-I374-G374-F374-D373-E373-B373-K374-M373-H374-C373-L374</f>
        <v>8.1570306065259501E-12</v>
      </c>
    </row>
    <row r="374" spans="1:22" x14ac:dyDescent="0.25">
      <c r="A374" t="s">
        <v>520</v>
      </c>
      <c r="B374" s="33">
        <v>79017.09</v>
      </c>
      <c r="C374" s="33">
        <v>-1570.24</v>
      </c>
      <c r="E374" s="33">
        <v>7.26</v>
      </c>
      <c r="F374" s="38">
        <v>18860.98</v>
      </c>
      <c r="G374" s="38">
        <v>-2480.91</v>
      </c>
      <c r="H374" s="38">
        <v>-136.96</v>
      </c>
      <c r="N374" s="33">
        <v>99507.15</v>
      </c>
      <c r="O374" s="3">
        <f t="shared" si="3"/>
        <v>0</v>
      </c>
      <c r="P374" s="33">
        <v>-156.93</v>
      </c>
      <c r="T374" s="3">
        <f t="shared" si="4"/>
        <v>156.93</v>
      </c>
      <c r="U374" s="33">
        <v>99350.22</v>
      </c>
      <c r="V374" s="1">
        <f>U374-P374-N374-Q374-R374+N374-I375-G375-F375-D374-E374-B374-K375-M374-H375-C374-L375</f>
        <v>-2.9558577807620168E-12</v>
      </c>
    </row>
    <row r="375" spans="1:22" x14ac:dyDescent="0.25">
      <c r="A375" t="s">
        <v>521</v>
      </c>
      <c r="B375" s="8">
        <v>78712.510000000009</v>
      </c>
      <c r="C375" s="8">
        <v>-433.91</v>
      </c>
      <c r="F375" s="33">
        <v>22654.38</v>
      </c>
      <c r="G375" s="33">
        <v>-614.87</v>
      </c>
      <c r="H375" s="33">
        <v>-119.31</v>
      </c>
      <c r="I375" s="33">
        <v>132.84</v>
      </c>
      <c r="O375" s="3">
        <f t="shared" si="3"/>
        <v>-95025.22</v>
      </c>
      <c r="P375" s="8">
        <v>-737.71</v>
      </c>
      <c r="T375" s="3">
        <f t="shared" si="4"/>
        <v>737.71</v>
      </c>
    </row>
    <row r="376" spans="1:22" x14ac:dyDescent="0.25">
      <c r="A376" t="s">
        <v>522</v>
      </c>
      <c r="B376" s="8">
        <v>81936.430000000008</v>
      </c>
      <c r="F376" s="8">
        <v>17549.09</v>
      </c>
      <c r="G376" s="8">
        <v>-883.49</v>
      </c>
      <c r="H376" s="8">
        <v>-29.830000000000002</v>
      </c>
      <c r="I376" s="8">
        <v>110.85000000000001</v>
      </c>
      <c r="M376" s="8">
        <v>18835.349999999999</v>
      </c>
      <c r="O376" s="3">
        <f t="shared" si="3"/>
        <v>-100771.78</v>
      </c>
      <c r="P376" s="8">
        <v>-233.18</v>
      </c>
      <c r="R376" s="8">
        <v>2514.9300000000003</v>
      </c>
      <c r="T376" s="3">
        <f t="shared" si="4"/>
        <v>-2281.7500000000005</v>
      </c>
    </row>
    <row r="377" spans="1:22" x14ac:dyDescent="0.25">
      <c r="A377" t="s">
        <v>523</v>
      </c>
      <c r="B377" s="8">
        <v>77338.180000000008</v>
      </c>
      <c r="N377" s="8">
        <v>302330.93</v>
      </c>
      <c r="O377" s="3">
        <f t="shared" si="3"/>
        <v>195797</v>
      </c>
      <c r="P377" s="8">
        <v>-264.61</v>
      </c>
      <c r="T377" s="3">
        <f t="shared" si="4"/>
        <v>264.61</v>
      </c>
      <c r="U377" s="8">
        <v>303610.36</v>
      </c>
      <c r="V377" s="3">
        <f>U377-P377-N377-Q377-R377+N377-I378-G378-F378-D377-E377-B377-M376-R376-R375-Q376-Q375-P375-P376-K377-K376-I376-G376-F376-E376-E375-B376-B375-M375-D375-D376-M377-H376-C375-H378-K378</f>
        <v>-6.3437255448661745E-11</v>
      </c>
    </row>
    <row r="378" spans="1:22" x14ac:dyDescent="0.25">
      <c r="A378" t="s">
        <v>524</v>
      </c>
      <c r="B378" s="50">
        <v>89802.53</v>
      </c>
      <c r="F378" s="8">
        <v>30389.079999999998</v>
      </c>
      <c r="G378" s="8">
        <v>-1193.33</v>
      </c>
      <c r="N378" s="50">
        <v>160683.07</v>
      </c>
      <c r="O378" s="3">
        <f t="shared" si="3"/>
        <v>-1.4551915228366852E-11</v>
      </c>
      <c r="P378" s="50">
        <v>-568.42999999999995</v>
      </c>
      <c r="Q378" s="50">
        <v>0.86</v>
      </c>
      <c r="T378" s="3">
        <f t="shared" si="4"/>
        <v>567.56999999999994</v>
      </c>
      <c r="U378" s="50">
        <v>160115.5</v>
      </c>
      <c r="V378" s="1">
        <f>U378-P378-N378-Q378-R378+N378-I379-G379-F379-D378-E378-B378-K379-M378-H379-C378-L379</f>
        <v>-5.6843418860808015E-13</v>
      </c>
    </row>
    <row r="379" spans="1:22" x14ac:dyDescent="0.25">
      <c r="A379" t="s">
        <v>525</v>
      </c>
      <c r="B379" s="43">
        <v>93636.72</v>
      </c>
      <c r="C379" s="43">
        <v>-346.96</v>
      </c>
      <c r="F379" s="50">
        <v>71493.2</v>
      </c>
      <c r="G379" s="50">
        <v>-459.55</v>
      </c>
      <c r="H379" s="50">
        <v>-153.11000000000001</v>
      </c>
      <c r="N379" s="43">
        <v>107113.92</v>
      </c>
      <c r="O379" s="3">
        <f t="shared" si="3"/>
        <v>0</v>
      </c>
      <c r="P379" s="43">
        <v>-330.9</v>
      </c>
      <c r="T379" s="3">
        <f t="shared" si="4"/>
        <v>330.9</v>
      </c>
      <c r="U379" s="43">
        <v>106783.02</v>
      </c>
      <c r="V379" s="1">
        <f>U379-P379-N379-Q379-R379+N379-I380-G380-F380-D379-E379-B379-K380-M379-H380-C379-L380</f>
        <v>-3.5242919693700969E-12</v>
      </c>
    </row>
    <row r="380" spans="1:22" x14ac:dyDescent="0.25">
      <c r="A380" t="s">
        <v>526</v>
      </c>
      <c r="B380" s="57">
        <v>79814.3</v>
      </c>
      <c r="C380" s="57">
        <v>-78.12</v>
      </c>
      <c r="F380" s="43">
        <v>14917.880000000001</v>
      </c>
      <c r="G380" s="43">
        <v>-1058.9499999999998</v>
      </c>
      <c r="H380" s="43">
        <v>-204.45</v>
      </c>
      <c r="I380" s="43">
        <v>169.68</v>
      </c>
      <c r="M380" s="57">
        <v>217.05</v>
      </c>
      <c r="N380" s="57">
        <v>90825.62</v>
      </c>
      <c r="O380" s="3">
        <f t="shared" si="3"/>
        <v>-2.6204816094832495E-11</v>
      </c>
      <c r="P380" s="57">
        <v>-450.08</v>
      </c>
      <c r="T380" s="3">
        <f t="shared" si="4"/>
        <v>450.08</v>
      </c>
      <c r="U380" s="57">
        <v>90375.54</v>
      </c>
      <c r="V380" s="1">
        <f>U380-P380-N380-Q380-R380+N380-I381-G381-F381-D380-E380-B380-K381-M380-H381-C380-L381</f>
        <v>-2.7370106181479059E-11</v>
      </c>
    </row>
    <row r="381" spans="1:22" x14ac:dyDescent="0.25">
      <c r="A381" t="s">
        <v>527</v>
      </c>
      <c r="B381" s="6">
        <v>79833.16</v>
      </c>
      <c r="D381" s="6">
        <v>173.60999999999999</v>
      </c>
      <c r="F381" s="57">
        <v>12504.21</v>
      </c>
      <c r="G381" s="57">
        <v>-1769.43</v>
      </c>
      <c r="H381" s="57">
        <v>-40.6</v>
      </c>
      <c r="I381" s="57">
        <v>178.21</v>
      </c>
      <c r="N381" s="6">
        <v>67160.14</v>
      </c>
      <c r="O381" s="3">
        <f t="shared" si="3"/>
        <v>0</v>
      </c>
      <c r="P381" s="6">
        <v>-148.27000000000001</v>
      </c>
      <c r="T381" s="3">
        <f t="shared" si="4"/>
        <v>148.27000000000001</v>
      </c>
      <c r="U381" s="6">
        <v>67011.87</v>
      </c>
      <c r="V381" s="1">
        <f>U381-P381-N381-Q381-R381+N381-I382-G382-F382-D381-E381-B381-K382-M381-H382-C381-L382</f>
        <v>-7.2759576141834259E-12</v>
      </c>
    </row>
    <row r="382" spans="1:22" x14ac:dyDescent="0.25">
      <c r="A382" t="s">
        <v>528</v>
      </c>
      <c r="B382" s="34">
        <v>16734.41</v>
      </c>
      <c r="C382" s="34">
        <v>-255.51000000000002</v>
      </c>
      <c r="F382" s="6">
        <v>15298.76</v>
      </c>
      <c r="G382" s="6">
        <v>-2663.6099999999997</v>
      </c>
      <c r="H382" s="6">
        <v>-25989.61</v>
      </c>
      <c r="I382" s="6">
        <v>507.83</v>
      </c>
      <c r="O382" s="3">
        <f t="shared" si="3"/>
        <v>-56024.56</v>
      </c>
      <c r="T382" s="3">
        <f t="shared" si="4"/>
        <v>0</v>
      </c>
    </row>
    <row r="383" spans="1:22" x14ac:dyDescent="0.25">
      <c r="A383" t="s">
        <v>529</v>
      </c>
      <c r="B383" s="34">
        <v>7520.5</v>
      </c>
      <c r="E383" s="34">
        <v>11.79</v>
      </c>
      <c r="F383" s="34">
        <v>14546.66</v>
      </c>
      <c r="G383" s="34">
        <v>-805.66</v>
      </c>
      <c r="H383" s="34">
        <v>-216.46</v>
      </c>
      <c r="I383" s="34">
        <v>26021.119999999999</v>
      </c>
      <c r="M383" s="34">
        <v>20902.170000000002</v>
      </c>
      <c r="O383" s="3">
        <f t="shared" si="3"/>
        <v>-28434.460000000003</v>
      </c>
      <c r="P383" s="34">
        <v>-704.14</v>
      </c>
      <c r="R383" s="34">
        <v>2385.7799999999997</v>
      </c>
      <c r="T383" s="3">
        <f t="shared" si="4"/>
        <v>-1681.6399999999999</v>
      </c>
    </row>
    <row r="384" spans="1:22" x14ac:dyDescent="0.25">
      <c r="A384" t="s">
        <v>530</v>
      </c>
      <c r="B384" s="34">
        <v>6506.25</v>
      </c>
      <c r="E384" s="34">
        <v>12.99</v>
      </c>
      <c r="N384" s="34">
        <v>117970.96</v>
      </c>
      <c r="O384" s="3">
        <f t="shared" si="3"/>
        <v>84459.02</v>
      </c>
      <c r="P384" s="34">
        <v>-871.6</v>
      </c>
      <c r="T384" s="3">
        <f t="shared" si="4"/>
        <v>871.6</v>
      </c>
      <c r="U384" s="34">
        <v>118781</v>
      </c>
      <c r="V384" s="3">
        <f>U384-P384-N384-Q384-R384+N384-I385-G385-F385-D384-E384-B384-M383-R383-R382-Q383-Q382-P382-P383-K384-K383-I383-G383-F383-E383-E382-B383-B382-M382-D382-D383-M384-H383-C382-H385-K385</f>
        <v>1.1112888387287967E-11</v>
      </c>
    </row>
    <row r="385" spans="1:22" x14ac:dyDescent="0.25">
      <c r="A385" t="s">
        <v>531</v>
      </c>
      <c r="B385" s="70">
        <v>9368.2199999999993</v>
      </c>
      <c r="C385" s="70">
        <v>-517.73</v>
      </c>
      <c r="E385" s="70">
        <v>4.16</v>
      </c>
      <c r="F385" s="34">
        <v>28190.280000000002</v>
      </c>
      <c r="G385" s="34">
        <v>-1138.1400000000001</v>
      </c>
      <c r="H385" s="34">
        <v>-59.44</v>
      </c>
      <c r="N385" s="70">
        <v>24362.76</v>
      </c>
      <c r="O385" s="3">
        <f t="shared" si="3"/>
        <v>-1.8189894035458565E-12</v>
      </c>
      <c r="P385" s="70">
        <v>-798.25</v>
      </c>
      <c r="Q385" s="70">
        <v>2.37</v>
      </c>
      <c r="T385" s="3">
        <f t="shared" si="4"/>
        <v>795.88</v>
      </c>
      <c r="U385" s="70">
        <v>23566.880000000001</v>
      </c>
      <c r="V385" s="1">
        <f>U385-P385-N385-Q385-R385+N385-I386-G386-F386-D385-E385-B385-K386-M385-H386-C385-L386</f>
        <v>9.0949470177292824E-13</v>
      </c>
    </row>
    <row r="386" spans="1:22" x14ac:dyDescent="0.25">
      <c r="A386" t="s">
        <v>532</v>
      </c>
      <c r="B386" s="38">
        <v>6662.31</v>
      </c>
      <c r="F386" s="70">
        <v>16297.54</v>
      </c>
      <c r="G386" s="70">
        <v>-710.6</v>
      </c>
      <c r="H386" s="70">
        <v>-156.56</v>
      </c>
      <c r="I386" s="70">
        <v>77.72999999999999</v>
      </c>
      <c r="N386" s="38">
        <v>21101.65</v>
      </c>
      <c r="O386" s="3">
        <f t="shared" si="3"/>
        <v>-9.0949470177292824E-13</v>
      </c>
      <c r="P386" s="38">
        <v>-555.39</v>
      </c>
      <c r="T386" s="3">
        <f t="shared" si="4"/>
        <v>555.39</v>
      </c>
      <c r="U386" s="38">
        <v>20546.259999999998</v>
      </c>
      <c r="V386" s="1">
        <f>U386-P386-N386-Q386-R386+N386-I387-G387-F387-D386-E386-B386-K387-M386-H387-C386-L387</f>
        <v>-3.2400748750660568E-12</v>
      </c>
    </row>
    <row r="387" spans="1:22" x14ac:dyDescent="0.25">
      <c r="A387" t="s">
        <v>533</v>
      </c>
      <c r="B387" s="49">
        <v>5493.87</v>
      </c>
      <c r="C387" s="49">
        <v>-85.61</v>
      </c>
      <c r="E387" s="49">
        <v>9.2799999999999994</v>
      </c>
      <c r="F387" s="38">
        <v>15521.01</v>
      </c>
      <c r="G387" s="38">
        <v>-824.69</v>
      </c>
      <c r="H387" s="38">
        <v>-315.44</v>
      </c>
      <c r="I387" s="38">
        <v>58.46</v>
      </c>
      <c r="N387" s="49">
        <v>28366.02</v>
      </c>
      <c r="O387" s="3">
        <f t="shared" si="3"/>
        <v>9.0949470177292824E-13</v>
      </c>
      <c r="P387" s="49">
        <v>-77.209999999999994</v>
      </c>
      <c r="T387" s="3">
        <f t="shared" si="4"/>
        <v>77.209999999999994</v>
      </c>
      <c r="U387" s="49">
        <v>28288.81</v>
      </c>
      <c r="V387" s="1">
        <f>U387-P387-N387-Q387-R387+N387-I388-G388-F388-D387-E387-B387-K388-M387-H388-C387-L388</f>
        <v>-7.1054273576010019E-14</v>
      </c>
    </row>
    <row r="388" spans="1:22" x14ac:dyDescent="0.25">
      <c r="A388" t="s">
        <v>534</v>
      </c>
      <c r="B388" s="45">
        <v>2480.5300000000002</v>
      </c>
      <c r="C388" s="45">
        <v>-433.26000000000005</v>
      </c>
      <c r="E388" s="45">
        <v>2.5900000000000003</v>
      </c>
      <c r="F388" s="49">
        <v>23483.72</v>
      </c>
      <c r="G388" s="49">
        <v>-485.09999999999997</v>
      </c>
      <c r="H388" s="49">
        <v>-59.31</v>
      </c>
      <c r="I388" s="49">
        <v>9.17</v>
      </c>
      <c r="N388" s="45">
        <v>18860.810000000001</v>
      </c>
      <c r="O388" s="3">
        <f t="shared" si="3"/>
        <v>4.5474735088646412E-13</v>
      </c>
      <c r="P388" s="45">
        <v>-339.05</v>
      </c>
      <c r="T388" s="3">
        <f t="shared" si="4"/>
        <v>339.05</v>
      </c>
      <c r="U388" s="45">
        <v>18521.759999999998</v>
      </c>
      <c r="V388" s="1">
        <f>U388-P388-N388-Q388-R388+N388-I389-G389-F389-D388-E388-B388-K389-M388-H389-C388-L389</f>
        <v>-2.3874235921539366E-12</v>
      </c>
    </row>
    <row r="389" spans="1:22" x14ac:dyDescent="0.25">
      <c r="A389" t="s">
        <v>535</v>
      </c>
      <c r="B389" s="11">
        <v>5769.08</v>
      </c>
      <c r="F389" s="45">
        <v>17515.379999999997</v>
      </c>
      <c r="G389" s="45">
        <v>-451.94</v>
      </c>
      <c r="H389" s="45">
        <v>-264.55</v>
      </c>
      <c r="I389" s="45">
        <v>12.059999999999999</v>
      </c>
      <c r="O389" s="3">
        <f t="shared" si="3"/>
        <v>-28229.440000000002</v>
      </c>
      <c r="T389" s="3">
        <f t="shared" si="4"/>
        <v>0</v>
      </c>
    </row>
    <row r="390" spans="1:22" x14ac:dyDescent="0.25">
      <c r="A390" t="s">
        <v>536</v>
      </c>
      <c r="B390" s="11">
        <v>5802.9900000000007</v>
      </c>
      <c r="F390" s="11">
        <v>22748.010000000002</v>
      </c>
      <c r="G390" s="11">
        <v>-449.61</v>
      </c>
      <c r="H390" s="11">
        <v>-16.23</v>
      </c>
      <c r="I390" s="11">
        <v>178.19</v>
      </c>
      <c r="O390" s="3">
        <f t="shared" si="3"/>
        <v>-5802.9900000000007</v>
      </c>
      <c r="P390" s="11">
        <v>-282.76</v>
      </c>
      <c r="T390" s="3">
        <f t="shared" si="4"/>
        <v>282.76</v>
      </c>
    </row>
    <row r="391" spans="1:22" x14ac:dyDescent="0.25">
      <c r="A391" t="s">
        <v>537</v>
      </c>
      <c r="B391" s="11">
        <v>3856.6</v>
      </c>
      <c r="E391" s="11">
        <v>2.5900000000000003</v>
      </c>
      <c r="M391" s="11">
        <v>11658.66</v>
      </c>
      <c r="N391" s="11">
        <v>72940.89</v>
      </c>
      <c r="O391" s="3">
        <f t="shared" si="3"/>
        <v>34032.430000000022</v>
      </c>
      <c r="P391" s="11">
        <v>-2085.48</v>
      </c>
      <c r="R391" s="11">
        <v>2340.14</v>
      </c>
      <c r="T391" s="3">
        <f t="shared" si="4"/>
        <v>-254.65999999999985</v>
      </c>
      <c r="U391" s="11">
        <v>72912.789999999994</v>
      </c>
      <c r="V391" s="3">
        <f>U391-P391-N391-Q391-R391+N391-I392-G392-F392-D391-E391-B391-M390-R390-R389-Q390-Q389-P389-P390-K391-K390-I390-G390-F390-E390-E389-B390-B389-M389-D389-D390-M391-H390-C389-H392-K392</f>
        <v>2.4016344468691386E-12</v>
      </c>
    </row>
    <row r="392" spans="1:22" x14ac:dyDescent="0.25">
      <c r="A392" t="s">
        <v>538</v>
      </c>
      <c r="B392" s="71">
        <v>2454.75</v>
      </c>
      <c r="E392" s="71">
        <v>19.809999999999999</v>
      </c>
      <c r="F392" s="11">
        <v>23867.539999999997</v>
      </c>
      <c r="G392" s="11">
        <v>-501.28</v>
      </c>
      <c r="H392" s="11">
        <v>-58.41</v>
      </c>
      <c r="I392" s="11">
        <v>82.76</v>
      </c>
      <c r="N392" s="71">
        <v>18969.98</v>
      </c>
      <c r="O392" s="3">
        <f t="shared" si="3"/>
        <v>-2.2737367544323206E-12</v>
      </c>
      <c r="P392" s="71">
        <v>-201.74</v>
      </c>
      <c r="T392" s="3">
        <f t="shared" si="4"/>
        <v>201.74</v>
      </c>
      <c r="U392" s="71">
        <v>18768.240000000002</v>
      </c>
      <c r="V392" s="1">
        <f>U392-P392-N392-Q392-R392+N392-I393-G393-F393-D392-E392-B392-K393-M392-H393-C392-L393</f>
        <v>3.1263880373444408E-12</v>
      </c>
    </row>
    <row r="393" spans="1:22" x14ac:dyDescent="0.25">
      <c r="A393" t="s">
        <v>539</v>
      </c>
      <c r="B393" s="57">
        <v>1705.64</v>
      </c>
      <c r="D393" s="57">
        <v>172.92999999999998</v>
      </c>
      <c r="F393" s="71">
        <v>17066.849999999999</v>
      </c>
      <c r="G393" s="71">
        <v>-1129.3699999999999</v>
      </c>
      <c r="H393" s="71">
        <v>-283.42</v>
      </c>
      <c r="I393" s="71">
        <v>841.36</v>
      </c>
      <c r="N393" s="57">
        <v>21562.639999999999</v>
      </c>
      <c r="O393" s="3">
        <f t="shared" si="3"/>
        <v>-4.5474735088646412E-13</v>
      </c>
      <c r="P393" s="57">
        <v>-238.93</v>
      </c>
      <c r="T393" s="3">
        <f t="shared" si="4"/>
        <v>238.93</v>
      </c>
      <c r="U393" s="57">
        <v>21323.71</v>
      </c>
      <c r="V393" s="1">
        <f>U393-P393-N393-Q393-R393+N393-I394-G394-F394-D393-E393-B393-K394-M393-H394-C393-L394</f>
        <v>8.5265128291212022E-13</v>
      </c>
    </row>
    <row r="394" spans="1:22" x14ac:dyDescent="0.25">
      <c r="A394" t="s">
        <v>540</v>
      </c>
      <c r="B394" s="59">
        <v>4277.4399999999996</v>
      </c>
      <c r="D394" s="59">
        <v>78.67</v>
      </c>
      <c r="F394" s="57">
        <v>20144.14</v>
      </c>
      <c r="G394" s="57">
        <v>-369.63</v>
      </c>
      <c r="H394" s="57">
        <v>-90.44</v>
      </c>
      <c r="N394" s="59">
        <v>19320.73</v>
      </c>
      <c r="O394" s="3">
        <f t="shared" si="3"/>
        <v>9.0949470177292824E-13</v>
      </c>
      <c r="P394" s="59">
        <v>-171.91</v>
      </c>
      <c r="T394" s="3">
        <f t="shared" ref="T394:T425" si="5">S394-R394-Q394-P394</f>
        <v>171.91</v>
      </c>
      <c r="U394" s="59">
        <v>19148.82</v>
      </c>
      <c r="V394" s="1">
        <f>U394-P394-N394-Q394-R394+N394-I395-G395-F395-D394-E394-B394-K395-M394-H395-C394-L395</f>
        <v>1.6200374375330284E-12</v>
      </c>
    </row>
    <row r="395" spans="1:22" x14ac:dyDescent="0.25">
      <c r="A395" t="s">
        <v>541</v>
      </c>
      <c r="B395" s="56">
        <v>2109.6</v>
      </c>
      <c r="E395" s="56">
        <v>14.6</v>
      </c>
      <c r="F395" s="59">
        <v>17685.599999999999</v>
      </c>
      <c r="G395" s="59">
        <v>-2546.6800000000003</v>
      </c>
      <c r="H395" s="59">
        <v>-174.29999999999998</v>
      </c>
      <c r="N395" s="56">
        <v>22428.2</v>
      </c>
      <c r="O395" s="3">
        <f t="shared" si="3"/>
        <v>9.0949470177292824E-13</v>
      </c>
      <c r="P395" s="56">
        <v>-141.30000000000001</v>
      </c>
      <c r="T395" s="3">
        <f t="shared" si="5"/>
        <v>141.30000000000001</v>
      </c>
      <c r="U395" s="56">
        <v>22286.9</v>
      </c>
      <c r="V395" s="1">
        <f>U395-P395-N395-Q395-R395+N395-I396-G396-F396-D395-E395-B395-K396-M395-H396-C395-L396</f>
        <v>-1.1368683772161603E-13</v>
      </c>
    </row>
    <row r="396" spans="1:22" x14ac:dyDescent="0.25">
      <c r="A396" t="s">
        <v>542</v>
      </c>
      <c r="B396" s="7">
        <v>3498.79</v>
      </c>
      <c r="E396" s="7">
        <v>9.43</v>
      </c>
      <c r="F396" s="56">
        <v>20981.600000000002</v>
      </c>
      <c r="G396" s="56">
        <v>-565.47</v>
      </c>
      <c r="H396" s="56">
        <v>-112.13</v>
      </c>
      <c r="O396" s="3">
        <f t="shared" si="3"/>
        <v>-18818.849999999999</v>
      </c>
      <c r="P396" s="7">
        <v>-196.14</v>
      </c>
      <c r="T396" s="3">
        <f t="shared" si="5"/>
        <v>196.14</v>
      </c>
    </row>
    <row r="397" spans="1:22" x14ac:dyDescent="0.25">
      <c r="A397" t="s">
        <v>543</v>
      </c>
      <c r="B397" s="7">
        <v>5545.48</v>
      </c>
      <c r="E397" s="7">
        <v>14.01</v>
      </c>
      <c r="F397" s="7">
        <v>17975.91</v>
      </c>
      <c r="G397" s="7">
        <v>-2530.92</v>
      </c>
      <c r="H397" s="7">
        <v>-139.27000000000001</v>
      </c>
      <c r="I397" s="7">
        <v>4.91</v>
      </c>
      <c r="M397" s="7">
        <v>18855.249999999996</v>
      </c>
      <c r="O397" s="3">
        <f t="shared" si="3"/>
        <v>-24414.739999999998</v>
      </c>
      <c r="P397" s="7">
        <v>-688.99</v>
      </c>
      <c r="R397" s="7">
        <v>6444.08</v>
      </c>
      <c r="T397" s="3">
        <f t="shared" si="5"/>
        <v>-5755.09</v>
      </c>
    </row>
    <row r="398" spans="1:22" x14ac:dyDescent="0.25">
      <c r="A398" t="s">
        <v>544</v>
      </c>
      <c r="B398" s="7">
        <v>2847.3</v>
      </c>
      <c r="E398" s="7">
        <v>8.34</v>
      </c>
      <c r="M398"/>
      <c r="N398" s="7">
        <v>77055.88</v>
      </c>
      <c r="O398" s="3">
        <f t="shared" si="3"/>
        <v>43233.590000000011</v>
      </c>
      <c r="S398" s="7">
        <v>5558.95</v>
      </c>
      <c r="T398" s="3">
        <f t="shared" si="5"/>
        <v>5558.95</v>
      </c>
      <c r="U398" s="7">
        <v>82614.83</v>
      </c>
      <c r="V398" s="3">
        <f>U398-P398-N398-Q398-R398+N398-I399-G399-F399-D398-E398-B398-M397-R397-R396-Q397-Q396-P396-P397-K398-K397-I397-G397-F397-E397-E396-B397-B396-M396-D396-D397-M398-H397-C396-H399-K399</f>
        <v>1.3216094885137863E-11</v>
      </c>
    </row>
    <row r="399" spans="1:22" x14ac:dyDescent="0.25">
      <c r="A399" t="s">
        <v>545</v>
      </c>
      <c r="B399" s="72">
        <v>2181.5700000000002</v>
      </c>
      <c r="D399" s="72">
        <v>141.57000000000002</v>
      </c>
      <c r="F399" s="7">
        <v>31579.89</v>
      </c>
      <c r="G399" s="7">
        <v>-613.2399999999999</v>
      </c>
      <c r="M399" s="72">
        <v>13126.379999999997</v>
      </c>
      <c r="N399" s="72">
        <v>36373.980000000003</v>
      </c>
      <c r="O399" s="3">
        <f t="shared" si="3"/>
        <v>7.2759576141834259E-12</v>
      </c>
      <c r="P399" s="72">
        <v>-622.80999999999995</v>
      </c>
      <c r="R399" s="72">
        <v>1222.1600000000001</v>
      </c>
      <c r="S399" s="72">
        <v>599.35</v>
      </c>
      <c r="T399" s="3">
        <f t="shared" si="5"/>
        <v>0</v>
      </c>
      <c r="U399" s="72">
        <v>36973.33</v>
      </c>
      <c r="V399" s="1">
        <f>U399-P399-N399-Q399-R399+N399-I400-G400-F400-D399-E399-B399-K400-M399-H400-C399-L400</f>
        <v>5.8264504332328215E-13</v>
      </c>
    </row>
    <row r="400" spans="1:22" x14ac:dyDescent="0.25">
      <c r="A400" t="s">
        <v>546</v>
      </c>
      <c r="B400" s="73">
        <v>737.93000000000006</v>
      </c>
      <c r="F400" s="72">
        <v>21512.300000000003</v>
      </c>
      <c r="G400" s="72">
        <v>-771.29</v>
      </c>
      <c r="H400" s="72">
        <v>52.11</v>
      </c>
      <c r="I400" s="72">
        <v>131.34</v>
      </c>
      <c r="N400" s="73">
        <v>20247.740000000002</v>
      </c>
      <c r="O400" s="3">
        <f t="shared" si="3"/>
        <v>2.2737367544323206E-13</v>
      </c>
      <c r="P400" s="73">
        <v>-125.79</v>
      </c>
      <c r="T400" s="3">
        <f t="shared" si="5"/>
        <v>125.79</v>
      </c>
      <c r="U400" s="73">
        <v>20121.95</v>
      </c>
      <c r="V400" s="1">
        <f>U400-P400-N400-Q400-R400+N400-I401-G401-F401-D400-E400-B400-K401-M400-H401-C400-L401</f>
        <v>2.2737367544323206E-13</v>
      </c>
    </row>
    <row r="401" spans="1:22" x14ac:dyDescent="0.25">
      <c r="A401" t="s">
        <v>547</v>
      </c>
      <c r="B401" s="74">
        <v>1853.07</v>
      </c>
      <c r="C401" s="74">
        <v>-82.220000000000013</v>
      </c>
      <c r="F401" s="73">
        <v>19999.55</v>
      </c>
      <c r="G401" s="73">
        <v>-477.37</v>
      </c>
      <c r="H401" s="73">
        <v>-50.75</v>
      </c>
      <c r="I401" s="73">
        <v>38.380000000000003</v>
      </c>
      <c r="N401" s="75">
        <v>18893.419999999998</v>
      </c>
      <c r="O401" s="3">
        <f t="shared" si="3"/>
        <v>-1.3642420526593924E-12</v>
      </c>
      <c r="P401" s="74">
        <v>-1104.19</v>
      </c>
      <c r="T401" s="3">
        <f t="shared" si="5"/>
        <v>1104.19</v>
      </c>
      <c r="U401" s="74">
        <v>17789.23</v>
      </c>
      <c r="V401" s="1">
        <f>U401-P401-N401-Q401-R401+N401-I402-G402-F402-D401-E401-B401-K402-M401-H402-C401-L402</f>
        <v>-1.3784529073745944E-12</v>
      </c>
    </row>
    <row r="402" spans="1:22" x14ac:dyDescent="0.25">
      <c r="A402" t="s">
        <v>548</v>
      </c>
      <c r="B402" s="76">
        <v>11170.9</v>
      </c>
      <c r="E402" s="76">
        <v>5.0199999999999996</v>
      </c>
      <c r="F402" s="74">
        <v>17850.47</v>
      </c>
      <c r="G402" s="74">
        <v>-790.65</v>
      </c>
      <c r="I402" s="74">
        <v>62.75</v>
      </c>
      <c r="N402" s="76">
        <v>36953.050000000003</v>
      </c>
      <c r="O402" s="3">
        <f t="shared" si="3"/>
        <v>9.0949470177292824E-12</v>
      </c>
      <c r="P402" s="76">
        <v>-1031.46</v>
      </c>
      <c r="T402" s="3">
        <f t="shared" si="5"/>
        <v>1031.46</v>
      </c>
      <c r="U402" s="76">
        <v>35921.589999999997</v>
      </c>
      <c r="V402" s="1">
        <f>U402-P402-N402-Q402-R402+N402-I403-G403-F403-D402-E402-B402-K403-M402-H403-C402-L403</f>
        <v>-1.3642420526593924E-12</v>
      </c>
    </row>
    <row r="403" spans="1:22" x14ac:dyDescent="0.25">
      <c r="A403" t="s">
        <v>549</v>
      </c>
      <c r="B403" s="77">
        <v>4487.1499999999996</v>
      </c>
      <c r="D403" s="77">
        <v>86.91</v>
      </c>
      <c r="E403" s="77">
        <v>36.590000000000003</v>
      </c>
      <c r="F403" s="76">
        <v>26239.3</v>
      </c>
      <c r="G403" s="76">
        <v>-398.5</v>
      </c>
      <c r="H403" s="76">
        <v>-175.98000000000002</v>
      </c>
      <c r="I403" s="76">
        <v>112.31</v>
      </c>
      <c r="O403" s="3">
        <f t="shared" si="3"/>
        <v>-29660.439999999995</v>
      </c>
      <c r="P403" s="77">
        <v>-265.05</v>
      </c>
      <c r="T403" s="3">
        <f t="shared" si="5"/>
        <v>265.05</v>
      </c>
    </row>
    <row r="404" spans="1:22" x14ac:dyDescent="0.25">
      <c r="A404" t="s">
        <v>550</v>
      </c>
      <c r="B404" s="77">
        <v>3923.2999999999997</v>
      </c>
      <c r="E404" s="77">
        <v>12.08</v>
      </c>
      <c r="F404" s="77">
        <v>25729.439999999999</v>
      </c>
      <c r="G404" s="77">
        <v>-648.95999999999992</v>
      </c>
      <c r="H404" s="77">
        <v>-129.54</v>
      </c>
      <c r="I404" s="77">
        <v>98.85</v>
      </c>
      <c r="O404" s="3">
        <f t="shared" si="3"/>
        <v>-3935.3799999999997</v>
      </c>
      <c r="P404" s="77">
        <v>-384.31</v>
      </c>
      <c r="T404" s="3">
        <f t="shared" si="5"/>
        <v>384.31</v>
      </c>
    </row>
    <row r="405" spans="1:22" x14ac:dyDescent="0.25">
      <c r="A405" t="s">
        <v>551</v>
      </c>
      <c r="B405" s="77">
        <v>2074.0500000000002</v>
      </c>
      <c r="M405" s="78">
        <v>16679.929999999997</v>
      </c>
      <c r="O405" s="3">
        <f t="shared" si="3"/>
        <v>-56509.929999999993</v>
      </c>
      <c r="P405" s="77">
        <v>-184.98</v>
      </c>
      <c r="R405" s="77">
        <v>2767.2</v>
      </c>
      <c r="T405" s="3">
        <f t="shared" si="5"/>
        <v>-2582.2199999999998</v>
      </c>
      <c r="V405" s="3"/>
    </row>
    <row r="406" spans="1:22" x14ac:dyDescent="0.25">
      <c r="A406" t="s">
        <v>552</v>
      </c>
      <c r="B406" s="77">
        <v>3222.81</v>
      </c>
      <c r="F406" s="77">
        <v>38312.549999999996</v>
      </c>
      <c r="G406" s="77">
        <v>-496.2</v>
      </c>
      <c r="H406" s="77">
        <v>-98.55</v>
      </c>
      <c r="I406" s="77">
        <v>38.150000000000006</v>
      </c>
      <c r="N406" s="77">
        <v>114451.88</v>
      </c>
      <c r="O406" s="3">
        <f t="shared" si="3"/>
        <v>90105.75</v>
      </c>
      <c r="P406" s="77">
        <v>-301.27</v>
      </c>
      <c r="S406" s="77">
        <v>1631.59</v>
      </c>
      <c r="T406" s="3">
        <f t="shared" si="5"/>
        <v>1932.86</v>
      </c>
      <c r="U406" s="77">
        <v>116083.47</v>
      </c>
      <c r="V406" s="3">
        <f>U406-P406-Q406-R406-I407-G407-F407-D406-E406-B406-M405-R405-R404-Q405-Q404-P404-P405-K406-K405-I405-G405-F405-E405-E404-B405-B404-M404-D404-D405-M406-H405-C404-H407-K407-B403-D403-E403-F404-G404-H404-I404-M403-P403-Q403-R403-F406-G406-H406-I406</f>
        <v>8.7112539404188283E-12</v>
      </c>
    </row>
    <row r="407" spans="1:22" x14ac:dyDescent="0.25">
      <c r="A407" t="s">
        <v>553</v>
      </c>
      <c r="B407" s="37">
        <v>6835.53</v>
      </c>
      <c r="F407" s="77">
        <v>22025.89</v>
      </c>
      <c r="G407" s="77">
        <v>-559.80999999999995</v>
      </c>
      <c r="H407" s="77">
        <v>-342.76</v>
      </c>
      <c r="N407" s="37">
        <v>33538.17</v>
      </c>
      <c r="O407" s="3">
        <f t="shared" si="3"/>
        <v>2.7284841053187847E-12</v>
      </c>
      <c r="P407" s="37">
        <v>-573.08000000000004</v>
      </c>
      <c r="T407" s="3">
        <f t="shared" si="5"/>
        <v>573.08000000000004</v>
      </c>
      <c r="U407" s="37">
        <v>32965.089999999997</v>
      </c>
      <c r="V407" s="1">
        <f>U407-P407-N407-Q407-R407+N407-I408-G408-F408-D407-E407-B407-K408-M407-H408-C407-L408</f>
        <v>3.979039320256561E-13</v>
      </c>
    </row>
    <row r="408" spans="1:22" x14ac:dyDescent="0.25">
      <c r="A408" t="s">
        <v>554</v>
      </c>
      <c r="B408" s="79">
        <v>9718.6</v>
      </c>
      <c r="D408" s="79">
        <v>1387.62</v>
      </c>
      <c r="E408" s="79">
        <v>12.629999999999999</v>
      </c>
      <c r="F408" s="37">
        <v>27481.98</v>
      </c>
      <c r="G408" s="37">
        <v>-953.72</v>
      </c>
      <c r="H408" s="37">
        <v>-203.94</v>
      </c>
      <c r="I408" s="37">
        <v>378.32</v>
      </c>
      <c r="N408" s="79">
        <v>40896.519999999997</v>
      </c>
      <c r="O408" s="3">
        <f t="shared" si="3"/>
        <v>-5.4569682106375694E-12</v>
      </c>
      <c r="P408" s="79">
        <v>-172.67</v>
      </c>
      <c r="T408" s="3">
        <f t="shared" si="5"/>
        <v>172.67</v>
      </c>
      <c r="U408" s="79">
        <v>40723.85</v>
      </c>
      <c r="V408" s="1">
        <f>U408-P408-N408-Q408-R408+N408-I409-G409-F409-D408-E408-B408-K409-M408-H409-C408-L409</f>
        <v>-4.4053649617126212E-13</v>
      </c>
    </row>
    <row r="409" spans="1:22" x14ac:dyDescent="0.25">
      <c r="A409" t="s">
        <v>555</v>
      </c>
      <c r="B409" s="80">
        <v>6352.34</v>
      </c>
      <c r="F409" s="79">
        <v>30168.719999999998</v>
      </c>
      <c r="G409" s="79">
        <v>-370.49</v>
      </c>
      <c r="H409" s="79">
        <v>-41.769999999999996</v>
      </c>
      <c r="I409" s="79">
        <v>21.21</v>
      </c>
      <c r="N409" s="80">
        <v>32493.8</v>
      </c>
      <c r="O409" s="3">
        <f t="shared" si="3"/>
        <v>3.637978807091713E-12</v>
      </c>
      <c r="P409" s="80">
        <v>-353.07</v>
      </c>
      <c r="T409" s="3">
        <f t="shared" si="5"/>
        <v>353.07</v>
      </c>
      <c r="U409" s="80">
        <v>32140.73</v>
      </c>
      <c r="V409" s="1">
        <f>U409-P409-N409-Q409-R409+N409-I410-G410-F410-D409-E409-B409-K410-M409-H410-C409-L410</f>
        <v>-1.0231815394945443E-12</v>
      </c>
    </row>
    <row r="410" spans="1:22" x14ac:dyDescent="0.25">
      <c r="A410" t="s">
        <v>556</v>
      </c>
      <c r="B410" s="81">
        <v>12545.29</v>
      </c>
      <c r="D410" s="81">
        <v>1129.99</v>
      </c>
      <c r="F410" s="80">
        <v>26666.28</v>
      </c>
      <c r="G410" s="80">
        <v>-443.96</v>
      </c>
      <c r="H410" s="80">
        <v>-160.63</v>
      </c>
      <c r="I410" s="80">
        <v>79.77</v>
      </c>
      <c r="O410" s="3">
        <f t="shared" si="3"/>
        <v>-40985.490000000005</v>
      </c>
      <c r="P410" s="81">
        <v>-186.09</v>
      </c>
      <c r="T410" s="3">
        <f t="shared" si="5"/>
        <v>186.09</v>
      </c>
    </row>
    <row r="411" spans="1:22" x14ac:dyDescent="0.25">
      <c r="A411" t="s">
        <v>557</v>
      </c>
      <c r="B411" s="81">
        <v>9416.85</v>
      </c>
      <c r="E411" s="81">
        <v>17.059999999999999</v>
      </c>
      <c r="F411" s="81">
        <v>27529.74</v>
      </c>
      <c r="G411" s="81">
        <v>-237.15</v>
      </c>
      <c r="I411" s="81">
        <v>17.62</v>
      </c>
      <c r="M411" s="81">
        <v>13173.210000000001</v>
      </c>
      <c r="O411" s="3">
        <f t="shared" si="3"/>
        <v>-22607.120000000003</v>
      </c>
      <c r="P411" s="81">
        <v>-133.19999999999999</v>
      </c>
      <c r="R411" s="81">
        <v>2239.16</v>
      </c>
      <c r="T411" s="3">
        <f t="shared" si="5"/>
        <v>-2105.96</v>
      </c>
    </row>
    <row r="412" spans="1:22" x14ac:dyDescent="0.25">
      <c r="A412" t="s">
        <v>558</v>
      </c>
      <c r="B412" s="81">
        <v>10607.689999999999</v>
      </c>
      <c r="N412" s="81">
        <v>121289.17</v>
      </c>
      <c r="O412" s="3">
        <f t="shared" si="3"/>
        <v>63592.609999999986</v>
      </c>
      <c r="P412" s="81">
        <v>-84.12</v>
      </c>
      <c r="S412" s="81">
        <v>1835.75</v>
      </c>
      <c r="T412" s="3">
        <f t="shared" si="5"/>
        <v>1919.87</v>
      </c>
      <c r="U412" s="81">
        <v>123124.92</v>
      </c>
      <c r="V412" s="3">
        <f>U412-P412-N412-Q412-R412+N412-I413-G413-F413-D412-E412-B412-M411-R411-R410-Q411-Q410-P410-P411-K412-K411-I411-G411-F411-E411-E410-B411-B410-M410-D410-D411-M412-H411-C410-H413-K413</f>
        <v>-1.6370904631912708E-11</v>
      </c>
    </row>
    <row r="413" spans="1:22" x14ac:dyDescent="0.25">
      <c r="A413" t="s">
        <v>559</v>
      </c>
      <c r="B413" s="37">
        <v>6258.5199999999995</v>
      </c>
      <c r="F413" s="81">
        <v>48027.73</v>
      </c>
      <c r="G413" s="81">
        <v>-766.18999999999994</v>
      </c>
      <c r="H413" s="81">
        <v>-191.49</v>
      </c>
      <c r="I413" s="81">
        <v>18.82</v>
      </c>
      <c r="N413" s="37">
        <v>39058.449999999997</v>
      </c>
      <c r="O413" s="3">
        <f t="shared" si="3"/>
        <v>-1.0004441719502211E-11</v>
      </c>
      <c r="P413" s="37">
        <v>-748.34</v>
      </c>
      <c r="T413" s="3">
        <f t="shared" si="5"/>
        <v>748.34</v>
      </c>
      <c r="U413" s="37">
        <v>38310.11</v>
      </c>
      <c r="V413" s="1">
        <f>U413-P413-N413-Q413-R413+N413-I414-G414-F414-D413-E413-B413-K414-M413-H414-C413-L414</f>
        <v>-1.0004441719502211E-11</v>
      </c>
    </row>
    <row r="414" spans="1:22" x14ac:dyDescent="0.25">
      <c r="A414" t="s">
        <v>560</v>
      </c>
      <c r="B414" s="82">
        <v>9080.49</v>
      </c>
      <c r="E414" s="82">
        <v>7.46</v>
      </c>
      <c r="F414" s="37">
        <v>33423.060000000005</v>
      </c>
      <c r="G414" s="37">
        <v>-595.71</v>
      </c>
      <c r="H414" s="37">
        <v>-50.5</v>
      </c>
      <c r="I414" s="37">
        <v>23.08</v>
      </c>
      <c r="N414" s="82">
        <v>47085.29</v>
      </c>
      <c r="O414" s="3">
        <f t="shared" si="3"/>
        <v>5.4569682106375694E-12</v>
      </c>
      <c r="P414" s="82">
        <v>-660.75</v>
      </c>
      <c r="T414" s="3">
        <f t="shared" si="5"/>
        <v>660.75</v>
      </c>
      <c r="U414" s="82">
        <v>46424.54</v>
      </c>
      <c r="V414" s="1">
        <f>U414-P414-N414-Q414-R414+N414-I415-G415-F415-D414-E414-B414-K415-M414-H415-C414-L415</f>
        <v>7.4926731485902565E-12</v>
      </c>
    </row>
    <row r="415" spans="1:22" x14ac:dyDescent="0.25">
      <c r="A415" t="s">
        <v>561</v>
      </c>
      <c r="B415" s="38">
        <v>5601.67</v>
      </c>
      <c r="F415" s="82">
        <v>38086.579999999994</v>
      </c>
      <c r="G415" s="82">
        <v>-140.04</v>
      </c>
      <c r="H415" s="82">
        <v>-28.24</v>
      </c>
      <c r="I415" s="82">
        <v>79.039999999999992</v>
      </c>
      <c r="N415" s="38">
        <v>35367.71</v>
      </c>
      <c r="O415" s="3">
        <f t="shared" si="3"/>
        <v>-1.8189894035458565E-12</v>
      </c>
      <c r="P415" s="38">
        <v>-467.87</v>
      </c>
      <c r="T415" s="3">
        <f t="shared" si="5"/>
        <v>467.87</v>
      </c>
      <c r="U415" s="38">
        <v>34899.839999999997</v>
      </c>
      <c r="V415" s="1">
        <f>U415-P415-N415-Q415-R415+N415-I416-G416-F416-D415-E415-B415-K416-M415-H416-C415-L416</f>
        <v>-3.694822225952521E-13</v>
      </c>
    </row>
    <row r="416" spans="1:22" x14ac:dyDescent="0.25">
      <c r="A416" t="s">
        <v>562</v>
      </c>
      <c r="B416" s="83">
        <v>9576.9</v>
      </c>
      <c r="F416" s="38">
        <v>34828.720000000001</v>
      </c>
      <c r="G416" s="38">
        <v>-4877.18</v>
      </c>
      <c r="H416" s="38">
        <v>-224.85</v>
      </c>
      <c r="I416" s="38">
        <v>39.35</v>
      </c>
      <c r="N416" s="83">
        <v>37081.33</v>
      </c>
      <c r="O416" s="3">
        <f t="shared" si="3"/>
        <v>1.8189894035458565E-12</v>
      </c>
      <c r="P416" s="83">
        <v>-773.19</v>
      </c>
      <c r="T416" s="3">
        <f t="shared" si="5"/>
        <v>773.19</v>
      </c>
      <c r="U416" s="83">
        <v>36308.14</v>
      </c>
      <c r="V416" s="1">
        <f>U416-P416-N416-Q416-R416+N416-I417-G417-F417-D416-E416-B416-K417-M416-H417-C416-L417</f>
        <v>9.4502183856093325E-13</v>
      </c>
    </row>
    <row r="417" spans="1:22" x14ac:dyDescent="0.25">
      <c r="A417" t="s">
        <v>563</v>
      </c>
      <c r="B417" s="43">
        <v>5687.41</v>
      </c>
      <c r="E417" s="43">
        <v>54.07</v>
      </c>
      <c r="F417" s="83">
        <v>28657.61</v>
      </c>
      <c r="G417" s="83">
        <v>-1210.3500000000001</v>
      </c>
      <c r="H417" s="83">
        <v>-43.04</v>
      </c>
      <c r="I417" s="83">
        <v>100.21000000000001</v>
      </c>
      <c r="O417" s="3">
        <f t="shared" si="3"/>
        <v>-52244.100000000006</v>
      </c>
      <c r="P417" s="43">
        <v>-202.43</v>
      </c>
      <c r="Q417" s="43">
        <v>-796.58</v>
      </c>
      <c r="T417" s="3">
        <f t="shared" si="5"/>
        <v>999.01</v>
      </c>
    </row>
    <row r="418" spans="1:22" x14ac:dyDescent="0.25">
      <c r="A418" t="s">
        <v>564</v>
      </c>
      <c r="B418" s="43">
        <v>5924.5300000000007</v>
      </c>
      <c r="F418" s="43">
        <v>46671.14</v>
      </c>
      <c r="G418" s="43">
        <v>-316.59999999999997</v>
      </c>
      <c r="I418" s="43">
        <v>148.08000000000001</v>
      </c>
      <c r="M418" s="43">
        <v>14898.81</v>
      </c>
      <c r="O418" s="3">
        <f t="shared" si="3"/>
        <v>-20845.560000000001</v>
      </c>
      <c r="P418" s="43">
        <v>-132.4</v>
      </c>
      <c r="Q418" s="43">
        <v>-399.48</v>
      </c>
      <c r="R418" s="43">
        <v>2273.16</v>
      </c>
      <c r="T418" s="3">
        <f t="shared" si="5"/>
        <v>-1741.2799999999997</v>
      </c>
    </row>
    <row r="419" spans="1:22" x14ac:dyDescent="0.25">
      <c r="A419" t="s">
        <v>565</v>
      </c>
      <c r="B419" s="43">
        <v>4945.76</v>
      </c>
      <c r="K419" s="43">
        <v>22.22</v>
      </c>
      <c r="N419" s="43">
        <v>185942.08</v>
      </c>
      <c r="O419" s="3">
        <f t="shared" si="3"/>
        <v>73089.659999999974</v>
      </c>
      <c r="P419" s="43">
        <v>-158.53</v>
      </c>
      <c r="Q419" s="43">
        <v>-794.54000000001133</v>
      </c>
      <c r="T419" s="3">
        <f t="shared" si="5"/>
        <v>953.07000000001131</v>
      </c>
      <c r="U419" s="43">
        <v>185731.28</v>
      </c>
      <c r="V419" s="3">
        <f>U419-P419-N419-Q419-R419+N419-I420-G420-F420-D419-E419-B419-M418-R418-R417-Q418-Q417-P417-P418-K419-K418-I418-G418-F418-E418-E417-B418-B417-M417-D417-D418-M419-H418-C417-H420-K420</f>
        <v>-5.4569682106375694E-12</v>
      </c>
    </row>
    <row r="420" spans="1:22" x14ac:dyDescent="0.25">
      <c r="A420" t="s">
        <v>566</v>
      </c>
      <c r="B420" s="50">
        <v>8445.75</v>
      </c>
      <c r="D420" s="50">
        <v>260.33</v>
      </c>
      <c r="F420" s="43">
        <v>109171.65000000001</v>
      </c>
      <c r="G420" s="43">
        <v>-1281.22</v>
      </c>
      <c r="I420" s="43">
        <v>16.23</v>
      </c>
      <c r="N420" s="50">
        <v>71723.56</v>
      </c>
      <c r="O420" s="3">
        <f t="shared" si="3"/>
        <v>-5.4569682106375694E-12</v>
      </c>
      <c r="P420" s="50">
        <v>-331.15</v>
      </c>
      <c r="Q420" s="50">
        <v>-1455.13</v>
      </c>
      <c r="T420" s="3">
        <f t="shared" si="5"/>
        <v>1786.2800000000002</v>
      </c>
      <c r="U420" s="50">
        <v>69937.279999999999</v>
      </c>
      <c r="V420" s="1">
        <f>U420-P420-N420-Q420-R420+N420-I421-G421-F421-D420-E420-B420-K421-M420-H421-C420-L421</f>
        <v>-3.1263880373444408E-12</v>
      </c>
    </row>
    <row r="421" spans="1:22" x14ac:dyDescent="0.25">
      <c r="A421" t="s">
        <v>567</v>
      </c>
      <c r="B421" s="84">
        <v>8576</v>
      </c>
      <c r="C421" s="84">
        <v>-70.08</v>
      </c>
      <c r="F421" s="50">
        <v>64265.26</v>
      </c>
      <c r="G421" s="50">
        <v>-1189.3100000000002</v>
      </c>
      <c r="H421" s="50">
        <v>-105.84</v>
      </c>
      <c r="I421" s="50">
        <v>69.59</v>
      </c>
      <c r="K421" s="50">
        <v>-22.22</v>
      </c>
      <c r="N421" s="84">
        <v>103566.13</v>
      </c>
      <c r="O421" s="3">
        <f t="shared" si="3"/>
        <v>-1.6370904631912708E-11</v>
      </c>
      <c r="P421" s="84">
        <v>-371.32</v>
      </c>
      <c r="Q421" s="84">
        <v>-264.2</v>
      </c>
      <c r="T421" s="3">
        <f t="shared" si="5"/>
        <v>635.52</v>
      </c>
      <c r="U421" s="84">
        <v>102930.61</v>
      </c>
      <c r="V421" s="1">
        <f>U421-P421-N421-Q421-R421+N421-I422-G422-F422-D421-E421-B421-K422-M421-H422-C421-L422</f>
        <v>-1.0473399925103877E-11</v>
      </c>
    </row>
    <row r="422" spans="1:22" x14ac:dyDescent="0.25">
      <c r="A422" t="s">
        <v>568</v>
      </c>
      <c r="B422" s="85">
        <v>7006.83</v>
      </c>
      <c r="F422" s="84">
        <v>95797.510000000009</v>
      </c>
      <c r="G422" s="84">
        <v>-707.65000000000009</v>
      </c>
      <c r="H422" s="84">
        <v>-29.65</v>
      </c>
      <c r="N422" s="85">
        <v>146497.54</v>
      </c>
      <c r="O422" s="3">
        <f t="shared" si="3"/>
        <v>-1.2732925824820995E-11</v>
      </c>
      <c r="P422" s="85">
        <v>-243.59</v>
      </c>
      <c r="Q422" s="85">
        <v>-664.46</v>
      </c>
      <c r="T422" s="3">
        <f t="shared" si="5"/>
        <v>908.05000000000007</v>
      </c>
      <c r="U422" s="85">
        <v>145589.49</v>
      </c>
      <c r="V422" s="1">
        <f>U422-P422-N422-Q422-R422+N422-I423-G423-F423-D422-E422-B422-K423-M422-H423-C422-L423</f>
        <v>-2.7865709739671729E-11</v>
      </c>
    </row>
    <row r="423" spans="1:22" x14ac:dyDescent="0.25">
      <c r="A423" t="s">
        <v>569</v>
      </c>
      <c r="B423" s="2">
        <v>5476.09</v>
      </c>
      <c r="D423" s="2">
        <v>86.37</v>
      </c>
      <c r="E423" s="2">
        <v>6.42</v>
      </c>
      <c r="F423" s="85">
        <v>140041.93</v>
      </c>
      <c r="G423" s="85">
        <v>-538.61</v>
      </c>
      <c r="H423" s="85">
        <v>-12.610000000000001</v>
      </c>
      <c r="N423" s="2">
        <v>144525.92000000001</v>
      </c>
      <c r="O423" s="3">
        <f t="shared" si="3"/>
        <v>3.3651303965598345E-11</v>
      </c>
      <c r="P423" s="2">
        <v>-132.05000000000001</v>
      </c>
      <c r="Q423" s="2">
        <v>-795.51</v>
      </c>
      <c r="T423" s="3">
        <f t="shared" si="5"/>
        <v>927.56</v>
      </c>
      <c r="U423" s="2">
        <v>143598.35999999999</v>
      </c>
      <c r="V423" s="1">
        <f>U423-P423-N423-Q423-R423+N423-I424-G424-F424-D423-E423-B423-K424-M423-H424-C423-L424</f>
        <v>1.0366818514739862E-11</v>
      </c>
    </row>
    <row r="424" spans="1:22" x14ac:dyDescent="0.25">
      <c r="A424" t="s">
        <v>570</v>
      </c>
      <c r="B424" s="44">
        <v>4729.87</v>
      </c>
      <c r="F424" s="2">
        <v>138978.35999999999</v>
      </c>
      <c r="G424" s="2">
        <v>-107.44</v>
      </c>
      <c r="H424" s="2">
        <v>-16.399999999999999</v>
      </c>
      <c r="I424" s="2">
        <v>102.52</v>
      </c>
      <c r="O424" s="3">
        <f t="shared" si="3"/>
        <v>-129944.06999999999</v>
      </c>
      <c r="P424" s="44">
        <v>-407.53</v>
      </c>
      <c r="Q424" s="44">
        <v>-266.18</v>
      </c>
      <c r="T424" s="3">
        <f t="shared" si="5"/>
        <v>673.71</v>
      </c>
    </row>
    <row r="425" spans="1:22" x14ac:dyDescent="0.25">
      <c r="A425" t="s">
        <v>571</v>
      </c>
      <c r="B425" s="44">
        <v>9284.68</v>
      </c>
      <c r="E425" s="44">
        <v>9.9</v>
      </c>
      <c r="F425" s="44">
        <v>125707.34</v>
      </c>
      <c r="G425" s="44">
        <v>-529.32000000000005</v>
      </c>
      <c r="H425" s="44">
        <v>-44.4</v>
      </c>
      <c r="I425" s="44">
        <v>80.58</v>
      </c>
      <c r="M425" s="44">
        <v>35214.270000000011</v>
      </c>
      <c r="O425" s="3">
        <f t="shared" si="3"/>
        <v>-44508.850000000013</v>
      </c>
      <c r="Q425" s="44">
        <v>-397.05</v>
      </c>
      <c r="R425" s="44">
        <v>13587.449999999999</v>
      </c>
      <c r="T425" s="3">
        <f t="shared" si="5"/>
        <v>-13190.4</v>
      </c>
    </row>
    <row r="426" spans="1:22" x14ac:dyDescent="0.25">
      <c r="A426" t="s">
        <v>572</v>
      </c>
      <c r="B426" s="44">
        <v>5866.0199999999995</v>
      </c>
      <c r="D426" s="44">
        <v>691.12</v>
      </c>
      <c r="N426" s="44">
        <v>319082.96000000002</v>
      </c>
      <c r="O426" s="3">
        <f t="shared" ref="O426:O489" si="6">N426-K427-I427-H427-G427-F427-E426-D426-C426-B426-M426-L426</f>
        <v>174452.92000000004</v>
      </c>
      <c r="P426" s="44">
        <v>-713.47</v>
      </c>
      <c r="Q426" s="44">
        <v>-133.09</v>
      </c>
      <c r="S426" s="44">
        <v>11670.13</v>
      </c>
      <c r="T426" s="3">
        <f t="shared" ref="T426:T457" si="7">S426-R426-Q426-P426</f>
        <v>12516.689999999999</v>
      </c>
      <c r="U426" s="44">
        <v>330753.09000000003</v>
      </c>
      <c r="V426" s="3">
        <f>U426-P426-N426-Q426-R426+N426-I427-G427-F427-D426-E426-B426-M425-R425-R424-Q425-Q424-P424-P425-K426-K425-I425-G425-F425-E425-E424-B425-B424-M424-D424-D425-M426-H425-C424-H427-K427</f>
        <v>-7.9687367815495236E-12</v>
      </c>
    </row>
    <row r="427" spans="1:22" x14ac:dyDescent="0.25">
      <c r="A427" t="s">
        <v>573</v>
      </c>
      <c r="B427" s="86">
        <v>3299.49</v>
      </c>
      <c r="F427" s="44">
        <v>139240.09</v>
      </c>
      <c r="G427" s="44">
        <v>-1158.1299999999999</v>
      </c>
      <c r="H427" s="44">
        <v>-9.84</v>
      </c>
      <c r="I427" s="44">
        <v>0.78</v>
      </c>
      <c r="N427" s="86">
        <v>72394.58</v>
      </c>
      <c r="O427" s="3">
        <f t="shared" si="6"/>
        <v>-9.0949470177292824E-12</v>
      </c>
      <c r="P427" s="86">
        <v>-246.86</v>
      </c>
      <c r="Q427" s="86">
        <v>-131.91</v>
      </c>
      <c r="T427" s="3">
        <f t="shared" si="7"/>
        <v>378.77</v>
      </c>
      <c r="U427" s="86">
        <v>72015.81</v>
      </c>
      <c r="V427" s="1">
        <f>U427-P427-N427-Q427-R427+N427-I428-G428-F428-D427-E427-B427-K428-M427-H428-C427-L428</f>
        <v>-2.6929569685307797E-12</v>
      </c>
    </row>
    <row r="428" spans="1:22" x14ac:dyDescent="0.25">
      <c r="A428" t="s">
        <v>574</v>
      </c>
      <c r="B428" s="49">
        <v>4077.7700000000004</v>
      </c>
      <c r="E428" s="49">
        <v>13.49</v>
      </c>
      <c r="F428" s="86">
        <v>69577.87000000001</v>
      </c>
      <c r="G428" s="86">
        <v>-444.74</v>
      </c>
      <c r="H428" s="86">
        <v>-38.04</v>
      </c>
      <c r="N428" s="49">
        <v>78342.39</v>
      </c>
      <c r="O428" s="3">
        <f t="shared" si="6"/>
        <v>9.0949470177292824E-12</v>
      </c>
      <c r="P428" s="49">
        <v>-402.06</v>
      </c>
      <c r="Q428" s="49">
        <v>-397.32</v>
      </c>
      <c r="T428" s="3">
        <f t="shared" si="7"/>
        <v>799.38</v>
      </c>
      <c r="U428" s="49">
        <v>77543.009999999995</v>
      </c>
      <c r="V428" s="1">
        <f>U428-P428-N428-Q428-R428+N428-I429-G429-F429-D428-E428-B428-K429-M428-H429-C428-L429</f>
        <v>7.3487882445988362E-12</v>
      </c>
    </row>
    <row r="429" spans="1:22" x14ac:dyDescent="0.25">
      <c r="A429" t="s">
        <v>575</v>
      </c>
      <c r="B429" s="49">
        <v>9806.98</v>
      </c>
      <c r="F429" s="49">
        <v>74425.56</v>
      </c>
      <c r="G429" s="49">
        <v>-362.69</v>
      </c>
      <c r="H429" s="49">
        <v>7.92</v>
      </c>
      <c r="I429" s="49">
        <v>180.34</v>
      </c>
      <c r="M429" s="49">
        <v>17278</v>
      </c>
      <c r="N429" s="49">
        <v>85769.12</v>
      </c>
      <c r="O429" s="3">
        <f t="shared" si="6"/>
        <v>-1.0913936421275139E-11</v>
      </c>
      <c r="P429" s="49">
        <v>-224.29</v>
      </c>
      <c r="Q429" s="49">
        <v>-530.28</v>
      </c>
      <c r="R429" s="49">
        <v>1193.99</v>
      </c>
      <c r="T429" s="3">
        <f t="shared" si="7"/>
        <v>-439.42000000000007</v>
      </c>
      <c r="U429" s="49">
        <v>86208.54</v>
      </c>
      <c r="V429" s="1">
        <f>U429-P429-N429-Q429-R429+N429-I430-G430-F430-D429-E429-B429-K430-M429-H430-C429-L430</f>
        <v>-1.9070967027801089E-11</v>
      </c>
    </row>
    <row r="430" spans="1:22" x14ac:dyDescent="0.25">
      <c r="A430" t="s">
        <v>576</v>
      </c>
      <c r="B430" s="83">
        <v>5931.76</v>
      </c>
      <c r="E430" s="83">
        <v>56.800000000000004</v>
      </c>
      <c r="F430" s="49">
        <v>59283.18</v>
      </c>
      <c r="G430" s="49">
        <v>-485.78000000000003</v>
      </c>
      <c r="H430" s="49">
        <v>-116.28999999999999</v>
      </c>
      <c r="I430" s="49">
        <v>3.0300000000000002</v>
      </c>
      <c r="N430" s="83">
        <v>76815.08</v>
      </c>
      <c r="O430" s="3">
        <f t="shared" si="6"/>
        <v>-1.7280399333685637E-11</v>
      </c>
      <c r="P430" s="83">
        <v>-370.07</v>
      </c>
      <c r="Q430" s="83">
        <v>-662.46</v>
      </c>
      <c r="T430" s="3">
        <f t="shared" si="7"/>
        <v>1032.53</v>
      </c>
      <c r="U430" s="83">
        <v>75782.55</v>
      </c>
      <c r="V430" s="1">
        <f>U430-P430-N430-Q430-R430+N430-I431-G431-F431-D430-E430-B430-K431-M430-H431-C430-L431</f>
        <v>-9.8054897534893826E-13</v>
      </c>
    </row>
    <row r="431" spans="1:22" x14ac:dyDescent="0.25">
      <c r="A431" t="s">
        <v>577</v>
      </c>
      <c r="B431" s="32">
        <v>11734.03</v>
      </c>
      <c r="E431" s="32">
        <v>55.019999999999996</v>
      </c>
      <c r="F431" s="83">
        <v>72289.700000000012</v>
      </c>
      <c r="G431" s="83">
        <v>-1431.51</v>
      </c>
      <c r="H431" s="83">
        <v>-31.67</v>
      </c>
      <c r="O431" s="3">
        <f t="shared" si="6"/>
        <v>-166365.22999999998</v>
      </c>
      <c r="P431" s="32">
        <v>-251.26</v>
      </c>
      <c r="T431" s="3">
        <f t="shared" si="7"/>
        <v>251.26</v>
      </c>
    </row>
    <row r="432" spans="1:22" x14ac:dyDescent="0.25">
      <c r="A432" t="s">
        <v>578</v>
      </c>
      <c r="B432" s="32">
        <v>15743.55</v>
      </c>
      <c r="E432" s="32">
        <v>5.2399999999999993</v>
      </c>
      <c r="F432" s="32">
        <v>155895.75</v>
      </c>
      <c r="G432" s="32">
        <v>-582.1</v>
      </c>
      <c r="H432" s="32">
        <v>-246.47</v>
      </c>
      <c r="K432" s="32">
        <v>-491</v>
      </c>
      <c r="M432" s="32">
        <v>24810.69</v>
      </c>
      <c r="O432" s="3">
        <f t="shared" si="6"/>
        <v>-40559.479999999996</v>
      </c>
      <c r="P432" s="32">
        <v>-88.77</v>
      </c>
      <c r="R432" s="32">
        <v>2714.0999999999995</v>
      </c>
      <c r="T432" s="3">
        <f t="shared" si="7"/>
        <v>-2625.3299999999995</v>
      </c>
    </row>
    <row r="433" spans="1:22" x14ac:dyDescent="0.25">
      <c r="A433" t="s">
        <v>579</v>
      </c>
      <c r="B433" s="32">
        <v>14988.269999999999</v>
      </c>
      <c r="D433" s="32">
        <v>82.220000000000013</v>
      </c>
      <c r="N433" s="32">
        <v>575076.84</v>
      </c>
      <c r="O433" s="3">
        <f t="shared" si="6"/>
        <v>206924.7099999999</v>
      </c>
      <c r="P433" s="32">
        <v>-14.09</v>
      </c>
      <c r="Q433" s="32">
        <v>-398.27</v>
      </c>
      <c r="S433" s="32">
        <v>1961.71</v>
      </c>
      <c r="T433" s="3">
        <f t="shared" si="7"/>
        <v>2374.0700000000002</v>
      </c>
      <c r="U433" s="32">
        <v>577038.55000000005</v>
      </c>
      <c r="V433" s="3">
        <f>U433-P433-N433-Q433-R433+N433-I434-G434-F434-D433-E433-B433-M432-R432-R431-Q432-Q431-P431-P432-K433-K432-I432-G432-F432-E432-E431-B432-B431-M431-D431-D432-M433-H432-C431-H434-K434</f>
        <v>-3.5726088754017837E-11</v>
      </c>
    </row>
    <row r="434" spans="1:22" x14ac:dyDescent="0.25">
      <c r="A434" t="s">
        <v>580</v>
      </c>
      <c r="B434" s="43">
        <v>11974.460000000001</v>
      </c>
      <c r="D434" s="43">
        <v>68.5</v>
      </c>
      <c r="F434" s="32">
        <v>354063.72000000003</v>
      </c>
      <c r="G434" s="32">
        <v>-990.97</v>
      </c>
      <c r="I434" s="32">
        <v>8.89</v>
      </c>
      <c r="N434" s="43">
        <v>108431.44</v>
      </c>
      <c r="O434" s="3">
        <f t="shared" si="6"/>
        <v>-9.0949470177292824E-12</v>
      </c>
      <c r="P434" s="43">
        <v>-734.41</v>
      </c>
      <c r="Q434" s="43">
        <v>-664.51</v>
      </c>
      <c r="S434" s="43">
        <v>1398.92</v>
      </c>
      <c r="T434" s="3">
        <f t="shared" si="7"/>
        <v>2797.84</v>
      </c>
      <c r="U434" s="43">
        <v>107032.52</v>
      </c>
      <c r="V434" s="1">
        <f>U434-P434-N434-Q434-R434+N434-I435-G435-F435-D434-E434-B434-K435-M434-H435-C434-L435</f>
        <v>-6.766143201275554E-12</v>
      </c>
    </row>
    <row r="435" spans="1:22" x14ac:dyDescent="0.25">
      <c r="A435" t="s">
        <v>581</v>
      </c>
      <c r="B435" s="38">
        <v>16522.04</v>
      </c>
      <c r="E435" s="38">
        <v>31.65</v>
      </c>
      <c r="F435" s="43">
        <v>105243.74</v>
      </c>
      <c r="G435" s="43">
        <v>-8961.4</v>
      </c>
      <c r="H435" s="43">
        <v>-5.3100000000000005</v>
      </c>
      <c r="I435" s="43">
        <v>111.45</v>
      </c>
      <c r="N435" s="38">
        <v>110580.74</v>
      </c>
      <c r="O435" s="3">
        <f t="shared" si="6"/>
        <v>0</v>
      </c>
      <c r="P435" s="38">
        <v>-682.47</v>
      </c>
      <c r="Q435" s="38">
        <v>-133.16999999999999</v>
      </c>
      <c r="S435" s="38">
        <v>815.64</v>
      </c>
      <c r="T435" s="3">
        <f t="shared" si="7"/>
        <v>1631.28</v>
      </c>
      <c r="U435" s="38">
        <v>109765.1</v>
      </c>
      <c r="V435" s="1">
        <f>U435-P435-N435-Q435-R435+N435-I436-G436-F436-D435-E435-B435-K436-M435-H436-C435-L436</f>
        <v>1.8189894035458565E-12</v>
      </c>
    </row>
    <row r="436" spans="1:22" x14ac:dyDescent="0.25">
      <c r="A436" t="s">
        <v>582</v>
      </c>
      <c r="B436" s="87">
        <v>13596.65</v>
      </c>
      <c r="E436" s="87">
        <v>40.65</v>
      </c>
      <c r="F436" s="38">
        <v>94884.94</v>
      </c>
      <c r="G436" s="38">
        <v>-661.12</v>
      </c>
      <c r="H436" s="38">
        <v>-223.5</v>
      </c>
      <c r="I436" s="38">
        <v>26.729999999999997</v>
      </c>
      <c r="N436" s="87">
        <v>31203.64</v>
      </c>
      <c r="O436" s="3">
        <f t="shared" si="6"/>
        <v>0</v>
      </c>
      <c r="P436" s="87">
        <v>-297.17</v>
      </c>
      <c r="Q436" s="87">
        <v>-1195.6400000000001</v>
      </c>
      <c r="S436" s="87">
        <v>1492.81</v>
      </c>
      <c r="T436" s="3">
        <f t="shared" si="7"/>
        <v>2985.62</v>
      </c>
      <c r="U436" s="87">
        <v>29710.83</v>
      </c>
      <c r="V436" s="1">
        <f>U436-P436-N436-Q436-R436+N436-I437-G437-F437-D436-E436-B436-K437-M436-H437-C436-L437</f>
        <v>0</v>
      </c>
    </row>
    <row r="437" spans="1:22" x14ac:dyDescent="0.25">
      <c r="A437" t="s">
        <v>583</v>
      </c>
      <c r="B437" s="57">
        <v>12298.35</v>
      </c>
      <c r="F437" s="87">
        <v>19358.259999999998</v>
      </c>
      <c r="G437" s="87">
        <v>-1717.3899999999999</v>
      </c>
      <c r="H437" s="87">
        <v>-76.75</v>
      </c>
      <c r="I437" s="87">
        <v>2.2200000000000002</v>
      </c>
      <c r="N437" s="57">
        <v>36170.67</v>
      </c>
      <c r="O437" s="3">
        <f t="shared" si="6"/>
        <v>1.8189894035458565E-12</v>
      </c>
      <c r="P437" s="57">
        <v>-281.39999999999998</v>
      </c>
      <c r="Q437" s="57">
        <v>-133.21</v>
      </c>
      <c r="T437" s="3">
        <f t="shared" si="7"/>
        <v>414.61</v>
      </c>
      <c r="U437" s="57">
        <v>35756.06</v>
      </c>
      <c r="V437" s="1">
        <f>U437-P437-N437-Q437-R437+N437-I438-G438-F438-D437-E437-B437-K438-M437-H438-C437-L438</f>
        <v>-7.9580786405131221E-13</v>
      </c>
    </row>
    <row r="438" spans="1:22" x14ac:dyDescent="0.25">
      <c r="A438" t="s">
        <v>584</v>
      </c>
      <c r="B438" s="33">
        <v>5375.26</v>
      </c>
      <c r="F438" s="57">
        <v>24144.59</v>
      </c>
      <c r="G438" s="57">
        <v>-307.01</v>
      </c>
      <c r="H438" s="57">
        <v>-59.120000000000005</v>
      </c>
      <c r="I438" s="57">
        <v>93.86</v>
      </c>
      <c r="O438" s="3">
        <f t="shared" si="6"/>
        <v>-18603.919999999998</v>
      </c>
      <c r="P438" s="33">
        <v>-449.63</v>
      </c>
      <c r="Q438" s="33">
        <v>-132.03</v>
      </c>
      <c r="T438" s="3">
        <f t="shared" si="7"/>
        <v>581.66</v>
      </c>
    </row>
    <row r="439" spans="1:22" x14ac:dyDescent="0.25">
      <c r="A439" t="s">
        <v>585</v>
      </c>
      <c r="B439" s="33">
        <v>12030.38</v>
      </c>
      <c r="F439" s="33">
        <v>14966.06</v>
      </c>
      <c r="G439" s="33">
        <v>-1727.4</v>
      </c>
      <c r="H439" s="33">
        <v>-10</v>
      </c>
      <c r="M439" s="33">
        <v>32956.92</v>
      </c>
      <c r="O439" s="3">
        <f t="shared" si="6"/>
        <v>-44987.299999999996</v>
      </c>
      <c r="P439" s="33">
        <v>-251.01</v>
      </c>
      <c r="Q439" s="33">
        <v>-265.29000000000002</v>
      </c>
      <c r="R439" s="33">
        <v>2197.58</v>
      </c>
      <c r="T439" s="3">
        <f t="shared" si="7"/>
        <v>-1681.28</v>
      </c>
    </row>
    <row r="440" spans="1:22" x14ac:dyDescent="0.25">
      <c r="A440" t="s">
        <v>586</v>
      </c>
      <c r="B440" s="33">
        <v>9434.34</v>
      </c>
      <c r="N440" s="33">
        <v>110106.92</v>
      </c>
      <c r="O440" s="3">
        <f t="shared" si="6"/>
        <v>78101.73000000001</v>
      </c>
      <c r="P440" s="33">
        <v>-105.77</v>
      </c>
      <c r="Q440" s="33">
        <v>-1193.08</v>
      </c>
      <c r="T440" s="3">
        <f t="shared" si="7"/>
        <v>1298.8499999999999</v>
      </c>
      <c r="U440" s="33">
        <v>108315.46</v>
      </c>
      <c r="V440" s="3">
        <f>U440-P440-N440-Q440-R440+N440-I441-G441-F441-D440-E440-B440-M439-R439-R438-Q439-Q438-P438-P439-K440-K439-I439-G439-F439-E439-E438-B439-B438-M438-D438-D439-M440-H439-C438-H441-K441-Q441-P441-N441-I442-H442-G442-F442-B441</f>
        <v>1.6370904631912708E-11</v>
      </c>
    </row>
    <row r="441" spans="1:22" x14ac:dyDescent="0.25">
      <c r="A441" t="s">
        <v>587</v>
      </c>
      <c r="B441" s="33">
        <v>4307.6499999999996</v>
      </c>
      <c r="F441" s="33">
        <v>22891.1</v>
      </c>
      <c r="G441" s="33">
        <v>-332.79</v>
      </c>
      <c r="H441" s="33">
        <v>-3.58</v>
      </c>
      <c r="I441" s="33">
        <v>16.12</v>
      </c>
      <c r="O441" s="3">
        <f t="shared" si="6"/>
        <v>-14510.509999999998</v>
      </c>
      <c r="P441" s="33">
        <v>-133.15</v>
      </c>
      <c r="Q441" s="33">
        <v>-1459.08</v>
      </c>
      <c r="T441" s="3">
        <f t="shared" si="7"/>
        <v>1592.23</v>
      </c>
      <c r="V441" s="3"/>
    </row>
    <row r="442" spans="1:22" x14ac:dyDescent="0.25">
      <c r="A442" t="s">
        <v>588</v>
      </c>
      <c r="B442" s="37">
        <v>3151.49</v>
      </c>
      <c r="C442" s="37">
        <v>-82.220000000000013</v>
      </c>
      <c r="F442" s="33">
        <v>16636.259999999998</v>
      </c>
      <c r="G442" s="33">
        <v>-6290.87</v>
      </c>
      <c r="H442" s="33">
        <v>-208.07999999999998</v>
      </c>
      <c r="I442" s="33">
        <v>65.55</v>
      </c>
      <c r="N442" s="37">
        <v>17434.63</v>
      </c>
      <c r="O442" s="3">
        <f t="shared" si="6"/>
        <v>2.2737367544323206E-12</v>
      </c>
      <c r="P442" s="37">
        <v>-133.4</v>
      </c>
      <c r="Q442" s="37">
        <v>-1721.11</v>
      </c>
      <c r="S442" s="37">
        <v>-1854.51</v>
      </c>
      <c r="T442" s="3">
        <f t="shared" si="7"/>
        <v>0</v>
      </c>
      <c r="U442" s="37">
        <v>15580.12</v>
      </c>
      <c r="V442" s="1">
        <f>U442-P442-N442-Q442-R442+N442-I443-G443-F443-D442-E442-B442-K443-M442-H443-C442-L443</f>
        <v>2.4868995751603507E-12</v>
      </c>
    </row>
    <row r="443" spans="1:22" x14ac:dyDescent="0.25">
      <c r="A443" t="s">
        <v>589</v>
      </c>
      <c r="B443" s="46">
        <v>3119.35</v>
      </c>
      <c r="C443" s="46">
        <v>-100.01</v>
      </c>
      <c r="F443" s="37">
        <v>14860.44</v>
      </c>
      <c r="G443" s="37">
        <v>-608.67999999999995</v>
      </c>
      <c r="I443" s="37">
        <v>113.6</v>
      </c>
      <c r="N443" s="46">
        <v>11549.99</v>
      </c>
      <c r="O443" s="3">
        <f t="shared" si="6"/>
        <v>4.5474735088646412E-13</v>
      </c>
      <c r="P443" s="46">
        <v>-200.4</v>
      </c>
      <c r="Q443" s="46">
        <v>-398.47</v>
      </c>
      <c r="T443" s="3">
        <f t="shared" si="7"/>
        <v>598.87</v>
      </c>
      <c r="U443" s="46">
        <v>10951.12</v>
      </c>
      <c r="V443" s="1">
        <f>U443-P443-N443-Q443-R443+N443-I444-G444-F444-D443-E443-B443-K444-M443-H444-C443-L444</f>
        <v>9.9475983006414026E-14</v>
      </c>
    </row>
    <row r="444" spans="1:22" x14ac:dyDescent="0.25">
      <c r="A444" t="s">
        <v>590</v>
      </c>
      <c r="B444" s="38">
        <v>3989.6</v>
      </c>
      <c r="C444" s="38">
        <v>-684.4</v>
      </c>
      <c r="F444" s="46">
        <v>8850.2899999999991</v>
      </c>
      <c r="G444" s="46">
        <v>-336.31</v>
      </c>
      <c r="H444" s="46">
        <v>-14.09</v>
      </c>
      <c r="I444" s="46">
        <v>30.76</v>
      </c>
      <c r="N444" s="38">
        <v>-1057.8900000000001</v>
      </c>
      <c r="O444" s="3">
        <f t="shared" si="6"/>
        <v>-9.0949470177292824E-13</v>
      </c>
      <c r="P444" s="38">
        <v>-251.57</v>
      </c>
      <c r="Q444" s="38">
        <v>-529.97</v>
      </c>
      <c r="S444" s="38">
        <v>-781.54</v>
      </c>
      <c r="T444" s="3">
        <f t="shared" si="7"/>
        <v>0</v>
      </c>
      <c r="U444" s="38">
        <v>-1839.43</v>
      </c>
      <c r="V444" s="1">
        <f>U444-P444-N444-Q444-R444+N444-I445-G445-F445-D444-E444-B444-K445-M444-H445-C444-L445</f>
        <v>-1.4779288903810084E-12</v>
      </c>
    </row>
    <row r="445" spans="1:22" x14ac:dyDescent="0.25">
      <c r="A445" t="s">
        <v>591</v>
      </c>
      <c r="B445" s="84">
        <v>3983.75</v>
      </c>
      <c r="D445" s="84">
        <v>35.03</v>
      </c>
      <c r="E445" s="84">
        <v>21.830000000000002</v>
      </c>
      <c r="F445" s="38">
        <v>12754.6</v>
      </c>
      <c r="G445" s="38">
        <v>-564.81000000000006</v>
      </c>
      <c r="H445" s="38">
        <v>-16685.5</v>
      </c>
      <c r="I445" s="38">
        <v>132.62</v>
      </c>
      <c r="O445" s="3">
        <f t="shared" si="6"/>
        <v>-19162.79</v>
      </c>
      <c r="P445" s="84">
        <v>-229.64</v>
      </c>
      <c r="T445" s="3">
        <f t="shared" si="7"/>
        <v>229.64</v>
      </c>
    </row>
    <row r="446" spans="1:22" x14ac:dyDescent="0.25">
      <c r="A446" t="s">
        <v>592</v>
      </c>
      <c r="B446" s="84">
        <v>5493.27</v>
      </c>
      <c r="F446" s="84">
        <v>15646.17</v>
      </c>
      <c r="G446" s="84">
        <v>-523.99</v>
      </c>
      <c r="M446" s="84">
        <v>49545.590000000004</v>
      </c>
      <c r="O446" s="3">
        <f t="shared" si="6"/>
        <v>-55038.86</v>
      </c>
      <c r="P446" s="84">
        <v>-464.62</v>
      </c>
      <c r="R446" s="84">
        <v>3202.59</v>
      </c>
      <c r="T446" s="3">
        <f t="shared" si="7"/>
        <v>-2737.9700000000003</v>
      </c>
    </row>
    <row r="447" spans="1:22" x14ac:dyDescent="0.25">
      <c r="A447" t="s">
        <v>593</v>
      </c>
      <c r="B447" s="84">
        <v>2657.49</v>
      </c>
      <c r="E447" s="84">
        <v>6.21</v>
      </c>
      <c r="N447" s="84">
        <v>92383.08</v>
      </c>
      <c r="O447" s="3">
        <f t="shared" si="6"/>
        <v>74201.649999999994</v>
      </c>
      <c r="P447" s="84">
        <v>-231.51</v>
      </c>
      <c r="Q447" s="84">
        <v>-399.36</v>
      </c>
      <c r="S447" s="84">
        <v>-1877.46</v>
      </c>
      <c r="T447" s="3">
        <f t="shared" si="7"/>
        <v>-1246.5899999999999</v>
      </c>
      <c r="U447" s="84">
        <v>94260.54</v>
      </c>
      <c r="V447" s="3">
        <f>U447-P447-N447-Q447-R447+N447-I448-G448-F448-D447-E447-B447-M446-R446-R445-Q446-Q445-P445-P446-K447-K446-I446-G446-F446-E446-E445-B446-B445-M445-D445-D446-M447-H446-C445-H448-K448</f>
        <v>-2.2993162929196842E-11</v>
      </c>
    </row>
    <row r="448" spans="1:22" x14ac:dyDescent="0.25">
      <c r="A448" t="s">
        <v>594</v>
      </c>
      <c r="B448" s="85">
        <v>4394.32</v>
      </c>
      <c r="F448" s="84">
        <v>15944.43</v>
      </c>
      <c r="G448" s="84">
        <v>-426.7</v>
      </c>
      <c r="N448" s="85">
        <v>-10831.31</v>
      </c>
      <c r="O448" s="3">
        <f t="shared" si="6"/>
        <v>0</v>
      </c>
      <c r="P448" s="85">
        <v>-106.52</v>
      </c>
      <c r="Q448" s="85">
        <v>-132.11000000000001</v>
      </c>
      <c r="T448" s="3">
        <f t="shared" si="7"/>
        <v>238.63</v>
      </c>
      <c r="U448" s="85">
        <v>-11069.94</v>
      </c>
      <c r="V448" s="1">
        <f>U448-P448-N448-Q448-R448+N448-I449-G449-F449-D448-E448-B448-K449-M448-H449-C448-L449</f>
        <v>0</v>
      </c>
    </row>
    <row r="449" spans="1:22" x14ac:dyDescent="0.25">
      <c r="A449" t="s">
        <v>595</v>
      </c>
      <c r="B449" s="34">
        <v>1632.72</v>
      </c>
      <c r="E449" s="34">
        <v>20.09</v>
      </c>
      <c r="F449" s="85">
        <v>10335.5</v>
      </c>
      <c r="G449" s="85">
        <v>-336.58</v>
      </c>
      <c r="H449" s="85">
        <v>-25224.55</v>
      </c>
      <c r="N449" s="34">
        <v>10636.13</v>
      </c>
      <c r="O449" s="3">
        <f t="shared" si="6"/>
        <v>-4.5474735088646412E-13</v>
      </c>
      <c r="P449" s="34">
        <v>-1.75</v>
      </c>
      <c r="Q449" s="34">
        <v>-794.28</v>
      </c>
      <c r="S449" s="34">
        <v>-796.03</v>
      </c>
      <c r="T449" s="3">
        <f t="shared" si="7"/>
        <v>0</v>
      </c>
      <c r="U449" s="34">
        <v>9840.1</v>
      </c>
      <c r="V449" s="1">
        <f>U449-P449-N449-Q449-R449+N449-I450-G450-F450-D449-E449-B449-K450-M449-H450-C449-L450</f>
        <v>1.3642420526593924E-12</v>
      </c>
    </row>
    <row r="450" spans="1:22" x14ac:dyDescent="0.25">
      <c r="A450" t="s">
        <v>596</v>
      </c>
      <c r="B450" s="13">
        <v>2743.39</v>
      </c>
      <c r="F450" s="34">
        <v>9335.4</v>
      </c>
      <c r="G450" s="34">
        <v>-211.57999999999998</v>
      </c>
      <c r="H450" s="34">
        <v>-140.5</v>
      </c>
      <c r="N450" s="13">
        <v>8129.99</v>
      </c>
      <c r="O450" s="3">
        <f t="shared" si="6"/>
        <v>-4.5474735088646412E-13</v>
      </c>
      <c r="P450" s="13">
        <v>-79.42</v>
      </c>
      <c r="Q450" s="13">
        <v>-399.67</v>
      </c>
      <c r="S450" s="13">
        <v>-479.09</v>
      </c>
      <c r="T450" s="3">
        <f t="shared" si="7"/>
        <v>0</v>
      </c>
      <c r="U450" s="13">
        <v>7650.9</v>
      </c>
      <c r="V450" s="1">
        <f>U450-P450-N450-Q450-R450+N450-I451-G451-F451-D450-E450-B450-K451-M450-H451-C450-L451</f>
        <v>-4.5474735088646412E-13</v>
      </c>
    </row>
    <row r="451" spans="1:22" x14ac:dyDescent="0.25">
      <c r="A451" t="s">
        <v>597</v>
      </c>
      <c r="B451" s="57">
        <v>2861.9900000000002</v>
      </c>
      <c r="F451" s="13">
        <v>6516.9</v>
      </c>
      <c r="G451" s="13">
        <v>-1367.6699999999998</v>
      </c>
      <c r="I451" s="13">
        <v>237.37</v>
      </c>
      <c r="N451" s="57">
        <v>9529.0499999999993</v>
      </c>
      <c r="O451" s="3">
        <f t="shared" si="6"/>
        <v>-4.5474735088646412E-13</v>
      </c>
      <c r="P451" s="57">
        <v>-26.38</v>
      </c>
      <c r="S451" s="57">
        <v>-26.38</v>
      </c>
      <c r="T451" s="3">
        <f t="shared" si="7"/>
        <v>0</v>
      </c>
      <c r="U451" s="57">
        <v>9502.67</v>
      </c>
      <c r="V451" s="1">
        <f>U451-P451-N451-Q451-R451+N451-I452-G452-F452-D451-E451-B451-K452-M451-H452-C451-L452</f>
        <v>-4.5474735088646412E-13</v>
      </c>
    </row>
    <row r="452" spans="1:22" x14ac:dyDescent="0.25">
      <c r="A452" t="s">
        <v>598</v>
      </c>
      <c r="B452" s="80">
        <v>3410.7000000000003</v>
      </c>
      <c r="F452" s="57">
        <v>8687.15</v>
      </c>
      <c r="G452" s="57">
        <v>-2061.8599999999997</v>
      </c>
      <c r="I452" s="57">
        <v>41.769999999999996</v>
      </c>
      <c r="O452" s="3">
        <f t="shared" si="6"/>
        <v>-12098.240000000002</v>
      </c>
      <c r="P452" s="80">
        <v>-0.25</v>
      </c>
      <c r="Q452" s="80">
        <v>-133.19999999999999</v>
      </c>
      <c r="T452" s="3">
        <f t="shared" si="7"/>
        <v>133.44999999999999</v>
      </c>
    </row>
    <row r="453" spans="1:22" x14ac:dyDescent="0.25">
      <c r="A453" t="s">
        <v>599</v>
      </c>
      <c r="B453" s="80">
        <v>2295.11</v>
      </c>
      <c r="E453" s="80">
        <v>4.7</v>
      </c>
      <c r="F453" s="80">
        <v>9209.7800000000007</v>
      </c>
      <c r="G453" s="80">
        <v>-532.24</v>
      </c>
      <c r="I453" s="80">
        <v>10</v>
      </c>
      <c r="M453" s="80">
        <v>53748.2</v>
      </c>
      <c r="O453" s="3">
        <f t="shared" si="6"/>
        <v>-56048.009999999995</v>
      </c>
      <c r="P453" s="80">
        <v>-82.82</v>
      </c>
      <c r="Q453" s="80">
        <v>-266.42</v>
      </c>
      <c r="R453" s="80">
        <v>8792.4</v>
      </c>
      <c r="T453" s="3">
        <f t="shared" si="7"/>
        <v>-8443.16</v>
      </c>
    </row>
    <row r="454" spans="1:22" x14ac:dyDescent="0.25">
      <c r="A454" t="s">
        <v>600</v>
      </c>
      <c r="B454" s="80">
        <v>6591.99</v>
      </c>
      <c r="N454" s="80">
        <v>89816.94</v>
      </c>
      <c r="O454" s="3">
        <f t="shared" si="6"/>
        <v>68146.25</v>
      </c>
      <c r="P454" s="80">
        <v>-137.97</v>
      </c>
      <c r="Q454" s="80">
        <v>-265.33</v>
      </c>
      <c r="S454" s="80">
        <v>7906.41</v>
      </c>
      <c r="T454" s="3">
        <f t="shared" si="7"/>
        <v>8309.7099999999991</v>
      </c>
      <c r="U454" s="80">
        <v>97723.35</v>
      </c>
      <c r="V454" s="3">
        <f>U454-P454-N454-Q454-R454+N454-I455-G455-F455-D454-E454-B454-M453-R453-R452-Q453-Q452-P452-P453-K454-K453-I453-G453-F453-E453-E452-B453-B452-M452-D452-D453-M454-H453-C452-H455-K455</f>
        <v>9.0949470177292824E-12</v>
      </c>
    </row>
    <row r="455" spans="1:22" x14ac:dyDescent="0.25">
      <c r="A455" t="s">
        <v>601</v>
      </c>
      <c r="B455" s="11">
        <v>6594.58</v>
      </c>
      <c r="F455" s="80">
        <v>15772.64</v>
      </c>
      <c r="G455" s="80">
        <v>-693.94</v>
      </c>
      <c r="N455" s="11">
        <v>7658.82</v>
      </c>
      <c r="O455" s="3">
        <f t="shared" si="6"/>
        <v>0</v>
      </c>
      <c r="P455" s="11">
        <v>-26.64</v>
      </c>
      <c r="Q455" s="11">
        <v>-133.21</v>
      </c>
      <c r="S455" s="11">
        <v>-159.85</v>
      </c>
      <c r="T455" s="3">
        <f t="shared" si="7"/>
        <v>0</v>
      </c>
      <c r="U455" s="11">
        <v>7498.97</v>
      </c>
      <c r="V455" s="1">
        <f>U455-P455-N455-Q455-R455+N455-I456-G456-F456-D455-E455-B455-K456-M455-H456-C455-L456</f>
        <v>1.2505552149377763E-12</v>
      </c>
    </row>
    <row r="456" spans="1:22" x14ac:dyDescent="0.25">
      <c r="A456" t="s">
        <v>602</v>
      </c>
      <c r="B456" s="88">
        <v>3561.29</v>
      </c>
      <c r="E456" s="88">
        <v>16.470000000000002</v>
      </c>
      <c r="F456" s="11">
        <v>6419.24</v>
      </c>
      <c r="G456" s="11">
        <v>-5251.21</v>
      </c>
      <c r="H456" s="11">
        <v>-140.11000000000001</v>
      </c>
      <c r="I456" s="11">
        <v>36.32</v>
      </c>
      <c r="N456" s="88">
        <v>16078.53</v>
      </c>
      <c r="O456" s="3">
        <f t="shared" si="6"/>
        <v>-1.3642420526593924E-12</v>
      </c>
      <c r="P456" s="88">
        <v>-158.9</v>
      </c>
      <c r="Q456" s="88">
        <v>-265.33</v>
      </c>
      <c r="S456" s="88">
        <v>-424.23</v>
      </c>
      <c r="T456" s="3">
        <f t="shared" si="7"/>
        <v>0</v>
      </c>
      <c r="U456" s="88">
        <v>15654.3</v>
      </c>
      <c r="V456" s="1">
        <f>U456-P456-N456-Q456-R456+N456-I457-G457-F457-D456-E456-B456-K457-M456-H457-C456-L457</f>
        <v>-2.964739564959018E-12</v>
      </c>
    </row>
    <row r="457" spans="1:22" x14ac:dyDescent="0.25">
      <c r="A457" t="s">
        <v>603</v>
      </c>
      <c r="B457" s="88">
        <v>5086.12</v>
      </c>
      <c r="E457" s="88">
        <v>8.5500000000000007</v>
      </c>
      <c r="F457" s="88">
        <v>12876.54</v>
      </c>
      <c r="G457" s="88">
        <v>-426.55</v>
      </c>
      <c r="H457" s="88">
        <v>-9.24</v>
      </c>
      <c r="I457" s="88">
        <v>60.02</v>
      </c>
      <c r="N457" s="88">
        <v>15368.73</v>
      </c>
      <c r="O457" s="3">
        <f t="shared" si="6"/>
        <v>0</v>
      </c>
      <c r="P457" s="88">
        <v>-87.55</v>
      </c>
      <c r="Q457" s="88">
        <v>-530.46</v>
      </c>
      <c r="S457" s="88">
        <v>-618.01</v>
      </c>
      <c r="T457" s="3">
        <f t="shared" si="7"/>
        <v>0</v>
      </c>
      <c r="U457" s="88">
        <v>14750.72</v>
      </c>
      <c r="V457" s="1">
        <f>U457-P457-N457-Q457-R457+N457-I458-G458-F458-D457-E457-B457-K458-M457-H458-C457-L458</f>
        <v>3.6237679523765109E-13</v>
      </c>
    </row>
    <row r="458" spans="1:22" x14ac:dyDescent="0.25">
      <c r="A458" t="s">
        <v>604</v>
      </c>
      <c r="B458" s="31">
        <v>5044.1099999999997</v>
      </c>
      <c r="F458" s="88">
        <v>10944.49</v>
      </c>
      <c r="G458" s="88">
        <v>-641.53000000000009</v>
      </c>
      <c r="H458" s="88">
        <v>-28.9</v>
      </c>
      <c r="N458" s="31">
        <v>15659.48</v>
      </c>
      <c r="O458" s="3">
        <f t="shared" si="6"/>
        <v>-9.0949470177292824E-13</v>
      </c>
      <c r="P458" s="31">
        <v>-164.61</v>
      </c>
      <c r="Q458" s="31">
        <v>-265.31</v>
      </c>
      <c r="S458" s="31">
        <v>-429.92</v>
      </c>
      <c r="T458" s="3">
        <f>S458-R458-Q458-P458</f>
        <v>0</v>
      </c>
      <c r="U458" s="31">
        <v>15229.56</v>
      </c>
      <c r="V458" s="1">
        <f>U458-P458-N458-Q458-R458+N458-I459-G459-F459-D458-E458-B458-K459-M458-H459-C458-L459</f>
        <v>-9.0949470177292824E-13</v>
      </c>
    </row>
    <row r="459" spans="1:22" x14ac:dyDescent="0.25">
      <c r="A459" t="s">
        <v>605</v>
      </c>
      <c r="B459" s="5">
        <v>4465.25</v>
      </c>
      <c r="C459" s="5">
        <v>-82.220000000000013</v>
      </c>
      <c r="F459" s="31">
        <v>11657.33</v>
      </c>
      <c r="G459" s="31">
        <v>-1049.01</v>
      </c>
      <c r="I459" s="31">
        <v>7.05</v>
      </c>
      <c r="O459" s="3">
        <f t="shared" si="6"/>
        <v>-20739.239999999998</v>
      </c>
      <c r="P459" s="5">
        <v>-607.72</v>
      </c>
      <c r="Q459" s="5">
        <v>-1474.38</v>
      </c>
      <c r="T459" s="3">
        <f>S459-R459-Q459-P459</f>
        <v>2082.1000000000004</v>
      </c>
    </row>
    <row r="460" spans="1:22" x14ac:dyDescent="0.25">
      <c r="A460" t="s">
        <v>606</v>
      </c>
      <c r="B460" s="5">
        <v>3424.75</v>
      </c>
      <c r="F460" s="5">
        <v>17060.849999999999</v>
      </c>
      <c r="G460" s="5">
        <v>-692.66</v>
      </c>
      <c r="H460" s="5">
        <v>-30.42</v>
      </c>
      <c r="I460" s="5">
        <v>18.439999999999998</v>
      </c>
      <c r="M460" s="5">
        <v>13646.869999999999</v>
      </c>
      <c r="O460" s="3">
        <f t="shared" si="6"/>
        <v>-17071.62</v>
      </c>
      <c r="P460" s="5">
        <v>-270.72000000000003</v>
      </c>
      <c r="Q460" s="5">
        <v>-265.05</v>
      </c>
      <c r="R460" s="5">
        <v>1110.47</v>
      </c>
      <c r="T460" s="3">
        <f>S460-R460-Q460-P460</f>
        <v>-574.70000000000005</v>
      </c>
    </row>
    <row r="461" spans="1:22" x14ac:dyDescent="0.25">
      <c r="A461" t="s">
        <v>607</v>
      </c>
      <c r="B461" s="5">
        <v>8289.25</v>
      </c>
      <c r="M461" s="5">
        <v>54836.460000000014</v>
      </c>
      <c r="N461" s="5">
        <v>136635.65</v>
      </c>
      <c r="O461" s="3">
        <f t="shared" si="6"/>
        <v>37810.859999999993</v>
      </c>
      <c r="P461" s="5"/>
      <c r="Q461" s="5">
        <v>-529.59</v>
      </c>
      <c r="R461" s="5">
        <v>2227.56</v>
      </c>
      <c r="S461" s="5">
        <v>190.57</v>
      </c>
      <c r="T461" s="3">
        <f>S461-R461-Q461-P461</f>
        <v>-1507.4</v>
      </c>
      <c r="U461" s="5">
        <v>136826.22</v>
      </c>
      <c r="V461" s="3">
        <f>U461-P461-N461-Q461-R461+N461-I462-G462-F462-D461-E461-B461-M460-R460-R459-Q460-Q459-P459-P460-K461-K460-I460-G460-F460-E460-E459-B460-B459-M459-D459-D460-M461-H460-C459-H462-K462</f>
        <v>1.5148771126405336E-11</v>
      </c>
    </row>
    <row r="462" spans="1:22" x14ac:dyDescent="0.25">
      <c r="A462" t="s">
        <v>608</v>
      </c>
      <c r="B462" s="5">
        <v>19833.48</v>
      </c>
      <c r="E462" s="5">
        <v>17.09</v>
      </c>
      <c r="F462" s="5">
        <v>35868.379999999997</v>
      </c>
      <c r="G462" s="5">
        <v>-296.51</v>
      </c>
      <c r="I462" s="5">
        <v>127.21</v>
      </c>
      <c r="N462" s="5">
        <v>45254.54</v>
      </c>
      <c r="O462" s="3">
        <f t="shared" si="6"/>
        <v>-3.637978807091713E-12</v>
      </c>
      <c r="P462" s="5">
        <v>-26.93</v>
      </c>
      <c r="Q462" s="5">
        <v>-265.23</v>
      </c>
      <c r="T462" s="1">
        <v>-292.16000000000003</v>
      </c>
      <c r="U462" s="5">
        <v>44962.38</v>
      </c>
      <c r="V462" s="1">
        <f>U462-P462-N462-Q462-R462+N462-I463-G463-F463-D462-E462-B462-K463-M462-H463-C462-L463</f>
        <v>-2.4797941478027496E-12</v>
      </c>
    </row>
    <row r="463" spans="1:22" x14ac:dyDescent="0.25">
      <c r="A463" t="s">
        <v>609</v>
      </c>
      <c r="B463" s="72">
        <v>18104.2</v>
      </c>
      <c r="D463" s="72">
        <v>34.6</v>
      </c>
      <c r="F463" s="5">
        <v>26157.06</v>
      </c>
      <c r="G463" s="5">
        <v>-700.81000000000006</v>
      </c>
      <c r="H463" s="5">
        <v>-52.279999999999994</v>
      </c>
      <c r="N463" s="72">
        <v>47589.96</v>
      </c>
      <c r="O463" s="3">
        <f t="shared" si="6"/>
        <v>3.637978807091713E-12</v>
      </c>
      <c r="P463" s="72">
        <v>-238.17</v>
      </c>
      <c r="S463" s="72">
        <v>-238.17</v>
      </c>
      <c r="T463" s="3">
        <f t="shared" ref="T463:T469" si="8">S463-R463-Q463-P463</f>
        <v>0</v>
      </c>
      <c r="U463" s="72">
        <v>47351.79</v>
      </c>
      <c r="V463" s="1">
        <f>U463-P463-N463-Q463-R463+N463-I464-G464-F464-D463-E463-B463-K464-M463-H464-C463-L464</f>
        <v>3.637978807091713E-12</v>
      </c>
    </row>
    <row r="464" spans="1:22" x14ac:dyDescent="0.25">
      <c r="A464" t="s">
        <v>610</v>
      </c>
      <c r="B464" s="89">
        <v>9818.39</v>
      </c>
      <c r="F464" s="72">
        <v>30069.79</v>
      </c>
      <c r="G464" s="72">
        <v>-667.40000000000009</v>
      </c>
      <c r="I464" s="72">
        <v>48.77</v>
      </c>
      <c r="N464" s="89">
        <v>34058</v>
      </c>
      <c r="O464" s="3">
        <f t="shared" si="6"/>
        <v>-3.637978807091713E-12</v>
      </c>
      <c r="P464" s="89">
        <v>-164.18</v>
      </c>
      <c r="Q464" s="89">
        <v>-1058.05</v>
      </c>
      <c r="S464" s="89">
        <v>-1222.23</v>
      </c>
      <c r="T464" s="3">
        <f t="shared" si="8"/>
        <v>0</v>
      </c>
      <c r="U464" s="89">
        <v>32835.769999999997</v>
      </c>
      <c r="V464" s="1">
        <f>U464-P464-N464-Q464-R464+N464-I465-G465-F465-D464-E464-B464-K465-M464-H465-C464-L465</f>
        <v>-3.3466562854300719E-12</v>
      </c>
    </row>
    <row r="465" spans="1:22" x14ac:dyDescent="0.25">
      <c r="A465" t="s">
        <v>611</v>
      </c>
      <c r="B465" s="6">
        <v>9449.74</v>
      </c>
      <c r="F465" s="89">
        <v>24803.3</v>
      </c>
      <c r="G465" s="89">
        <v>-626.53</v>
      </c>
      <c r="H465" s="89">
        <v>-22.32</v>
      </c>
      <c r="I465" s="89">
        <v>85.160000000000011</v>
      </c>
      <c r="N465" s="6">
        <v>34336.79</v>
      </c>
      <c r="O465" s="3">
        <f t="shared" si="6"/>
        <v>1.8189894035458565E-12</v>
      </c>
      <c r="P465" s="6">
        <v>-165.3</v>
      </c>
      <c r="Q465" s="6">
        <v>-133.19999999999999</v>
      </c>
      <c r="S465" s="6">
        <v>-298.5</v>
      </c>
      <c r="T465" s="3">
        <f t="shared" si="8"/>
        <v>0</v>
      </c>
      <c r="U465" s="6">
        <v>34038.29</v>
      </c>
      <c r="V465" s="1">
        <f>U465-P465-N465-Q465-R465+N465-I466-G466-F466-D465-E465-B465-K466-M465-H466-C465-L466</f>
        <v>1.8189894035458565E-12</v>
      </c>
    </row>
    <row r="466" spans="1:22" x14ac:dyDescent="0.25">
      <c r="A466" t="s">
        <v>612</v>
      </c>
      <c r="B466" s="90">
        <v>18926</v>
      </c>
      <c r="F466" s="6">
        <v>25111.81</v>
      </c>
      <c r="G466" s="6">
        <v>-196.26000000000002</v>
      </c>
      <c r="H466" s="6">
        <v>-28.5</v>
      </c>
      <c r="O466" s="3">
        <f t="shared" si="6"/>
        <v>-59918.409999999996</v>
      </c>
      <c r="P466" s="90">
        <v>-265.55</v>
      </c>
      <c r="Q466" s="90">
        <v>-1193.73</v>
      </c>
      <c r="T466" s="3">
        <f t="shared" si="8"/>
        <v>1459.28</v>
      </c>
    </row>
    <row r="467" spans="1:22" x14ac:dyDescent="0.25">
      <c r="A467" t="s">
        <v>613</v>
      </c>
      <c r="B467" s="90">
        <v>8733.7699999999986</v>
      </c>
      <c r="D467" s="90">
        <v>172.82999999999998</v>
      </c>
      <c r="F467" s="90">
        <v>42102.82</v>
      </c>
      <c r="G467" s="90">
        <v>-1065.67</v>
      </c>
      <c r="H467" s="90">
        <v>-44.739999999999995</v>
      </c>
      <c r="M467" s="90">
        <v>32074.98</v>
      </c>
      <c r="O467" s="3">
        <f t="shared" si="6"/>
        <v>-40981.58</v>
      </c>
      <c r="P467" s="90">
        <v>-264.2</v>
      </c>
      <c r="Q467" s="90">
        <v>-664.45</v>
      </c>
      <c r="R467" s="90">
        <v>2268.71</v>
      </c>
      <c r="T467" s="3">
        <f t="shared" si="8"/>
        <v>-1340.06</v>
      </c>
    </row>
    <row r="468" spans="1:22" x14ac:dyDescent="0.25">
      <c r="A468" t="s">
        <v>614</v>
      </c>
      <c r="B468" s="90">
        <v>13824.49</v>
      </c>
      <c r="E468" s="90">
        <v>6.67</v>
      </c>
      <c r="N468" s="90">
        <v>154922.81</v>
      </c>
      <c r="O468" s="3">
        <f t="shared" si="6"/>
        <v>100899.99</v>
      </c>
      <c r="P468" s="90">
        <v>-184.9</v>
      </c>
      <c r="Q468" s="90">
        <v>-796.28</v>
      </c>
      <c r="S468" s="90">
        <v>-1100.4000000000001</v>
      </c>
      <c r="T468" s="3">
        <f t="shared" si="8"/>
        <v>-119.22000000000011</v>
      </c>
      <c r="U468" s="90">
        <v>153822.41</v>
      </c>
      <c r="V468" s="3">
        <f>U468-P468-N468-Q468-R468+N468-I469-G469-F469-D468-E468-B468-M467-R467-R466-Q467-Q466-P466-P467-K468-K467-I467-G467-F467-E467-E466-B467-B466-M466-D466-D467-M468-H467-C466-H469-K469</f>
        <v>-3.4816594052244909E-12</v>
      </c>
    </row>
    <row r="469" spans="1:22" x14ac:dyDescent="0.25">
      <c r="A469" t="s">
        <v>615</v>
      </c>
      <c r="B469" s="37">
        <v>11369.76</v>
      </c>
      <c r="C469" s="37">
        <v>-172.3</v>
      </c>
      <c r="F469" s="90">
        <v>40581.42</v>
      </c>
      <c r="G469" s="90">
        <v>-437.56</v>
      </c>
      <c r="I469" s="90">
        <v>47.800000000000004</v>
      </c>
      <c r="N469" s="37">
        <v>34283.33</v>
      </c>
      <c r="O469" s="3">
        <f t="shared" si="6"/>
        <v>5.4569682106375694E-12</v>
      </c>
      <c r="P469" s="37">
        <v>-78.25</v>
      </c>
      <c r="S469" s="37">
        <v>-78.25</v>
      </c>
      <c r="T469" s="3">
        <f t="shared" si="8"/>
        <v>0</v>
      </c>
      <c r="U469" s="37">
        <v>34205.08</v>
      </c>
      <c r="V469" s="1">
        <f>U469-P469-N469-Q469-R469+N469-I470-G470-F470-D469-E469-B469-K470-M469-H470-C469-L470</f>
        <v>4.1495695768389851E-12</v>
      </c>
    </row>
    <row r="470" spans="1:22" x14ac:dyDescent="0.25">
      <c r="A470" t="s">
        <v>616</v>
      </c>
      <c r="B470" s="49">
        <v>9713.41</v>
      </c>
      <c r="D470" s="49">
        <v>259.22000000000003</v>
      </c>
      <c r="F470" s="37">
        <v>24059.89</v>
      </c>
      <c r="G470" s="37">
        <v>-838.76</v>
      </c>
      <c r="H470" s="37">
        <v>-135.26</v>
      </c>
      <c r="O470" s="3">
        <f t="shared" si="6"/>
        <v>-34918.230000000003</v>
      </c>
      <c r="P470" s="49">
        <v>-323.2</v>
      </c>
      <c r="Q470" s="49">
        <v>-133.25</v>
      </c>
    </row>
    <row r="471" spans="1:22" x14ac:dyDescent="0.25">
      <c r="A471" t="s">
        <v>617</v>
      </c>
      <c r="B471" s="49">
        <v>11752.419999999998</v>
      </c>
      <c r="F471" s="49">
        <v>25317.29</v>
      </c>
      <c r="G471" s="49">
        <v>-389.22999999999996</v>
      </c>
      <c r="I471" s="49">
        <v>17.54</v>
      </c>
      <c r="N471" s="49">
        <v>68226.22</v>
      </c>
      <c r="O471" s="3">
        <f t="shared" si="6"/>
        <v>34918.230000000003</v>
      </c>
      <c r="P471" s="49">
        <v>-251.42</v>
      </c>
      <c r="Q471" s="49">
        <v>-930.72</v>
      </c>
      <c r="S471" s="49">
        <v>-1638.59</v>
      </c>
      <c r="U471" s="49">
        <v>66587.63</v>
      </c>
      <c r="V471" s="3">
        <f>U471-P471-N471-Q471-R471+N471-I472-G472-F472-D471-E471-B471-M470-K471-B470-D470-M471-H472-K472-F471-G471-I471-P470-Q470</f>
        <v>7.787548383930698E-12</v>
      </c>
    </row>
    <row r="472" spans="1:22" x14ac:dyDescent="0.25">
      <c r="A472" t="s">
        <v>618</v>
      </c>
      <c r="B472" s="91">
        <v>9941.66</v>
      </c>
      <c r="D472" s="91">
        <v>96.77</v>
      </c>
      <c r="E472" s="91">
        <v>13.65</v>
      </c>
      <c r="F472" s="49">
        <v>21920.54</v>
      </c>
      <c r="G472" s="49">
        <v>-296.49</v>
      </c>
      <c r="H472" s="49">
        <v>-68.47999999999999</v>
      </c>
      <c r="N472" s="91">
        <v>28395.29</v>
      </c>
      <c r="O472" s="3">
        <f t="shared" si="6"/>
        <v>-1.8189894035458565E-12</v>
      </c>
      <c r="P472" s="91">
        <v>-318.06</v>
      </c>
      <c r="Q472" s="91">
        <v>-531.63</v>
      </c>
      <c r="S472" s="91">
        <v>-849.69</v>
      </c>
      <c r="T472" s="3">
        <f t="shared" ref="T472:T535" si="9">S472-R472-Q472-P472</f>
        <v>0</v>
      </c>
      <c r="U472" s="91">
        <v>27545.599999999999</v>
      </c>
      <c r="V472" s="1">
        <f>U472-P472-N472-Q472-R472+N472-I473-G473-F473-D472-E472-B472-K473-M472-H473-C472-L473</f>
        <v>-1.0942358130705543E-12</v>
      </c>
    </row>
    <row r="473" spans="1:22" x14ac:dyDescent="0.25">
      <c r="A473" t="s">
        <v>619</v>
      </c>
      <c r="B473" s="57">
        <v>11513.93</v>
      </c>
      <c r="F473" s="91">
        <v>19690.22</v>
      </c>
      <c r="G473" s="91">
        <v>-1313.6</v>
      </c>
      <c r="H473" s="91">
        <v>-43.3</v>
      </c>
      <c r="I473" s="91">
        <v>9.89</v>
      </c>
      <c r="O473" s="3">
        <f t="shared" si="6"/>
        <v>-39331.72</v>
      </c>
      <c r="P473" s="57">
        <v>-91.37</v>
      </c>
      <c r="Q473" s="57">
        <v>-265.17</v>
      </c>
      <c r="T473" s="3">
        <f t="shared" si="9"/>
        <v>356.54</v>
      </c>
    </row>
    <row r="474" spans="1:22" x14ac:dyDescent="0.25">
      <c r="A474" t="s">
        <v>620</v>
      </c>
      <c r="B474" s="57">
        <v>8423.3799999999992</v>
      </c>
      <c r="F474" s="57">
        <v>28731.93</v>
      </c>
      <c r="G474" s="57">
        <v>-782.07</v>
      </c>
      <c r="H474" s="57">
        <v>-180.57999999999998</v>
      </c>
      <c r="I474" s="57">
        <v>48.51</v>
      </c>
      <c r="M474" s="57">
        <v>12936.61</v>
      </c>
      <c r="O474" s="3">
        <f t="shared" si="6"/>
        <v>-21359.989999999998</v>
      </c>
      <c r="P474" s="57">
        <v>-119.91</v>
      </c>
      <c r="Q474" s="57">
        <v>-530.66999999999996</v>
      </c>
      <c r="R474" s="57">
        <v>2058.09</v>
      </c>
      <c r="T474" s="3">
        <f t="shared" si="9"/>
        <v>-1407.51</v>
      </c>
    </row>
    <row r="475" spans="1:22" x14ac:dyDescent="0.25">
      <c r="A475" t="s">
        <v>621</v>
      </c>
      <c r="B475" s="57">
        <v>8639.08</v>
      </c>
      <c r="J475" s="57">
        <v>-922.5</v>
      </c>
      <c r="N475" s="57">
        <v>105609.2</v>
      </c>
      <c r="O475" s="3">
        <f t="shared" si="6"/>
        <v>59769.209999999992</v>
      </c>
      <c r="P475" s="57">
        <v>-392.73</v>
      </c>
      <c r="Q475" s="57">
        <v>-661.68</v>
      </c>
      <c r="S475" s="57">
        <v>-3.44</v>
      </c>
      <c r="T475" s="3">
        <f t="shared" si="9"/>
        <v>1050.9699999999998</v>
      </c>
      <c r="U475" s="57">
        <v>105605.75999999999</v>
      </c>
      <c r="V475" s="3">
        <f>U475-P475-N475-Q475-R475+N475-I476-G476-F476-D475-E475-B475-M474-R474-R473-Q474-Q473-P473-P474-K475-K474-I474-G474-F474-E474-E473-B474-B473-M473-D473-D474-M475-H474-C473-H476-K476-J475</f>
        <v>-1.8189894035458565E-11</v>
      </c>
    </row>
    <row r="476" spans="1:22" x14ac:dyDescent="0.25">
      <c r="A476" t="s">
        <v>622</v>
      </c>
      <c r="B476" s="92">
        <v>5195.8500000000004</v>
      </c>
      <c r="F476" s="57">
        <v>37705.58</v>
      </c>
      <c r="G476" s="57">
        <v>-517.03</v>
      </c>
      <c r="I476" s="57">
        <v>12.36</v>
      </c>
      <c r="N476" s="92">
        <v>40964.33</v>
      </c>
      <c r="O476" s="3">
        <f t="shared" si="6"/>
        <v>5.4569682106375694E-12</v>
      </c>
      <c r="P476" s="92">
        <v>-196.77</v>
      </c>
      <c r="Q476" s="92">
        <v>-1323.9</v>
      </c>
      <c r="S476" s="92">
        <v>-1520.67</v>
      </c>
      <c r="T476" s="3">
        <f t="shared" si="9"/>
        <v>0</v>
      </c>
      <c r="U476" s="92">
        <v>39443.660000000003</v>
      </c>
      <c r="V476" s="1">
        <f>U476-P476-N476-Q476-R476+N476-I477-G477-F477-D476-E476-B476-K477-M476-H477-C476-L477</f>
        <v>2.5437429940211587E-12</v>
      </c>
    </row>
    <row r="477" spans="1:22" x14ac:dyDescent="0.25">
      <c r="A477" t="s">
        <v>623</v>
      </c>
      <c r="B477" s="33">
        <v>6872.7000000000007</v>
      </c>
      <c r="C477" s="33">
        <v>-64.69</v>
      </c>
      <c r="F477" s="92">
        <v>36109.19</v>
      </c>
      <c r="G477" s="92">
        <v>-219.55</v>
      </c>
      <c r="H477" s="92">
        <v>-123.3</v>
      </c>
      <c r="I477" s="92">
        <v>2.14</v>
      </c>
      <c r="N477" s="33">
        <v>35909.94</v>
      </c>
      <c r="O477" s="3">
        <f t="shared" si="6"/>
        <v>9.0949470177292824E-13</v>
      </c>
      <c r="P477" s="33">
        <v>-236.43</v>
      </c>
      <c r="S477" s="33">
        <v>-236.43</v>
      </c>
      <c r="T477" s="3">
        <f t="shared" si="9"/>
        <v>0</v>
      </c>
      <c r="U477" s="33">
        <v>35673.51</v>
      </c>
      <c r="V477" s="1">
        <f>U477-P477-N477-Q477-R477+N477-I478-G478-F478-D477-E477-B477-K478-M477-H478-C477-L478</f>
        <v>1.3073986337985843E-12</v>
      </c>
    </row>
    <row r="478" spans="1:22" x14ac:dyDescent="0.25">
      <c r="A478" t="s">
        <v>624</v>
      </c>
      <c r="B478" s="51">
        <v>11746.33</v>
      </c>
      <c r="F478" s="33">
        <v>29579.300000000003</v>
      </c>
      <c r="G478" s="33">
        <v>-275.55</v>
      </c>
      <c r="H478" s="33">
        <v>-217.25</v>
      </c>
      <c r="I478" s="33">
        <v>15.43</v>
      </c>
      <c r="N478" s="51">
        <v>41396.620000000003</v>
      </c>
      <c r="O478" s="3">
        <f t="shared" si="6"/>
        <v>-1.8189894035458565E-12</v>
      </c>
      <c r="P478" s="51">
        <v>-3.91</v>
      </c>
      <c r="Q478" s="51">
        <v>-1323.6599999999999</v>
      </c>
      <c r="S478" s="51">
        <v>-1327.57</v>
      </c>
      <c r="T478" s="3">
        <f t="shared" si="9"/>
        <v>-8.1712414612411521E-14</v>
      </c>
      <c r="U478" s="51">
        <v>40069.050000000003</v>
      </c>
      <c r="V478" s="1">
        <f>U478-P478-N478-Q478-R478+N478-I479-G479-F479-D478-E478-B478-K479-M478-H479-C478-L479</f>
        <v>2.8350655156827997E-12</v>
      </c>
    </row>
    <row r="479" spans="1:22" x14ac:dyDescent="0.25">
      <c r="A479" t="s">
        <v>625</v>
      </c>
      <c r="B479" s="48">
        <v>6113.97</v>
      </c>
      <c r="D479" s="48">
        <v>82.220000000000013</v>
      </c>
      <c r="E479" s="48">
        <v>213.9</v>
      </c>
      <c r="F479" s="51">
        <v>30038.52</v>
      </c>
      <c r="G479" s="51">
        <v>-345.84000000000003</v>
      </c>
      <c r="H479" s="51">
        <v>-57.87</v>
      </c>
      <c r="I479" s="51">
        <v>15.48</v>
      </c>
      <c r="N479" s="48">
        <v>28791.17</v>
      </c>
      <c r="O479" s="3">
        <f t="shared" si="6"/>
        <v>0</v>
      </c>
      <c r="P479" s="48">
        <v>-522.69000000000005</v>
      </c>
      <c r="S479" s="48">
        <v>-522.69000000000005</v>
      </c>
      <c r="T479" s="3">
        <f t="shared" si="9"/>
        <v>0</v>
      </c>
      <c r="U479" s="48">
        <v>28268.48</v>
      </c>
      <c r="V479" s="1">
        <f>U479-P479-N479-Q479-R479+N479-I480-G480-F480-D479-E479-B479-K480-M479-H480-C479-L480</f>
        <v>5.8264504332328215E-13</v>
      </c>
    </row>
    <row r="480" spans="1:22" x14ac:dyDescent="0.25">
      <c r="A480" t="s">
        <v>626</v>
      </c>
      <c r="B480" s="5">
        <v>5291.16</v>
      </c>
      <c r="C480" s="5">
        <v>-82.220000000000013</v>
      </c>
      <c r="F480" s="48">
        <v>23663.26</v>
      </c>
      <c r="G480" s="48">
        <v>-1263.54</v>
      </c>
      <c r="H480" s="48">
        <v>-18.64</v>
      </c>
      <c r="O480" s="3">
        <f t="shared" si="6"/>
        <v>-36341.68</v>
      </c>
      <c r="P480" s="5">
        <v>-246.43</v>
      </c>
      <c r="Q480" s="5">
        <v>-265.23</v>
      </c>
      <c r="T480" s="3">
        <f t="shared" si="9"/>
        <v>511.66</v>
      </c>
    </row>
    <row r="481" spans="1:22" x14ac:dyDescent="0.25">
      <c r="A481" t="s">
        <v>627</v>
      </c>
      <c r="B481" s="5">
        <v>5839.3600000000006</v>
      </c>
      <c r="C481" s="5">
        <v>-95.08</v>
      </c>
      <c r="F481" s="5">
        <v>32256.510000000002</v>
      </c>
      <c r="G481" s="5">
        <v>-963.49</v>
      </c>
      <c r="H481" s="5">
        <v>-261.51</v>
      </c>
      <c r="I481" s="5">
        <v>101.23</v>
      </c>
      <c r="M481" s="5">
        <v>-10011.34</v>
      </c>
      <c r="O481" s="3">
        <f t="shared" si="6"/>
        <v>4267.0599999999995</v>
      </c>
      <c r="P481" s="5">
        <v>-215.1</v>
      </c>
      <c r="Q481" s="5">
        <v>-930.76</v>
      </c>
      <c r="R481" s="5">
        <v>2164.58</v>
      </c>
      <c r="T481" s="3">
        <f t="shared" si="9"/>
        <v>-1018.7199999999999</v>
      </c>
    </row>
    <row r="482" spans="1:22" x14ac:dyDescent="0.25">
      <c r="A482" t="s">
        <v>628</v>
      </c>
      <c r="B482" s="5">
        <v>8421.9</v>
      </c>
      <c r="E482" s="5">
        <v>7.18</v>
      </c>
      <c r="N482" s="5">
        <v>85815.74</v>
      </c>
      <c r="O482" s="3">
        <f t="shared" si="6"/>
        <v>32074.620000000003</v>
      </c>
      <c r="P482" s="5">
        <v>-105.85</v>
      </c>
      <c r="Q482" s="5">
        <v>-133.28</v>
      </c>
      <c r="S482" s="5">
        <v>267.93</v>
      </c>
      <c r="T482" s="3">
        <f t="shared" si="9"/>
        <v>507.06000000000006</v>
      </c>
      <c r="U482" s="5">
        <v>86083.67</v>
      </c>
      <c r="V482" s="3">
        <f>U482-P482-N482-Q482-R482+N482-I483-G483-F483-D482-E482-B482-M481-R481-R480-Q481-Q480-P480-P481-K482-K481-I481-G481-F481-E481-E480-B481-B480-M480-D480-D481-M482-H481-C480-H483-K483-C481</f>
        <v>-1.3073986337985843E-12</v>
      </c>
    </row>
    <row r="483" spans="1:22" x14ac:dyDescent="0.25">
      <c r="A483" t="s">
        <v>629</v>
      </c>
      <c r="B483" s="62">
        <v>3752.46</v>
      </c>
      <c r="D483" s="62">
        <v>172.48000000000002</v>
      </c>
      <c r="F483" s="5">
        <v>49343.79</v>
      </c>
      <c r="G483" s="5">
        <v>-4036.1</v>
      </c>
      <c r="H483" s="5"/>
      <c r="I483" s="5">
        <v>4.3500000000000005</v>
      </c>
      <c r="N483" s="62">
        <v>41271.39</v>
      </c>
      <c r="O483" s="3">
        <f t="shared" si="6"/>
        <v>2.2737367544323206E-12</v>
      </c>
      <c r="P483" s="62">
        <v>-130.41999999999999</v>
      </c>
      <c r="Q483" s="62">
        <v>-1327.28</v>
      </c>
      <c r="S483" s="62">
        <v>-1457.7</v>
      </c>
      <c r="T483" s="3">
        <f t="shared" si="9"/>
        <v>0</v>
      </c>
      <c r="U483" s="62">
        <v>39813.69</v>
      </c>
      <c r="V483" s="1">
        <f>U483-P483-N483-Q483-R483+N483-I484-G484-F484-D483-E483-B483-K484-M483-H484-C483-L484</f>
        <v>-1.2221335055073723E-12</v>
      </c>
    </row>
    <row r="484" spans="1:22" x14ac:dyDescent="0.25">
      <c r="A484" t="s">
        <v>630</v>
      </c>
      <c r="B484" s="2">
        <v>5071.33</v>
      </c>
      <c r="F484" s="62">
        <v>38252.86</v>
      </c>
      <c r="G484" s="62">
        <v>-884.09</v>
      </c>
      <c r="H484" s="62">
        <v>-36.409999999999997</v>
      </c>
      <c r="I484" s="62">
        <v>14.09</v>
      </c>
      <c r="N484" s="2">
        <v>28290.42</v>
      </c>
      <c r="O484" s="3">
        <f t="shared" si="6"/>
        <v>-1.8189894035458565E-12</v>
      </c>
      <c r="P484" s="2">
        <v>-83.12</v>
      </c>
      <c r="Q484" s="2">
        <v>-530.5</v>
      </c>
      <c r="S484" s="2">
        <v>-613.62</v>
      </c>
      <c r="T484" s="3">
        <f t="shared" si="9"/>
        <v>0</v>
      </c>
      <c r="U484" s="2">
        <v>27676.799999999999</v>
      </c>
      <c r="V484" s="1">
        <f>U484-P484-N484-Q484-R484+N484-I485-G485-F485-D484-E484-B484-K485-M484-H485-C484-L485</f>
        <v>-5.1159076974727213E-13</v>
      </c>
    </row>
    <row r="485" spans="1:22" x14ac:dyDescent="0.25">
      <c r="A485" t="s">
        <v>631</v>
      </c>
      <c r="B485" s="6">
        <v>6746.62</v>
      </c>
      <c r="F485" s="2">
        <v>24400.400000000001</v>
      </c>
      <c r="G485" s="2">
        <v>-1145.04</v>
      </c>
      <c r="H485" s="2">
        <v>-212.44</v>
      </c>
      <c r="I485" s="2">
        <v>176.17</v>
      </c>
      <c r="O485" s="3">
        <f t="shared" si="6"/>
        <v>-31421.499999999996</v>
      </c>
      <c r="P485" s="6">
        <v>-119.14999999999998</v>
      </c>
      <c r="Q485" s="6">
        <v>-263.8</v>
      </c>
      <c r="T485" s="3">
        <f t="shared" si="9"/>
        <v>382.95</v>
      </c>
    </row>
    <row r="486" spans="1:22" x14ac:dyDescent="0.25">
      <c r="A486" t="s">
        <v>632</v>
      </c>
      <c r="B486" s="6">
        <v>3487.4199999999996</v>
      </c>
      <c r="F486" s="6">
        <v>25465.46</v>
      </c>
      <c r="G486" s="6">
        <v>-737.76</v>
      </c>
      <c r="H486" s="6">
        <v>-52.82</v>
      </c>
      <c r="I486" s="1">
        <v>0</v>
      </c>
      <c r="N486" s="6">
        <v>61282.15</v>
      </c>
      <c r="O486" s="3">
        <f t="shared" si="6"/>
        <v>31421.5</v>
      </c>
      <c r="P486" s="6">
        <v>-53</v>
      </c>
      <c r="Q486" s="6">
        <v>-663</v>
      </c>
      <c r="S486" s="6">
        <v>-1098.95</v>
      </c>
      <c r="T486" s="3">
        <f t="shared" si="9"/>
        <v>-382.95000000000005</v>
      </c>
      <c r="U486" s="6">
        <v>60183.199999999997</v>
      </c>
      <c r="V486" s="3">
        <f>U486-P486-N486-Q486-R486+N486-I487-G487-F487-D486-E486-B486-M485-K486-B485-D485-M486-H487-K487-F486-G486-I486-P485-Q485-H486</f>
        <v>-6.1319838096096646E-12</v>
      </c>
    </row>
    <row r="487" spans="1:22" x14ac:dyDescent="0.25">
      <c r="A487" t="s">
        <v>633</v>
      </c>
      <c r="B487" s="37">
        <v>5852.0999999999995</v>
      </c>
      <c r="F487" s="6">
        <v>27691.95</v>
      </c>
      <c r="G487" s="6">
        <v>-1159.52</v>
      </c>
      <c r="H487" s="6">
        <v>-171.62</v>
      </c>
      <c r="I487" s="6">
        <v>12.42</v>
      </c>
      <c r="O487" s="3">
        <f t="shared" si="6"/>
        <v>-31872.539999999997</v>
      </c>
      <c r="P487" s="37">
        <v>-903.18</v>
      </c>
      <c r="T487" s="3">
        <f t="shared" si="9"/>
        <v>903.18</v>
      </c>
    </row>
    <row r="488" spans="1:22" x14ac:dyDescent="0.25">
      <c r="A488" t="s">
        <v>634</v>
      </c>
      <c r="B488" s="37">
        <v>9501.92</v>
      </c>
      <c r="E488" s="37">
        <v>34.04</v>
      </c>
      <c r="F488" s="37">
        <v>30956.32</v>
      </c>
      <c r="G488" s="37">
        <v>-4971.3</v>
      </c>
      <c r="I488" s="37">
        <v>35.42</v>
      </c>
      <c r="O488" s="3">
        <f t="shared" si="6"/>
        <v>-9535.9600000000009</v>
      </c>
      <c r="T488" s="3">
        <f t="shared" si="9"/>
        <v>0</v>
      </c>
    </row>
    <row r="489" spans="1:22" x14ac:dyDescent="0.25">
      <c r="A489" t="s">
        <v>635</v>
      </c>
      <c r="B489" s="37">
        <v>8447.4700000000012</v>
      </c>
      <c r="N489" s="37">
        <v>91483.1</v>
      </c>
      <c r="O489" s="3">
        <f t="shared" si="6"/>
        <v>41408.500000000015</v>
      </c>
      <c r="P489" s="37">
        <v>-1155.17</v>
      </c>
      <c r="Q489" s="37">
        <f>-262.28-131.03</f>
        <v>-393.30999999999995</v>
      </c>
      <c r="S489" s="37">
        <v>-2451.66</v>
      </c>
      <c r="T489" s="3">
        <f t="shared" si="9"/>
        <v>-903.17999999999984</v>
      </c>
      <c r="U489" s="37">
        <v>89031.44</v>
      </c>
      <c r="V489" s="3">
        <f>U489-P489-N489-Q489-R489+N489-I490-G490-F490-D489-E489-B489-M488-R488-R487-Q488-Q487-P487-P488-K489-K488-I488-G488-F488-E488-E487-B488-B487-M487-D487-D488-M489-H488-C487-H490-K490-C488</f>
        <v>1.1823431123048067E-11</v>
      </c>
    </row>
    <row r="490" spans="1:22" x14ac:dyDescent="0.25">
      <c r="A490" t="s">
        <v>636</v>
      </c>
      <c r="B490" s="34">
        <v>13857.4</v>
      </c>
      <c r="F490" s="37">
        <v>42577.2</v>
      </c>
      <c r="G490" s="37">
        <v>-950.07</v>
      </c>
      <c r="M490" s="34">
        <v>49996.160000000003</v>
      </c>
      <c r="N490" s="34">
        <v>98792.45</v>
      </c>
      <c r="O490" s="3">
        <f t="shared" ref="O490:O550" si="10">N490-K491-I491-H491-G491-F491-E490-D490-C490-B490-M490-L490</f>
        <v>-7.2759576141834259E-12</v>
      </c>
      <c r="P490" s="34">
        <f>-884.9+9014.34</f>
        <v>8129.4400000000005</v>
      </c>
      <c r="Q490" s="34">
        <v>-659.01</v>
      </c>
      <c r="S490" s="34">
        <v>7470.43</v>
      </c>
      <c r="T490" s="3">
        <f t="shared" si="9"/>
        <v>0</v>
      </c>
      <c r="U490" s="34">
        <v>106262.88</v>
      </c>
      <c r="V490" s="1">
        <f>U490-P490-N490-Q490-R490+N490-I491-G491-F491-D490-E490-B490-K491-M490-H491-C490-L491</f>
        <v>-2.0463630789890885E-12</v>
      </c>
    </row>
    <row r="491" spans="1:22" x14ac:dyDescent="0.25">
      <c r="A491" t="s">
        <v>637</v>
      </c>
      <c r="B491" s="89">
        <v>69785.59</v>
      </c>
      <c r="F491" s="34">
        <v>36053.22</v>
      </c>
      <c r="G491" s="34">
        <v>-703.70999999999992</v>
      </c>
      <c r="H491" s="34">
        <v>-437.26</v>
      </c>
      <c r="I491" s="34">
        <v>26.64</v>
      </c>
      <c r="M491" s="89">
        <v>13271.98</v>
      </c>
      <c r="N491" s="89">
        <v>143236.29999999999</v>
      </c>
      <c r="O491" s="3">
        <f t="shared" si="10"/>
        <v>1.0913936421275139E-11</v>
      </c>
      <c r="P491" s="89">
        <v>-240.74</v>
      </c>
      <c r="Q491" s="89">
        <v>-526.20000000000005</v>
      </c>
      <c r="R491" s="89">
        <v>1085.8599999999999</v>
      </c>
      <c r="S491" s="89">
        <v>318.92</v>
      </c>
      <c r="T491" s="3">
        <f t="shared" si="9"/>
        <v>2.2737367544323206E-13</v>
      </c>
      <c r="U491" s="89">
        <v>143555.22</v>
      </c>
      <c r="V491" s="1">
        <f>U491-P491-N491-Q491-R491+N491-I492-G492-F492-D491-E491-B491-K492-M491-H492-C491-L492</f>
        <v>1.6058265828178264E-12</v>
      </c>
    </row>
    <row r="492" spans="1:22" x14ac:dyDescent="0.25">
      <c r="A492" t="s">
        <v>638</v>
      </c>
      <c r="B492" s="1">
        <v>21218.649999999998</v>
      </c>
      <c r="F492" s="89">
        <v>62431.48</v>
      </c>
      <c r="G492" s="89">
        <v>-2200.14</v>
      </c>
      <c r="H492" s="89">
        <v>-89.01</v>
      </c>
      <c r="I492" s="89">
        <v>36.4</v>
      </c>
      <c r="N492" s="1">
        <v>74245</v>
      </c>
      <c r="O492" s="3">
        <f t="shared" si="10"/>
        <v>-3.637978807091713E-12</v>
      </c>
      <c r="P492" s="1">
        <v>-184.17</v>
      </c>
      <c r="Q492" s="1">
        <v>-524.26</v>
      </c>
      <c r="S492" s="1">
        <v>-708.43</v>
      </c>
      <c r="T492" s="3">
        <f t="shared" si="9"/>
        <v>0</v>
      </c>
      <c r="U492" s="1">
        <v>73536.570000000007</v>
      </c>
      <c r="V492" s="1">
        <f>U492-P492-N492-Q492-R492+N492-I493-G493-F493-D492-E492-B492-K493-M492-H493-C492-L493</f>
        <v>-5.3841375802221592E-12</v>
      </c>
    </row>
    <row r="493" spans="1:22" x14ac:dyDescent="0.25">
      <c r="A493" t="s">
        <v>639</v>
      </c>
      <c r="B493" s="43">
        <v>20951.389999999996</v>
      </c>
      <c r="C493" s="43">
        <v>-13.33</v>
      </c>
      <c r="F493" s="1">
        <v>55973.89</v>
      </c>
      <c r="G493" s="1">
        <v>-3155.92</v>
      </c>
      <c r="H493" s="1">
        <v>-6.83</v>
      </c>
      <c r="I493" s="1">
        <v>215.20999999999998</v>
      </c>
      <c r="N493" s="43">
        <v>60722.38</v>
      </c>
      <c r="O493" s="3">
        <f t="shared" si="10"/>
        <v>3.637978807091713E-12</v>
      </c>
      <c r="P493" s="43">
        <v>-65.88</v>
      </c>
      <c r="Q493" s="43">
        <v>-393.7</v>
      </c>
      <c r="S493" s="43">
        <v>-459.58</v>
      </c>
      <c r="T493" s="3">
        <f t="shared" si="9"/>
        <v>0</v>
      </c>
      <c r="U493" s="43">
        <v>60262.8</v>
      </c>
      <c r="V493" s="1">
        <f>U493-P493-N493-Q493-R493+N493-I494-G494-F494-D493-E493-B493-K494-M493-H494-C493</f>
        <v>4.4231285301066237E-13</v>
      </c>
    </row>
    <row r="494" spans="1:22" x14ac:dyDescent="0.25">
      <c r="A494" t="s">
        <v>640</v>
      </c>
      <c r="B494" s="72">
        <v>33429.980000000003</v>
      </c>
      <c r="F494" s="43">
        <v>41824.07</v>
      </c>
      <c r="G494" s="43">
        <v>-1911.1</v>
      </c>
      <c r="H494" s="43">
        <v>-128.65</v>
      </c>
      <c r="L494" s="72">
        <v>-0.17</v>
      </c>
      <c r="O494" s="3">
        <f t="shared" si="10"/>
        <v>-65778.69</v>
      </c>
      <c r="P494" s="72">
        <v>-486.98</v>
      </c>
      <c r="Q494" s="72">
        <v>-1047.8800000000001</v>
      </c>
      <c r="T494" s="3">
        <f t="shared" si="9"/>
        <v>1534.8600000000001</v>
      </c>
    </row>
    <row r="495" spans="1:22" x14ac:dyDescent="0.25">
      <c r="A495" t="s">
        <v>641</v>
      </c>
      <c r="B495" s="72">
        <v>9976.4599999999991</v>
      </c>
      <c r="F495" s="72">
        <v>33429.93</v>
      </c>
      <c r="G495" s="72">
        <v>-1003.11</v>
      </c>
      <c r="H495" s="72">
        <v>-77.94</v>
      </c>
      <c r="M495" s="72">
        <v>22961.82</v>
      </c>
      <c r="O495" s="3">
        <f t="shared" si="10"/>
        <v>-32938.28</v>
      </c>
      <c r="P495" s="72">
        <v>-395.64</v>
      </c>
      <c r="Q495" s="72">
        <v>-392.28</v>
      </c>
      <c r="T495" s="3">
        <f t="shared" si="9"/>
        <v>787.92</v>
      </c>
    </row>
    <row r="496" spans="1:22" x14ac:dyDescent="0.25">
      <c r="A496" t="s">
        <v>642</v>
      </c>
      <c r="B496" s="72">
        <v>16875.650000000001</v>
      </c>
      <c r="N496" s="72">
        <v>152092.99</v>
      </c>
      <c r="O496" s="3">
        <f t="shared" si="10"/>
        <v>98716.97</v>
      </c>
      <c r="Q496" s="72">
        <v>-391.07</v>
      </c>
      <c r="R496" s="72">
        <v>2608.37</v>
      </c>
      <c r="S496" s="72">
        <v>-105.48</v>
      </c>
      <c r="T496" s="3">
        <f t="shared" si="9"/>
        <v>-2322.7799999999997</v>
      </c>
      <c r="U496" s="72">
        <v>151987.51</v>
      </c>
      <c r="V496" s="3">
        <f>U496-P496-N496-Q496-R496+N496-I497-G497-F497-D496-E496-B496-M495-R495-R494-Q495-Q494-P494-P495-K496-K495-I495-G495-F495-E495-E494-B495-B494-M494-D494-D495-M496-H495-C494-H497-K497-C495-L494</f>
        <v>7.2742645240708725E-12</v>
      </c>
    </row>
    <row r="497" spans="1:22" x14ac:dyDescent="0.25">
      <c r="A497" t="s">
        <v>643</v>
      </c>
      <c r="B497" s="2">
        <v>14021.859999999999</v>
      </c>
      <c r="F497" s="72">
        <v>37567.61</v>
      </c>
      <c r="G497" s="72">
        <v>-1013.2600000000001</v>
      </c>
      <c r="H497" s="72">
        <v>-90.39</v>
      </c>
      <c r="I497" s="72">
        <v>36.409999999999997</v>
      </c>
      <c r="N497" s="2">
        <v>87311.13</v>
      </c>
      <c r="O497" s="3">
        <f t="shared" si="10"/>
        <v>1.6370904631912708E-11</v>
      </c>
      <c r="P497" s="2">
        <v>-104.42</v>
      </c>
      <c r="Q497" s="2">
        <v>-524.6</v>
      </c>
      <c r="S497" s="2">
        <v>-629.02</v>
      </c>
      <c r="T497" s="3">
        <f t="shared" si="9"/>
        <v>0</v>
      </c>
      <c r="U497" s="2">
        <v>86682.11</v>
      </c>
      <c r="V497" s="1">
        <f>U497-P497-N497-Q497-R497+N497-I498-G498-F498-D497-E497-B497-K498-M497-H498-C497-L497</f>
        <v>1.5205614545266144E-11</v>
      </c>
    </row>
    <row r="498" spans="1:22" x14ac:dyDescent="0.25">
      <c r="A498" t="s">
        <v>644</v>
      </c>
      <c r="B498" s="57">
        <v>14205.259999999998</v>
      </c>
      <c r="F498" s="2">
        <v>74142.209999999992</v>
      </c>
      <c r="G498" s="2">
        <v>-1097.7800000000002</v>
      </c>
      <c r="H498" s="2">
        <v>-54.97</v>
      </c>
      <c r="I498" s="2">
        <v>299.81</v>
      </c>
      <c r="L498" s="57">
        <v>-0.06</v>
      </c>
      <c r="N498" s="57">
        <v>40463.949999999997</v>
      </c>
      <c r="O498" s="3">
        <f t="shared" si="10"/>
        <v>2.328304216092647E-12</v>
      </c>
      <c r="P498" s="57">
        <v>-339.14</v>
      </c>
      <c r="Q498" s="57">
        <v>-261.67</v>
      </c>
      <c r="S498" s="57">
        <v>-600.80999999999995</v>
      </c>
      <c r="T498" s="3">
        <f t="shared" si="9"/>
        <v>0</v>
      </c>
      <c r="U498" s="57">
        <v>39863.14</v>
      </c>
      <c r="V498" s="1">
        <f>U498-P498-N498-Q498-R498+N498-I499-G499-F499-D498-E498-B498-K499-M498-H499-C498-L498</f>
        <v>2.0387580512704062E-12</v>
      </c>
    </row>
    <row r="499" spans="1:22" x14ac:dyDescent="0.25">
      <c r="A499" t="s">
        <v>645</v>
      </c>
      <c r="B499" s="56">
        <v>16711.789999999997</v>
      </c>
      <c r="C499" s="56">
        <v>-38.78</v>
      </c>
      <c r="E499" s="56">
        <v>6.39</v>
      </c>
      <c r="F499" s="57">
        <v>29651.539999999997</v>
      </c>
      <c r="G499" s="57">
        <v>-3437.2599999999998</v>
      </c>
      <c r="H499" s="57">
        <v>-10.680000000000001</v>
      </c>
      <c r="I499" s="57">
        <v>55.15</v>
      </c>
      <c r="N499" s="56">
        <v>39045.64</v>
      </c>
      <c r="O499" s="3">
        <f t="shared" si="10"/>
        <v>0</v>
      </c>
      <c r="P499" s="56">
        <v>-170.61</v>
      </c>
      <c r="Q499" s="56">
        <f>-260.87 -130.62 -130.9</f>
        <v>-522.39</v>
      </c>
      <c r="S499" s="56">
        <v>-693</v>
      </c>
      <c r="T499" s="3">
        <f t="shared" si="9"/>
        <v>0</v>
      </c>
      <c r="U499" s="56">
        <v>38352.639999999999</v>
      </c>
      <c r="V499" s="1">
        <f>U499-P499-N499-Q499-R499+N499-I500-G500-F500-D499-E499-B499-K500-M499-H500-C499-L499</f>
        <v>1.4566126083082054E-12</v>
      </c>
    </row>
    <row r="500" spans="1:22" x14ac:dyDescent="0.25">
      <c r="A500" t="s">
        <v>646</v>
      </c>
      <c r="B500" s="38">
        <v>8785.83</v>
      </c>
      <c r="E500" s="38">
        <v>77.17</v>
      </c>
      <c r="F500" s="56">
        <v>24428.49</v>
      </c>
      <c r="G500" s="56">
        <v>-2156.5700000000002</v>
      </c>
      <c r="H500" s="56">
        <v>-34.07</v>
      </c>
      <c r="I500" s="56">
        <v>128.39000000000001</v>
      </c>
      <c r="N500" s="38">
        <v>33352.370000000003</v>
      </c>
      <c r="O500" s="3">
        <f t="shared" si="10"/>
        <v>0</v>
      </c>
      <c r="P500" s="38">
        <v>-60.6</v>
      </c>
      <c r="S500" s="38">
        <v>-60.6</v>
      </c>
      <c r="T500" s="3">
        <f t="shared" si="9"/>
        <v>0</v>
      </c>
      <c r="U500" s="38">
        <v>33291.769999999997</v>
      </c>
      <c r="V500" s="1">
        <f>U500-P500-N500-Q500-R500+N500-I501-G501-F501-D500-E500-B500-K501-M500-H501-C500-L500</f>
        <v>-4.9453774408902973E-12</v>
      </c>
    </row>
    <row r="501" spans="1:22" x14ac:dyDescent="0.25">
      <c r="A501" t="s">
        <v>647</v>
      </c>
      <c r="B501" s="48">
        <v>12016.720000000001</v>
      </c>
      <c r="E501" s="48">
        <v>94.460000000000008</v>
      </c>
      <c r="F501" s="38">
        <v>26195.78</v>
      </c>
      <c r="G501" s="38">
        <v>-1771.04</v>
      </c>
      <c r="H501" s="38">
        <v>-75.56</v>
      </c>
      <c r="I501" s="38">
        <v>140.19</v>
      </c>
      <c r="O501" s="3">
        <f t="shared" si="10"/>
        <v>-37165.14</v>
      </c>
      <c r="P501" s="48">
        <v>-330.84</v>
      </c>
      <c r="Q501" s="48">
        <v>-129.97</v>
      </c>
      <c r="T501" s="3">
        <f t="shared" si="9"/>
        <v>460.80999999999995</v>
      </c>
    </row>
    <row r="502" spans="1:22" x14ac:dyDescent="0.25">
      <c r="A502" t="s">
        <v>648</v>
      </c>
      <c r="B502" s="48">
        <v>8729.48</v>
      </c>
      <c r="F502" s="48">
        <v>26941.469999999998</v>
      </c>
      <c r="G502" s="48">
        <v>-1827.83</v>
      </c>
      <c r="H502" s="48">
        <v>-186.25</v>
      </c>
      <c r="I502" s="48">
        <v>126.57</v>
      </c>
      <c r="M502" s="48">
        <v>20381.439999999999</v>
      </c>
      <c r="O502" s="3">
        <f t="shared" si="10"/>
        <v>-29110.92</v>
      </c>
      <c r="P502" s="48">
        <v>-286.89</v>
      </c>
      <c r="Q502" s="48">
        <v>-261.39</v>
      </c>
      <c r="T502" s="3">
        <f t="shared" si="9"/>
        <v>548.28</v>
      </c>
    </row>
    <row r="503" spans="1:22" x14ac:dyDescent="0.25">
      <c r="A503" t="s">
        <v>649</v>
      </c>
      <c r="B503" s="48">
        <v>10089.18</v>
      </c>
      <c r="D503" s="48">
        <v>82.220000000000013</v>
      </c>
      <c r="N503" s="48">
        <v>114223.4</v>
      </c>
      <c r="O503" s="3">
        <f t="shared" si="10"/>
        <v>66276.06</v>
      </c>
      <c r="P503" s="48">
        <v>-261.51</v>
      </c>
      <c r="Q503" s="48">
        <v>-262.45999999999998</v>
      </c>
      <c r="R503" s="48">
        <v>7098.98</v>
      </c>
      <c r="S503" s="48">
        <v>5565.92</v>
      </c>
      <c r="T503" s="3">
        <f t="shared" si="9"/>
        <v>-1009.0899999999995</v>
      </c>
      <c r="U503" s="94">
        <v>119789.32</v>
      </c>
      <c r="V503" s="3">
        <f>U503-P503-N503-Q503-R503+N503-I504-G504-F504-D503-E503-B503-M502-R502-R501-Q502-Q501-P501-P502-K503-K502-I502-G502-F502-E502-E501-B502-B501-M501-D501-D502-M503-H502-C501-H504-K504-C502-L501</f>
        <v>0</v>
      </c>
    </row>
    <row r="504" spans="1:22" x14ac:dyDescent="0.25">
      <c r="A504" t="s">
        <v>650</v>
      </c>
      <c r="B504" s="35">
        <v>8037.0700000000006</v>
      </c>
      <c r="F504" s="48">
        <v>38998.410000000003</v>
      </c>
      <c r="G504" s="48">
        <v>-1222.47</v>
      </c>
      <c r="N504" s="35">
        <v>34416.550000000003</v>
      </c>
      <c r="O504" s="3">
        <f t="shared" si="10"/>
        <v>-4.5474735088646412E-12</v>
      </c>
      <c r="P504" s="35">
        <v>-194.31</v>
      </c>
      <c r="S504" s="35">
        <v>-194.31</v>
      </c>
      <c r="T504" s="3">
        <f t="shared" si="9"/>
        <v>0</v>
      </c>
      <c r="U504" s="35">
        <v>34222.239999999998</v>
      </c>
      <c r="V504" s="1">
        <f>U504-P504-N504-Q504-R504+N504-I505-G505-F505-D504-E504-B504-K505-M504-H505-C504-L505</f>
        <v>-1.1240786079724785E-11</v>
      </c>
    </row>
    <row r="505" spans="1:22" x14ac:dyDescent="0.25">
      <c r="A505" t="s">
        <v>651</v>
      </c>
      <c r="B505" s="90">
        <v>14007.74</v>
      </c>
      <c r="F505" s="35">
        <v>27307.780000000002</v>
      </c>
      <c r="G505" s="35">
        <v>-1001.02</v>
      </c>
      <c r="H505" s="35">
        <v>-5.8900000000000006</v>
      </c>
      <c r="I505" s="35">
        <v>78.61</v>
      </c>
      <c r="N505" s="90">
        <v>39428.26</v>
      </c>
      <c r="O505" s="3">
        <f t="shared" si="10"/>
        <v>-1.8189894035458565E-12</v>
      </c>
      <c r="P505" s="90">
        <v>-346.07</v>
      </c>
      <c r="Q505" s="90">
        <v>-522.64</v>
      </c>
      <c r="S505" s="90">
        <v>-868.71</v>
      </c>
      <c r="T505" s="3">
        <f t="shared" si="9"/>
        <v>0</v>
      </c>
      <c r="U505" s="90">
        <v>38559.550000000003</v>
      </c>
      <c r="V505" s="1">
        <f>U505-P505-N505-Q505-R505+N505-I506-G506-F506-D505-E505-B505-K506-M505-H506-C505-L506</f>
        <v>1.6733281427150359E-12</v>
      </c>
    </row>
    <row r="506" spans="1:22" x14ac:dyDescent="0.25">
      <c r="A506" t="s">
        <v>652</v>
      </c>
      <c r="B506" s="88">
        <v>7174.96</v>
      </c>
      <c r="E506" s="88">
        <v>118.96</v>
      </c>
      <c r="F506" s="90">
        <v>26247.61</v>
      </c>
      <c r="G506" s="90">
        <v>-830.33</v>
      </c>
      <c r="H506" s="90">
        <v>-3.59</v>
      </c>
      <c r="I506" s="90">
        <v>6.83</v>
      </c>
      <c r="N506" s="88">
        <v>29705.83</v>
      </c>
      <c r="O506" s="3">
        <f t="shared" si="10"/>
        <v>1.8189894035458565E-12</v>
      </c>
      <c r="P506" s="88">
        <v>-246.98</v>
      </c>
      <c r="S506" s="88">
        <v>-246.98</v>
      </c>
      <c r="T506" s="3">
        <f t="shared" si="9"/>
        <v>0</v>
      </c>
      <c r="U506" s="88">
        <v>29458.85</v>
      </c>
      <c r="V506" s="1">
        <f>U506-P506-N506-Q506-R506+N506-I507-G507-F507-D506-E506-B506-K507-M506-H507-C506-L507</f>
        <v>-5.1159076974727213E-13</v>
      </c>
    </row>
    <row r="507" spans="1:22" x14ac:dyDescent="0.25">
      <c r="A507" t="s">
        <v>653</v>
      </c>
      <c r="B507" s="38">
        <v>9652.4700000000012</v>
      </c>
      <c r="F507" s="88">
        <v>22913.41</v>
      </c>
      <c r="G507" s="88">
        <v>-357.10999999999996</v>
      </c>
      <c r="H507" s="88">
        <v>-148.94</v>
      </c>
      <c r="I507" s="88">
        <v>4.55</v>
      </c>
      <c r="N507" s="38">
        <v>23849.84</v>
      </c>
      <c r="O507" s="3">
        <f t="shared" si="10"/>
        <v>-1.8189894035458565E-12</v>
      </c>
      <c r="P507" s="38">
        <v>-597.9</v>
      </c>
      <c r="Q507" s="38">
        <v>-75.11</v>
      </c>
      <c r="S507" s="38">
        <v>-673.01</v>
      </c>
      <c r="T507" s="3">
        <f t="shared" si="9"/>
        <v>0</v>
      </c>
      <c r="U507" s="38">
        <v>23176.83</v>
      </c>
      <c r="V507" s="1">
        <f>U507-P507-N507-Q507-R507+N507-I508-G508-F508-D507-E507-B507-K508-M507-H508-C507-L508</f>
        <v>3.4106051316484809E-13</v>
      </c>
    </row>
    <row r="508" spans="1:22" x14ac:dyDescent="0.25">
      <c r="A508" t="s">
        <v>654</v>
      </c>
      <c r="B508" s="9">
        <v>8416.7899999999991</v>
      </c>
      <c r="F508" s="38">
        <v>15427.300000000001</v>
      </c>
      <c r="G508" s="38">
        <v>-985.78</v>
      </c>
      <c r="H508" s="38">
        <v>-244.14999999999998</v>
      </c>
      <c r="O508" s="3">
        <f t="shared" si="10"/>
        <v>-31128.36</v>
      </c>
      <c r="P508" s="9">
        <v>-405.52</v>
      </c>
      <c r="Q508" s="9">
        <v>-393.1</v>
      </c>
      <c r="T508" s="3">
        <f t="shared" si="9"/>
        <v>798.62</v>
      </c>
    </row>
    <row r="509" spans="1:22" x14ac:dyDescent="0.25">
      <c r="A509" t="s">
        <v>655</v>
      </c>
      <c r="B509" s="9">
        <v>85340.510000000009</v>
      </c>
      <c r="F509" s="9">
        <v>23596.91</v>
      </c>
      <c r="G509" s="9">
        <v>-857.63</v>
      </c>
      <c r="H509" s="9">
        <v>-27.71</v>
      </c>
      <c r="M509" s="9">
        <v>14526.1</v>
      </c>
      <c r="O509" s="3">
        <f t="shared" si="10"/>
        <v>-99866.610000000015</v>
      </c>
      <c r="P509" s="9">
        <v>-1093.9100000000001</v>
      </c>
      <c r="R509" s="9">
        <v>2347.94</v>
      </c>
      <c r="S509" s="9">
        <v>-781.51</v>
      </c>
      <c r="T509" s="3">
        <f t="shared" si="9"/>
        <v>-2035.5399999999997</v>
      </c>
    </row>
    <row r="510" spans="1:22" x14ac:dyDescent="0.25">
      <c r="A510" t="s">
        <v>656</v>
      </c>
      <c r="B510" s="9">
        <v>68695.44</v>
      </c>
      <c r="N510" s="9">
        <v>225670.42</v>
      </c>
      <c r="O510" s="3">
        <f t="shared" si="10"/>
        <v>130994.97</v>
      </c>
      <c r="P510" s="9">
        <v>-445.98</v>
      </c>
      <c r="Q510" s="9">
        <v>-790.94</v>
      </c>
      <c r="T510" s="3">
        <f t="shared" si="9"/>
        <v>1236.92</v>
      </c>
      <c r="U510" s="9">
        <v>224888.91</v>
      </c>
      <c r="V510" s="3">
        <f>U510-P510-N510-Q510-R510+N510-I511-G511-F511-D510-E510-B510-M509-R509-R508-Q509-Q508-P508-P509-K510-K509-I509-G509-F509-E509-E508-B509-B508-M508-D508-D509-M510-H509-C508-H511-K511-C509-L508</f>
        <v>2.6929569685307797E-12</v>
      </c>
    </row>
    <row r="511" spans="1:22" x14ac:dyDescent="0.25">
      <c r="A511" t="s">
        <v>657</v>
      </c>
      <c r="B511" s="89">
        <v>69980.27</v>
      </c>
      <c r="F511" s="9">
        <v>26288.57</v>
      </c>
      <c r="G511" s="9">
        <v>-382.31</v>
      </c>
      <c r="I511" s="9">
        <v>73.75</v>
      </c>
      <c r="N511" s="89">
        <v>90662.7</v>
      </c>
      <c r="O511" s="3">
        <f t="shared" si="10"/>
        <v>-1.4551915228366852E-11</v>
      </c>
      <c r="P511" s="89">
        <v>-743.33</v>
      </c>
      <c r="Q511" s="89">
        <v>-676.96</v>
      </c>
      <c r="S511" s="89">
        <v>-1420.29</v>
      </c>
      <c r="T511" s="3">
        <f t="shared" si="9"/>
        <v>0</v>
      </c>
      <c r="U511" s="89">
        <v>89242.41</v>
      </c>
      <c r="V511" s="1">
        <f>U511-P511-N511-Q511-R511+N511-I512-G512-F512-D511-E511-B511-K512-M511-H512-C511-L512</f>
        <v>1.2221335055073723E-11</v>
      </c>
    </row>
    <row r="512" spans="1:22" x14ac:dyDescent="0.25">
      <c r="A512" t="s">
        <v>658</v>
      </c>
      <c r="B512" s="57">
        <v>33891.120000000003</v>
      </c>
      <c r="F512" s="89">
        <v>22414.32</v>
      </c>
      <c r="G512" s="89">
        <v>-1915.26</v>
      </c>
      <c r="H512" s="89">
        <v>-38.94</v>
      </c>
      <c r="I512" s="89">
        <v>222.31</v>
      </c>
      <c r="K512" s="3"/>
      <c r="N512" s="57">
        <v>64914.35</v>
      </c>
      <c r="O512" s="3">
        <f t="shared" si="10"/>
        <v>-7.2759576141834259E-12</v>
      </c>
      <c r="P512" s="57">
        <v>-1625.31</v>
      </c>
      <c r="Q512" s="57">
        <v>-343.14</v>
      </c>
      <c r="S512" s="57">
        <v>-1968.45</v>
      </c>
      <c r="T512" s="3">
        <f t="shared" si="9"/>
        <v>0</v>
      </c>
      <c r="U512" s="57">
        <v>62945.9</v>
      </c>
      <c r="V512" s="1">
        <f>U512-P512-N512-Q512-R512+N512-I513-G513-F513-D512-E512-B512-K513-M512-H513-C512-L513</f>
        <v>-7.2759576141834259E-12</v>
      </c>
    </row>
    <row r="513" spans="1:22" x14ac:dyDescent="0.25">
      <c r="A513" t="s">
        <v>659</v>
      </c>
      <c r="B513" s="11">
        <v>23515.71</v>
      </c>
      <c r="E513" s="11">
        <v>32.650000000000006</v>
      </c>
      <c r="F513" s="57">
        <v>32822.47</v>
      </c>
      <c r="G513" s="57">
        <v>-1693.24</v>
      </c>
      <c r="H513" s="57">
        <v>-106</v>
      </c>
      <c r="N513" s="11">
        <v>67627.33</v>
      </c>
      <c r="O513" s="3">
        <f t="shared" si="10"/>
        <v>0</v>
      </c>
      <c r="P513" s="11">
        <v>-917.06</v>
      </c>
      <c r="Q513" s="11">
        <f>-410.97 -326.31</f>
        <v>-737.28</v>
      </c>
      <c r="S513" s="11">
        <v>-1654.34</v>
      </c>
      <c r="T513" s="3">
        <f t="shared" si="9"/>
        <v>0</v>
      </c>
      <c r="U513" s="11">
        <v>65972.990000000005</v>
      </c>
      <c r="V513" s="1">
        <f>U513-P513-N513-Q513-R513+N513-I514-G514-F514-D513-E513-B513-K514-M513-H514-C513-L514</f>
        <v>1.7053025658242404E-12</v>
      </c>
    </row>
    <row r="514" spans="1:22" x14ac:dyDescent="0.25">
      <c r="A514" t="s">
        <v>660</v>
      </c>
      <c r="B514" s="37">
        <v>7970.5800000000008</v>
      </c>
      <c r="E514" s="1">
        <v>53.03</v>
      </c>
      <c r="F514" s="11">
        <v>44785.369999999995</v>
      </c>
      <c r="G514" s="11">
        <v>-351.86</v>
      </c>
      <c r="H514" s="11">
        <v>-392.91999999999996</v>
      </c>
      <c r="I514" s="11">
        <v>38.380000000000003</v>
      </c>
      <c r="O514" s="3">
        <f t="shared" si="10"/>
        <v>-48589.54</v>
      </c>
      <c r="P514" s="37">
        <v>-584.54</v>
      </c>
      <c r="Q514" s="37">
        <v>-130.63999999999999</v>
      </c>
      <c r="T514" s="3">
        <f t="shared" si="9"/>
        <v>715.18</v>
      </c>
    </row>
    <row r="515" spans="1:22" x14ac:dyDescent="0.25">
      <c r="A515" t="s">
        <v>661</v>
      </c>
      <c r="B515" s="37">
        <v>4340.9399999999996</v>
      </c>
      <c r="F515" s="37">
        <v>41291.760000000002</v>
      </c>
      <c r="G515" s="37">
        <v>-725.83</v>
      </c>
      <c r="O515" s="3">
        <f t="shared" si="10"/>
        <v>-32697.719999999998</v>
      </c>
      <c r="P515" s="37">
        <v>-462.68</v>
      </c>
      <c r="Q515" s="37">
        <v>-216.99</v>
      </c>
      <c r="T515" s="3">
        <f t="shared" si="9"/>
        <v>679.67000000000007</v>
      </c>
    </row>
    <row r="516" spans="1:22" x14ac:dyDescent="0.25">
      <c r="A516" t="s">
        <v>662</v>
      </c>
      <c r="B516" s="37">
        <v>4939.4399999999996</v>
      </c>
      <c r="E516" s="37">
        <v>70.510000000000005</v>
      </c>
      <c r="F516" s="37">
        <v>28463.41</v>
      </c>
      <c r="G516" s="37">
        <v>-148.32000000000002</v>
      </c>
      <c r="I516" s="37">
        <v>41.69</v>
      </c>
      <c r="M516" s="37">
        <v>28480.67</v>
      </c>
      <c r="O516" s="3">
        <f t="shared" si="10"/>
        <v>-33490.619999999995</v>
      </c>
      <c r="P516" s="37">
        <v>-311.01</v>
      </c>
      <c r="Q516" s="37">
        <v>-216.18</v>
      </c>
      <c r="T516" s="3">
        <f t="shared" si="9"/>
        <v>527.19000000000005</v>
      </c>
    </row>
    <row r="517" spans="1:22" x14ac:dyDescent="0.25">
      <c r="A517" t="s">
        <v>663</v>
      </c>
      <c r="B517" s="37">
        <v>4585.6499999999996</v>
      </c>
      <c r="N517" s="37">
        <v>158515.71</v>
      </c>
      <c r="O517" s="3">
        <f t="shared" si="10"/>
        <v>114777.88</v>
      </c>
      <c r="P517" s="37">
        <v>-304.36</v>
      </c>
      <c r="Q517" s="37">
        <v>-141.06</v>
      </c>
      <c r="R517" s="37">
        <v>12272.58</v>
      </c>
      <c r="S517" s="37">
        <v>9905.1200000000008</v>
      </c>
      <c r="T517" s="3">
        <f t="shared" si="9"/>
        <v>-1922.0399999999991</v>
      </c>
      <c r="U517" s="37">
        <v>168420.83</v>
      </c>
    </row>
    <row r="518" spans="1:22" x14ac:dyDescent="0.25">
      <c r="A518" t="s">
        <v>664</v>
      </c>
      <c r="B518" s="37">
        <v>4275.76</v>
      </c>
      <c r="D518" s="37">
        <v>40.019999999999996</v>
      </c>
      <c r="F518" s="37">
        <v>39500.810000000005</v>
      </c>
      <c r="G518" s="37">
        <v>-348.63</v>
      </c>
      <c r="N518" s="37">
        <v>31309.59</v>
      </c>
      <c r="O518" s="3">
        <f t="shared" si="10"/>
        <v>1.8189894035458565E-12</v>
      </c>
      <c r="P518" s="37">
        <v>-285.67</v>
      </c>
      <c r="Q518" s="37">
        <v>-70.53</v>
      </c>
      <c r="S518" s="37">
        <v>-356.2</v>
      </c>
      <c r="T518" s="3">
        <f t="shared" si="9"/>
        <v>0</v>
      </c>
      <c r="U518" s="37">
        <v>30953.39</v>
      </c>
    </row>
    <row r="519" spans="1:22" ht="15.75" customHeight="1" x14ac:dyDescent="0.25">
      <c r="A519" t="s">
        <v>665</v>
      </c>
      <c r="B519" s="1">
        <v>4838.24</v>
      </c>
      <c r="F519" s="37">
        <v>28678.799999999999</v>
      </c>
      <c r="G519" s="37">
        <v>-1712.6999999999998</v>
      </c>
      <c r="I519" s="37">
        <v>27.71</v>
      </c>
      <c r="N519" s="1">
        <v>26632.49</v>
      </c>
      <c r="O519" s="3">
        <f t="shared" si="10"/>
        <v>1.8189894035458565E-12</v>
      </c>
      <c r="Q519" s="1">
        <v>-910.6</v>
      </c>
      <c r="S519" s="1">
        <v>-910.6</v>
      </c>
      <c r="T519" s="3">
        <f t="shared" si="9"/>
        <v>0</v>
      </c>
      <c r="U519" s="1">
        <v>25721.89</v>
      </c>
      <c r="V519" s="1">
        <f>U519-P519-N519-Q519-R519+N519-I520-G520-F520-D519-E519-B519-K520-M519-H520-C519-L520</f>
        <v>-1.8189894035458565E-12</v>
      </c>
    </row>
    <row r="520" spans="1:22" x14ac:dyDescent="0.25">
      <c r="A520" t="s">
        <v>666</v>
      </c>
      <c r="B520" s="2">
        <v>7310.5700000000006</v>
      </c>
      <c r="C520" s="2">
        <v>-86.17</v>
      </c>
      <c r="F520" s="1">
        <v>22980.6</v>
      </c>
      <c r="G520" s="1">
        <v>-1186.3499999999999</v>
      </c>
      <c r="N520" s="2">
        <v>26008.66</v>
      </c>
      <c r="O520" s="3">
        <f t="shared" si="10"/>
        <v>-2.7284841053187847E-12</v>
      </c>
      <c r="P520" s="2">
        <v>-1238.57</v>
      </c>
      <c r="Q520" s="2">
        <v>-260.64999999999998</v>
      </c>
      <c r="S520" s="2">
        <v>-1499.22</v>
      </c>
      <c r="T520" s="3">
        <f t="shared" si="9"/>
        <v>0</v>
      </c>
      <c r="U520" s="2">
        <v>24509.439999999999</v>
      </c>
      <c r="V520" s="1">
        <f>U520-P520-N520-Q520-R520+N520-I521-G521-F521-D520-E520-B520-K521-M520-H521-C520-L521</f>
        <v>-2.7995383788947947E-12</v>
      </c>
    </row>
    <row r="521" spans="1:22" x14ac:dyDescent="0.25">
      <c r="A521" t="s">
        <v>667</v>
      </c>
      <c r="B521" s="89">
        <v>97807.22</v>
      </c>
      <c r="F521" s="2">
        <v>19047.170000000002</v>
      </c>
      <c r="G521" s="2">
        <v>-362.04</v>
      </c>
      <c r="I521" s="2">
        <v>99.13000000000001</v>
      </c>
      <c r="M521" s="89">
        <v>13296.16</v>
      </c>
      <c r="O521" s="3">
        <f t="shared" si="10"/>
        <v>-139878.17000000001</v>
      </c>
      <c r="P521" s="89">
        <v>-1307.79</v>
      </c>
      <c r="Q521" s="89">
        <v>-128.34</v>
      </c>
      <c r="R521" s="89">
        <v>1271.75</v>
      </c>
      <c r="T521" s="3">
        <f t="shared" si="9"/>
        <v>164.37999999999988</v>
      </c>
    </row>
    <row r="522" spans="1:22" x14ac:dyDescent="0.25">
      <c r="A522" t="s">
        <v>668</v>
      </c>
      <c r="B522" s="89">
        <v>83244.72</v>
      </c>
      <c r="E522" s="89">
        <v>40.99</v>
      </c>
      <c r="F522" s="89">
        <v>29237.14</v>
      </c>
      <c r="G522" s="89">
        <v>-338.05</v>
      </c>
      <c r="H522" s="89">
        <v>-169.42</v>
      </c>
      <c r="I522" s="89">
        <v>45.12</v>
      </c>
      <c r="L522" s="89">
        <v>-0.06</v>
      </c>
      <c r="O522" s="3">
        <f t="shared" si="10"/>
        <v>-102445.95000000001</v>
      </c>
      <c r="P522" s="89">
        <v>-649.4</v>
      </c>
      <c r="T522" s="3">
        <f t="shared" si="9"/>
        <v>649.4</v>
      </c>
    </row>
    <row r="523" spans="1:22" x14ac:dyDescent="0.25">
      <c r="A523" t="s">
        <v>669</v>
      </c>
      <c r="B523" s="89">
        <v>17108.57</v>
      </c>
      <c r="F523" s="89">
        <v>19613.009999999998</v>
      </c>
      <c r="G523" s="89">
        <v>-452.71</v>
      </c>
      <c r="M523" s="89">
        <v>19987.060000000001</v>
      </c>
      <c r="O523" s="3">
        <f t="shared" si="10"/>
        <v>-37095.630000000005</v>
      </c>
      <c r="P523" s="89">
        <v>-1175.03</v>
      </c>
      <c r="T523" s="3">
        <f t="shared" si="9"/>
        <v>1175.03</v>
      </c>
    </row>
    <row r="524" spans="1:22" x14ac:dyDescent="0.25">
      <c r="A524" t="s">
        <v>670</v>
      </c>
      <c r="B524" s="89">
        <v>4461.93</v>
      </c>
      <c r="E524" s="89">
        <v>1.86</v>
      </c>
      <c r="N524" s="89">
        <v>328226.15999999997</v>
      </c>
      <c r="O524" s="3">
        <f t="shared" si="10"/>
        <v>279419.75</v>
      </c>
      <c r="P524" s="89">
        <v>-140.26</v>
      </c>
      <c r="R524" s="89">
        <v>2389.16</v>
      </c>
      <c r="S524" s="89">
        <v>260.08999999999997</v>
      </c>
      <c r="T524" s="3">
        <f t="shared" si="9"/>
        <v>-1988.8099999999997</v>
      </c>
      <c r="U524" s="89">
        <v>328486.25</v>
      </c>
    </row>
    <row r="525" spans="1:22" x14ac:dyDescent="0.25">
      <c r="A525" t="s">
        <v>671</v>
      </c>
      <c r="B525" s="90">
        <v>4779.03</v>
      </c>
      <c r="C525" s="90">
        <v>-57.48</v>
      </c>
      <c r="F525" s="89">
        <v>45154.96</v>
      </c>
      <c r="G525" s="89">
        <v>-812.33999999999992</v>
      </c>
      <c r="N525" s="90">
        <v>25245.09</v>
      </c>
      <c r="O525" s="3">
        <f t="shared" si="10"/>
        <v>2.7284841053187847E-12</v>
      </c>
      <c r="P525" s="90">
        <v>-650.36</v>
      </c>
      <c r="S525" s="90">
        <v>-650.36</v>
      </c>
      <c r="T525" s="3">
        <f t="shared" si="9"/>
        <v>0</v>
      </c>
      <c r="U525" s="90">
        <v>24594.73</v>
      </c>
      <c r="V525" s="1">
        <f>U525-P525-N525-Q525-R525+N525-I526-G526-F526-D525-E525-B525-K526-M525-H526-C525-L526</f>
        <v>4.1850967136269901E-12</v>
      </c>
    </row>
    <row r="526" spans="1:22" x14ac:dyDescent="0.25">
      <c r="A526" t="s">
        <v>672</v>
      </c>
      <c r="B526" s="10">
        <v>4085.02</v>
      </c>
      <c r="C526" s="10">
        <v>-64.34</v>
      </c>
      <c r="F526" s="90">
        <v>21261.309999999998</v>
      </c>
      <c r="G526" s="90">
        <v>-909.86</v>
      </c>
      <c r="H526" s="90">
        <v>-131.12</v>
      </c>
      <c r="I526" s="90">
        <v>303.21000000000004</v>
      </c>
      <c r="N526" s="10">
        <v>47316.87</v>
      </c>
      <c r="O526" s="3">
        <f t="shared" si="10"/>
        <v>4.5474735088646412E-13</v>
      </c>
      <c r="P526" s="10">
        <v>-892.93</v>
      </c>
      <c r="Q526" s="10">
        <v>-127.72</v>
      </c>
      <c r="S526" s="10">
        <v>-1020.65</v>
      </c>
      <c r="T526" s="3">
        <f t="shared" si="9"/>
        <v>0</v>
      </c>
      <c r="U526" s="10">
        <v>46296.22</v>
      </c>
      <c r="V526" s="1">
        <f>U526-P526-N526-Q526-R526+N526-I527-G527-F527-D526-E526-B526-K527-M526-H527-C526-L527</f>
        <v>-2.8990143619012088E-12</v>
      </c>
    </row>
    <row r="527" spans="1:22" x14ac:dyDescent="0.25">
      <c r="A527" t="s">
        <v>673</v>
      </c>
      <c r="B527" s="42">
        <v>4308.4699999999993</v>
      </c>
      <c r="E527" s="10">
        <v>13.66</v>
      </c>
      <c r="F527" s="10">
        <v>44363.41</v>
      </c>
      <c r="G527" s="10">
        <v>-854.99</v>
      </c>
      <c r="H527" s="10">
        <v>-212.23</v>
      </c>
      <c r="N527" s="42">
        <v>67193.789999999994</v>
      </c>
      <c r="O527" s="3">
        <f t="shared" si="10"/>
        <v>-9.0949470177292824E-12</v>
      </c>
      <c r="P527" s="42">
        <v>-1343.66</v>
      </c>
      <c r="S527" s="42">
        <v>-1343.66</v>
      </c>
      <c r="T527" s="3">
        <f t="shared" si="9"/>
        <v>0</v>
      </c>
      <c r="U527" s="42">
        <v>65850.13</v>
      </c>
      <c r="V527" s="1">
        <f>U527-P527-N527-Q527-R527+N527-I528-G528-F528-D527-E527-B527-K528-M527-H528-C527-L527</f>
        <v>7.9580786405131221E-13</v>
      </c>
    </row>
    <row r="528" spans="1:22" x14ac:dyDescent="0.25">
      <c r="A528" t="s">
        <v>674</v>
      </c>
      <c r="B528" s="82">
        <v>6471.8600000000006</v>
      </c>
      <c r="C528" s="82">
        <v>-83.22</v>
      </c>
      <c r="E528" s="42">
        <v>43.02</v>
      </c>
      <c r="F528" s="42">
        <v>65467.87000000001</v>
      </c>
      <c r="G528" s="42">
        <v>-2541.42</v>
      </c>
      <c r="H528" s="42">
        <v>-77.63</v>
      </c>
      <c r="I528" s="42">
        <v>22.84</v>
      </c>
      <c r="L528" s="82">
        <v>-0.09</v>
      </c>
      <c r="N528" s="82">
        <v>42503.6</v>
      </c>
      <c r="O528" s="3">
        <f t="shared" si="10"/>
        <v>-8.3309747989090965E-12</v>
      </c>
      <c r="P528" s="82">
        <v>-820.02</v>
      </c>
      <c r="S528" s="82">
        <v>-820.02</v>
      </c>
      <c r="T528" s="3">
        <f t="shared" si="9"/>
        <v>0</v>
      </c>
      <c r="U528" s="82">
        <v>41683.58</v>
      </c>
      <c r="V528" s="1">
        <f>U528-P528-N528-Q528-R528+N528-I529-G529-F529-D528-E528-B528-K529-M528-H529-C528-L528</f>
        <v>-9.4536323214100548E-12</v>
      </c>
    </row>
    <row r="529" spans="1:22" x14ac:dyDescent="0.25">
      <c r="A529" t="s">
        <v>675</v>
      </c>
      <c r="B529" s="55">
        <v>4493.7000000000007</v>
      </c>
      <c r="F529" s="82">
        <v>38315.100000000006</v>
      </c>
      <c r="G529" s="82">
        <v>-2222.2799999999997</v>
      </c>
      <c r="H529" s="82">
        <v>-20.790000000000003</v>
      </c>
      <c r="L529" s="55">
        <v>-0.01</v>
      </c>
      <c r="O529" s="3">
        <f t="shared" si="10"/>
        <v>-44712.889999999992</v>
      </c>
      <c r="P529" s="55">
        <v>-512.36</v>
      </c>
      <c r="T529" s="3">
        <f t="shared" si="9"/>
        <v>512.36</v>
      </c>
    </row>
    <row r="530" spans="1:22" x14ac:dyDescent="0.25">
      <c r="A530" t="s">
        <v>676</v>
      </c>
      <c r="B530" s="55">
        <v>2155.5</v>
      </c>
      <c r="F530" s="55">
        <v>40974.759999999995</v>
      </c>
      <c r="G530" s="55">
        <v>-741.44</v>
      </c>
      <c r="H530" s="55">
        <v>-14.120000000000001</v>
      </c>
      <c r="M530" s="55">
        <v>17553.919999999998</v>
      </c>
      <c r="O530" s="3">
        <f t="shared" si="10"/>
        <v>-19709.419999999998</v>
      </c>
      <c r="P530" s="55">
        <v>-1068.58</v>
      </c>
      <c r="R530" s="55">
        <v>1877.39</v>
      </c>
      <c r="T530" s="3">
        <f t="shared" si="9"/>
        <v>-808.81000000000017</v>
      </c>
    </row>
    <row r="531" spans="1:22" x14ac:dyDescent="0.25">
      <c r="A531" t="s">
        <v>677</v>
      </c>
      <c r="B531" s="55">
        <v>3982.27</v>
      </c>
      <c r="N531" s="55">
        <v>96576.76</v>
      </c>
      <c r="O531" s="3">
        <f t="shared" si="10"/>
        <v>64422.30999999999</v>
      </c>
      <c r="S531" s="55">
        <v>296.45</v>
      </c>
      <c r="T531" s="3">
        <f t="shared" si="9"/>
        <v>296.45</v>
      </c>
      <c r="U531" s="55">
        <v>96873.21</v>
      </c>
      <c r="V531" s="3">
        <f>U531-P531-N531-Q531-R531+N531-I532-G532-F532-D531-E531-B531-M530-R530-R529-Q530-Q529-P529-P530-K531-K530-I530-G530-F530-E530-E529-B530-B529-M529-D529-D530-M531-H530-C529-H532-K532-C530-L529</f>
        <v>1.8772752449769392E-11</v>
      </c>
    </row>
    <row r="532" spans="1:22" x14ac:dyDescent="0.25">
      <c r="A532" t="s">
        <v>678</v>
      </c>
      <c r="B532" s="5">
        <v>4067.48</v>
      </c>
      <c r="F532" s="55">
        <v>29924.22</v>
      </c>
      <c r="G532" s="55">
        <v>-1786.72</v>
      </c>
      <c r="H532" s="55">
        <v>-4.26</v>
      </c>
      <c r="I532" s="55">
        <v>38.94</v>
      </c>
      <c r="N532" s="5">
        <v>37048.03</v>
      </c>
      <c r="O532" s="3">
        <f t="shared" si="10"/>
        <v>-4.0927261579781771E-12</v>
      </c>
      <c r="P532" s="5">
        <v>-445.76</v>
      </c>
      <c r="S532" s="5">
        <v>-445.76</v>
      </c>
      <c r="T532" s="3">
        <f t="shared" si="9"/>
        <v>0</v>
      </c>
      <c r="U532" s="5">
        <v>36602.269999999997</v>
      </c>
      <c r="V532" s="1">
        <f>U532-P532-N532-Q532-R532+N532-I533-G533-F533-D532-E532-B532-K533-M532-H533-C532-L532</f>
        <v>-5.8264504332328215E-12</v>
      </c>
    </row>
    <row r="533" spans="1:22" x14ac:dyDescent="0.25">
      <c r="A533" t="s">
        <v>679</v>
      </c>
      <c r="B533" s="33">
        <v>7330.75</v>
      </c>
      <c r="D533" s="33">
        <v>32.330000000000005</v>
      </c>
      <c r="F533" s="5">
        <v>33393.800000000003</v>
      </c>
      <c r="G533" s="5">
        <v>-244.17000000000002</v>
      </c>
      <c r="H533" s="5">
        <v>-169.08</v>
      </c>
      <c r="L533" s="33">
        <v>-0.01</v>
      </c>
      <c r="N533" s="33">
        <v>31606.19</v>
      </c>
      <c r="O533" s="3">
        <f t="shared" si="10"/>
        <v>3.4197002868330273E-12</v>
      </c>
      <c r="P533" s="33">
        <v>-1300.72</v>
      </c>
      <c r="S533" s="33">
        <v>-1300.72</v>
      </c>
      <c r="T533" s="3">
        <f t="shared" si="9"/>
        <v>0</v>
      </c>
      <c r="U533" s="33">
        <v>30305.47</v>
      </c>
      <c r="V533" s="1">
        <f>U533-P533-N533-Q533-R533+N533-I534-G534-F534-D533-E533-B533-K534-M533-H534-C533-L533</f>
        <v>2.254410200186463E-12</v>
      </c>
    </row>
    <row r="534" spans="1:22" x14ac:dyDescent="0.25">
      <c r="A534" t="s">
        <v>680</v>
      </c>
      <c r="B534" s="6">
        <v>2140.64</v>
      </c>
      <c r="F534" s="33">
        <v>31800.73</v>
      </c>
      <c r="G534" s="33">
        <v>-7557.68</v>
      </c>
      <c r="H534" s="33">
        <v>-20.47</v>
      </c>
      <c r="I534" s="33">
        <v>20.540000000000003</v>
      </c>
      <c r="N534" s="6">
        <v>40099.760000000002</v>
      </c>
      <c r="O534" s="3">
        <f t="shared" si="10"/>
        <v>-4.5474735088646412E-13</v>
      </c>
      <c r="P534" s="6">
        <v>-814.37</v>
      </c>
      <c r="S534" s="6">
        <v>-814.37</v>
      </c>
      <c r="T534" s="3">
        <f t="shared" si="9"/>
        <v>0</v>
      </c>
      <c r="U534" s="6">
        <v>39285.39</v>
      </c>
      <c r="V534" s="1">
        <f>U534-P534-N534-Q534-R534+N534-I535-G535-F535-D534-E534-B534-K535-M534-H535-C534-L534</f>
        <v>1.5827339439056232E-12</v>
      </c>
    </row>
    <row r="535" spans="1:22" x14ac:dyDescent="0.25">
      <c r="A535" t="s">
        <v>681</v>
      </c>
      <c r="B535" s="1">
        <v>3889.38</v>
      </c>
      <c r="C535" s="1">
        <v>-82.220000000000013</v>
      </c>
      <c r="F535" s="6">
        <v>39711.26</v>
      </c>
      <c r="G535" s="6">
        <v>-1980.68</v>
      </c>
      <c r="H535" s="6">
        <v>-10.49</v>
      </c>
      <c r="I535" s="6">
        <v>239.03</v>
      </c>
      <c r="L535" s="1">
        <v>-0.01</v>
      </c>
      <c r="N535" s="1">
        <v>39930.379999999997</v>
      </c>
      <c r="O535" s="3">
        <f t="shared" si="10"/>
        <v>-6.1299940817827192E-12</v>
      </c>
      <c r="P535" s="1">
        <v>-692.4</v>
      </c>
      <c r="S535" s="1">
        <v>-692.4</v>
      </c>
      <c r="T535" s="3">
        <f t="shared" si="9"/>
        <v>0</v>
      </c>
      <c r="U535" s="1">
        <v>39237.980000000003</v>
      </c>
      <c r="V535" s="1">
        <f>U535-P535-N535-Q535-R535+N535-I536-G536-F536-D535-E535-B535-K536-M535-H536-C535-L535</f>
        <v>-2.1367439068109562E-12</v>
      </c>
    </row>
    <row r="536" spans="1:22" x14ac:dyDescent="0.25">
      <c r="A536" t="s">
        <v>682</v>
      </c>
      <c r="B536" s="95">
        <v>5818.56</v>
      </c>
      <c r="D536" s="95">
        <v>54.86</v>
      </c>
      <c r="F536" s="1">
        <v>37354.04</v>
      </c>
      <c r="G536" s="1">
        <v>-1004.63</v>
      </c>
      <c r="H536" s="1">
        <v>-227.16</v>
      </c>
      <c r="I536" s="1">
        <v>0.98</v>
      </c>
      <c r="O536" s="3">
        <f t="shared" si="10"/>
        <v>-53846.09</v>
      </c>
      <c r="P536" s="95">
        <v>-997.63</v>
      </c>
      <c r="T536" s="3">
        <f t="shared" ref="T536:T599" si="11">S536-R536-Q536-P536</f>
        <v>997.63</v>
      </c>
    </row>
    <row r="537" spans="1:22" x14ac:dyDescent="0.25">
      <c r="A537" t="s">
        <v>683</v>
      </c>
      <c r="B537" s="95">
        <v>3768.06</v>
      </c>
      <c r="E537" s="95">
        <v>217.12</v>
      </c>
      <c r="F537" s="95">
        <v>49017.11</v>
      </c>
      <c r="G537" s="95">
        <v>-1116.8000000000002</v>
      </c>
      <c r="I537" s="95">
        <v>72.36</v>
      </c>
      <c r="O537" s="3">
        <f t="shared" si="10"/>
        <v>-3985.18</v>
      </c>
      <c r="P537" s="95">
        <v>-453.46</v>
      </c>
      <c r="T537" s="3">
        <f t="shared" si="11"/>
        <v>453.46</v>
      </c>
    </row>
    <row r="538" spans="1:22" x14ac:dyDescent="0.25">
      <c r="A538" t="s">
        <v>684</v>
      </c>
      <c r="B538" s="95">
        <v>3963.59</v>
      </c>
      <c r="E538" s="95">
        <v>30.09</v>
      </c>
      <c r="M538" s="95">
        <v>14001.920000000002</v>
      </c>
      <c r="O538" s="3">
        <f t="shared" si="10"/>
        <v>-72635.409999999989</v>
      </c>
      <c r="P538" s="95">
        <v>-440.58</v>
      </c>
      <c r="R538" s="95">
        <v>2129.92</v>
      </c>
      <c r="T538" s="3">
        <f t="shared" si="11"/>
        <v>-1689.3400000000001</v>
      </c>
    </row>
    <row r="539" spans="1:22" x14ac:dyDescent="0.25">
      <c r="A539" t="s">
        <v>685</v>
      </c>
      <c r="B539" s="95">
        <v>4295.5200000000004</v>
      </c>
      <c r="F539" s="95">
        <v>55453.57</v>
      </c>
      <c r="G539" s="95">
        <v>-830.38</v>
      </c>
      <c r="I539" s="95">
        <v>16.619999999999997</v>
      </c>
      <c r="N539" s="95">
        <v>155071.65</v>
      </c>
      <c r="O539" s="3">
        <f t="shared" si="10"/>
        <v>130466.68000000001</v>
      </c>
      <c r="P539" s="95">
        <v>-635.48</v>
      </c>
      <c r="Q539" s="95">
        <v>-260.02</v>
      </c>
      <c r="S539" s="95">
        <v>-657.25</v>
      </c>
      <c r="T539" s="3">
        <f t="shared" si="11"/>
        <v>238.25</v>
      </c>
      <c r="U539" s="95">
        <v>154414.39999999999</v>
      </c>
      <c r="V539" s="3">
        <f>U539-P539-N539-Q539-R539+N539-I540-G540-F540-D539-E539-B539-B536-D536-F537-G537-I537-M538-R538-R537-Q538-Q537-P537-P538-K539-K538-I538-G538-F538-E538-E537-B538-B537-M537-D537-D538-M539-H538-C537-H540-K540-C538-L537-F539-G539-I539-P536</f>
        <v>7.8443918027915061E-12</v>
      </c>
    </row>
    <row r="540" spans="1:22" x14ac:dyDescent="0.25">
      <c r="A540" t="s">
        <v>686</v>
      </c>
      <c r="B540" s="2">
        <v>4476.79</v>
      </c>
      <c r="F540" s="95">
        <v>21697.559999999998</v>
      </c>
      <c r="G540" s="95">
        <v>-1420.8</v>
      </c>
      <c r="H540" s="95">
        <v>-39.17</v>
      </c>
      <c r="I540" s="95">
        <v>71.86</v>
      </c>
      <c r="N540" s="2">
        <v>43381.26</v>
      </c>
      <c r="O540" s="3">
        <f t="shared" si="10"/>
        <v>-6.3664629124104977E-12</v>
      </c>
      <c r="P540" s="2">
        <v>-225.21</v>
      </c>
      <c r="S540" s="2">
        <v>-225.21</v>
      </c>
      <c r="T540" s="3">
        <f t="shared" si="11"/>
        <v>0</v>
      </c>
      <c r="U540" s="2">
        <v>43156.05</v>
      </c>
      <c r="V540" s="1">
        <f>U540-P540-N540-Q540-R540+N540-I541-G541-F541-D540-E540-B540-K541-M540-H541-C540-L540</f>
        <v>-2.8705926524708048E-12</v>
      </c>
    </row>
    <row r="541" spans="1:22" x14ac:dyDescent="0.25">
      <c r="A541" t="s">
        <v>687</v>
      </c>
      <c r="B541" s="48">
        <v>3055.03</v>
      </c>
      <c r="C541" s="48">
        <v>-82.220000000000013</v>
      </c>
      <c r="E541" s="48">
        <v>55.800000000000004</v>
      </c>
      <c r="F541" s="2">
        <v>39722.060000000005</v>
      </c>
      <c r="G541" s="2">
        <v>-737.66</v>
      </c>
      <c r="H541" s="2">
        <v>-87.09</v>
      </c>
      <c r="I541" s="2">
        <v>7.16</v>
      </c>
      <c r="N541" s="48">
        <v>55022.86</v>
      </c>
      <c r="O541" s="3">
        <f t="shared" si="10"/>
        <v>0</v>
      </c>
      <c r="P541" s="48">
        <v>-1285.4000000000001</v>
      </c>
      <c r="Q541" s="48">
        <v>-258.68</v>
      </c>
      <c r="S541" s="48">
        <v>-1544.08</v>
      </c>
      <c r="T541" s="3">
        <f t="shared" si="11"/>
        <v>0</v>
      </c>
      <c r="U541" s="48">
        <v>53478.78</v>
      </c>
      <c r="V541" s="1">
        <f>U541-P541-N541-Q541-R541+N541-I542-G542-F542-D541-E541-B541-K542-M541-H542-C541-L541</f>
        <v>2.1316282072803006E-13</v>
      </c>
    </row>
    <row r="542" spans="1:22" x14ac:dyDescent="0.25">
      <c r="A542" t="s">
        <v>688</v>
      </c>
      <c r="B542" s="6">
        <v>5394.29</v>
      </c>
      <c r="C542" s="6">
        <v>-85.86</v>
      </c>
      <c r="E542" s="6">
        <v>7.76</v>
      </c>
      <c r="F542" s="48">
        <v>52370.520000000004</v>
      </c>
      <c r="G542" s="48">
        <v>-487.3</v>
      </c>
      <c r="I542" s="48">
        <v>111.03</v>
      </c>
      <c r="N542" s="6">
        <v>60810.76</v>
      </c>
      <c r="O542" s="3">
        <f t="shared" si="10"/>
        <v>1.8189894035458565E-12</v>
      </c>
      <c r="P542" s="6">
        <v>-1427.19</v>
      </c>
      <c r="Q542" s="6">
        <v>-259.92</v>
      </c>
      <c r="S542" s="6">
        <v>-1687.11</v>
      </c>
      <c r="T542" s="3">
        <f t="shared" si="11"/>
        <v>0</v>
      </c>
      <c r="U542" s="6">
        <v>59123.65</v>
      </c>
      <c r="V542" s="1">
        <f>U542-P542-N542-Q542-R542+N542-I543-G543-F543-D542-E542-B542-K543-M542-H543-C542-L542</f>
        <v>1.5774048733874224E-12</v>
      </c>
    </row>
    <row r="543" spans="1:22" x14ac:dyDescent="0.25">
      <c r="A543" t="s">
        <v>689</v>
      </c>
      <c r="B543" s="37">
        <v>7023.63</v>
      </c>
      <c r="F543" s="6">
        <v>56541.71</v>
      </c>
      <c r="G543" s="6">
        <v>-1103.71</v>
      </c>
      <c r="H543" s="6">
        <v>-38.860000000000007</v>
      </c>
      <c r="I543" s="6">
        <v>95.429999999999993</v>
      </c>
      <c r="O543" s="3">
        <f t="shared" si="10"/>
        <v>-50860.09</v>
      </c>
      <c r="P543" s="37">
        <v>-1273.32</v>
      </c>
      <c r="Q543" s="37">
        <v>-388.89</v>
      </c>
      <c r="T543" s="3">
        <f t="shared" si="11"/>
        <v>1662.21</v>
      </c>
    </row>
    <row r="544" spans="1:22" x14ac:dyDescent="0.25">
      <c r="A544" t="s">
        <v>690</v>
      </c>
      <c r="B544" s="37">
        <v>3650.16</v>
      </c>
      <c r="F544" s="37">
        <v>44034.65</v>
      </c>
      <c r="G544" s="96">
        <v>-125.17</v>
      </c>
      <c r="H544" s="96">
        <v>-73.02</v>
      </c>
      <c r="O544" s="3">
        <f t="shared" si="10"/>
        <v>-3650.16</v>
      </c>
      <c r="P544" s="37">
        <v>-564.69000000000005</v>
      </c>
      <c r="T544" s="3">
        <f t="shared" si="11"/>
        <v>564.69000000000005</v>
      </c>
    </row>
    <row r="545" spans="1:22" x14ac:dyDescent="0.25">
      <c r="A545" t="s">
        <v>691</v>
      </c>
      <c r="B545" s="37">
        <v>5868.3899999999994</v>
      </c>
      <c r="M545" s="37">
        <v>13022.49</v>
      </c>
      <c r="N545" s="37">
        <v>107091.25</v>
      </c>
      <c r="O545" s="3">
        <f t="shared" si="10"/>
        <v>54510.250000000007</v>
      </c>
      <c r="P545" s="37">
        <v>-246.39</v>
      </c>
      <c r="R545" s="37">
        <v>1949.58</v>
      </c>
      <c r="S545" s="37">
        <v>-523.71</v>
      </c>
      <c r="T545" s="3">
        <f t="shared" si="11"/>
        <v>-2226.9</v>
      </c>
      <c r="U545" s="37">
        <v>106567.54</v>
      </c>
      <c r="V545" s="3">
        <f>U545-P545-N545-Q545-R545+N545-I546-G546-F546-D545-E545-B545-M544-R544-R543-Q544-Q543-P543-P544-K545-K544-I544-G544-F544-E544-E543-B544-B543-M543-D543-D544-M545-H544-C543-H546-K546-C544-L543</f>
        <v>1.3784529073745944E-12</v>
      </c>
    </row>
    <row r="546" spans="1:22" x14ac:dyDescent="0.25">
      <c r="A546" t="s">
        <v>692</v>
      </c>
      <c r="B546" s="35">
        <v>9974.34</v>
      </c>
      <c r="E546" s="35">
        <v>50.05</v>
      </c>
      <c r="F546" s="37">
        <v>34154.39</v>
      </c>
      <c r="G546" s="37">
        <v>-498.36</v>
      </c>
      <c r="H546" s="3"/>
      <c r="I546" s="37">
        <v>34.089999999999996</v>
      </c>
      <c r="N546" s="35">
        <v>65837.87</v>
      </c>
      <c r="O546" s="3">
        <f t="shared" si="10"/>
        <v>7.2759576141834259E-12</v>
      </c>
      <c r="P546" s="35">
        <v>-520.66</v>
      </c>
      <c r="S546" s="35">
        <v>-520.66</v>
      </c>
      <c r="T546" s="3">
        <f t="shared" si="11"/>
        <v>0</v>
      </c>
      <c r="U546" s="35">
        <v>65317.21</v>
      </c>
      <c r="V546" s="1">
        <f>U546-P546-N546-Q546-R546+N546-I547-G547-F547-D546-E546-B546-K547-M546-H547-C546-L546</f>
        <v>3.780087354243733E-12</v>
      </c>
    </row>
    <row r="547" spans="1:22" x14ac:dyDescent="0.25">
      <c r="A547" t="s">
        <v>693</v>
      </c>
      <c r="B547" s="82">
        <v>12920.55</v>
      </c>
      <c r="F547" s="35">
        <v>56633.63</v>
      </c>
      <c r="G547" s="35">
        <v>-737.28000000000009</v>
      </c>
      <c r="H547" s="35">
        <v>-128.91</v>
      </c>
      <c r="I547" s="35">
        <v>46.04</v>
      </c>
      <c r="N547" s="82">
        <v>58471.76</v>
      </c>
      <c r="O547" s="3">
        <f t="shared" si="10"/>
        <v>-3.637978807091713E-12</v>
      </c>
      <c r="P547" s="82">
        <v>-664.39</v>
      </c>
      <c r="S547" s="82">
        <v>-664.39</v>
      </c>
      <c r="T547" s="3">
        <f t="shared" si="11"/>
        <v>0</v>
      </c>
      <c r="U547" s="82">
        <v>57807.37</v>
      </c>
      <c r="V547" s="1">
        <f>U547-P547-N547-Q547-R547+N547-I548-G548-F548-D547-E547-B547-K548-M547-H548-C547-L547</f>
        <v>-3.637978807091713E-12</v>
      </c>
    </row>
    <row r="548" spans="1:22" x14ac:dyDescent="0.25">
      <c r="A548" t="s">
        <v>694</v>
      </c>
      <c r="B548" s="89">
        <v>10612.689999999999</v>
      </c>
      <c r="F548" s="82">
        <v>45993.490000000005</v>
      </c>
      <c r="G548" s="82">
        <v>-571.82000000000005</v>
      </c>
      <c r="H548" s="82">
        <v>-1.75</v>
      </c>
      <c r="I548" s="82">
        <v>131.29</v>
      </c>
      <c r="N548" s="89">
        <v>55199.49</v>
      </c>
      <c r="O548" s="3">
        <f t="shared" si="10"/>
        <v>-3.637978807091713E-12</v>
      </c>
      <c r="P548" s="89">
        <v>-618.65</v>
      </c>
      <c r="Q548" s="89">
        <v>-12.47</v>
      </c>
      <c r="S548" s="89">
        <v>-631.12</v>
      </c>
      <c r="T548" s="3">
        <f t="shared" si="11"/>
        <v>0</v>
      </c>
      <c r="U548" s="89">
        <v>54568.37</v>
      </c>
      <c r="V548" s="1">
        <f>U548-P548-N548-Q548-R548+N548-I549-G549-F549-D548-E548-B548-K549-M548-H549-C548-L548</f>
        <v>3.3537617127876729E-12</v>
      </c>
    </row>
    <row r="549" spans="1:22" x14ac:dyDescent="0.25">
      <c r="A549" t="s">
        <v>695</v>
      </c>
      <c r="B549" s="31">
        <v>18971.16</v>
      </c>
      <c r="E549" s="31">
        <v>56.519999999999996</v>
      </c>
      <c r="F549" s="89">
        <v>45983.5</v>
      </c>
      <c r="G549" s="89">
        <v>-1284.52</v>
      </c>
      <c r="H549" s="89">
        <v>-112.18</v>
      </c>
      <c r="N549" s="31">
        <v>77386.679999999993</v>
      </c>
      <c r="O549" s="3">
        <f t="shared" si="10"/>
        <v>-7.2759576141834259E-12</v>
      </c>
      <c r="P549" s="31">
        <v>-1313.88</v>
      </c>
      <c r="Q549" s="31">
        <v>-129.25</v>
      </c>
      <c r="S549" s="31">
        <v>-1443.13</v>
      </c>
      <c r="T549" s="3">
        <f t="shared" si="11"/>
        <v>0</v>
      </c>
      <c r="U549" s="31">
        <v>75943.55</v>
      </c>
      <c r="V549" s="1">
        <f>U549-P549-N549-Q549-R549+N549-I550-G550-F550-D549-E549-B549-K550-M549-H550-C549-L549</f>
        <v>7.2759576141834259E-12</v>
      </c>
    </row>
    <row r="550" spans="1:22" x14ac:dyDescent="0.25">
      <c r="A550" t="s">
        <v>696</v>
      </c>
      <c r="B550" s="95">
        <v>8304.5299999999988</v>
      </c>
      <c r="E550" s="95">
        <v>25.9</v>
      </c>
      <c r="F550" s="31">
        <v>68938.240000000005</v>
      </c>
      <c r="G550" s="31">
        <v>-10539.49</v>
      </c>
      <c r="H550" s="31">
        <v>-39.75</v>
      </c>
      <c r="O550" s="3">
        <f t="shared" si="10"/>
        <v>-56137.47</v>
      </c>
      <c r="P550" s="95">
        <v>-778.86</v>
      </c>
      <c r="T550" s="3">
        <f t="shared" si="11"/>
        <v>778.86</v>
      </c>
    </row>
    <row r="551" spans="1:22" x14ac:dyDescent="0.25">
      <c r="A551" t="s">
        <v>697</v>
      </c>
      <c r="B551" s="95">
        <v>15032.789999999999</v>
      </c>
      <c r="F551" s="95">
        <v>48185.29</v>
      </c>
      <c r="G551" s="95">
        <v>-353.65</v>
      </c>
      <c r="H551" s="95">
        <v>-24.6</v>
      </c>
      <c r="O551" s="3">
        <f t="shared" ref="O551:O561" si="12">N551-K552-I552-H552-G552-F552-E552-D551-C551-B551-M551-L551</f>
        <v>-15036.21</v>
      </c>
      <c r="P551" s="95">
        <v>-759.51</v>
      </c>
      <c r="T551" s="3">
        <f t="shared" si="11"/>
        <v>759.51</v>
      </c>
    </row>
    <row r="552" spans="1:22" x14ac:dyDescent="0.25">
      <c r="A552" t="s">
        <v>698</v>
      </c>
      <c r="B552" s="95">
        <v>12823.640000000001</v>
      </c>
      <c r="E552" s="95">
        <v>3.42</v>
      </c>
      <c r="M552" s="95">
        <v>69769.429999999993</v>
      </c>
      <c r="N552" s="95">
        <v>300184.03999999998</v>
      </c>
      <c r="O552" s="3">
        <f t="shared" si="12"/>
        <v>71173.679999999993</v>
      </c>
      <c r="P552" s="95">
        <v>-427.76</v>
      </c>
      <c r="Q552" s="95">
        <v>-226.26</v>
      </c>
      <c r="R552" s="95">
        <v>9728.09</v>
      </c>
      <c r="S552" s="95">
        <v>7535.7</v>
      </c>
      <c r="T552" s="3">
        <f t="shared" si="11"/>
        <v>-1538.3700000000003</v>
      </c>
      <c r="U552" s="95">
        <v>307719.74</v>
      </c>
      <c r="V552" s="3">
        <f>U552-P552-N552-Q552-R552+N552-I553-G553-F553-D552-E552-B552-M551-R551-R550-Q551-Q550-P550-P551-K552-K551-I551-G551-F551-E551-E550-B551-B550-M550-D550-D551-M552-H551-C550-H553-K553-C551-L550</f>
        <v>-1.5717205315013416E-11</v>
      </c>
    </row>
    <row r="553" spans="1:22" x14ac:dyDescent="0.25">
      <c r="A553" t="s">
        <v>699</v>
      </c>
      <c r="B553" s="2">
        <v>29926.87</v>
      </c>
      <c r="C553" s="2">
        <v>-92.86</v>
      </c>
      <c r="F553" s="95">
        <v>148286.94</v>
      </c>
      <c r="G553" s="95">
        <v>-1811.53</v>
      </c>
      <c r="H553" s="95">
        <v>-58.12</v>
      </c>
      <c r="N553" s="2">
        <v>70480.03</v>
      </c>
      <c r="O553" s="3">
        <f t="shared" si="12"/>
        <v>1.0913936421275139E-11</v>
      </c>
      <c r="P553" s="2">
        <v>-389.8</v>
      </c>
      <c r="S553" s="2">
        <v>-389.8</v>
      </c>
      <c r="T553" s="3">
        <f t="shared" si="11"/>
        <v>0</v>
      </c>
      <c r="U553" s="2">
        <v>70090.23</v>
      </c>
      <c r="V553" s="1">
        <f>U553-P553-N553-Q553-R553+N553-I554-G554-F554-D553-E553-B553-K554-M553-H554-C553-L553</f>
        <v>3.3537617127876729E-12</v>
      </c>
    </row>
    <row r="554" spans="1:22" x14ac:dyDescent="0.25">
      <c r="A554" t="s">
        <v>700</v>
      </c>
      <c r="B554" s="72">
        <v>16129.26</v>
      </c>
      <c r="D554" s="72">
        <v>28.5</v>
      </c>
      <c r="F554" s="2">
        <v>43568.509999999995</v>
      </c>
      <c r="G554" s="2">
        <v>-2858.51</v>
      </c>
      <c r="H554" s="2">
        <v>-115.57000000000001</v>
      </c>
      <c r="I554" s="2">
        <v>51.59</v>
      </c>
      <c r="L554" s="72">
        <v>-0.04</v>
      </c>
      <c r="N554" s="72">
        <v>114045.17</v>
      </c>
      <c r="O554" s="3">
        <f t="shared" si="12"/>
        <v>-1.3606039905855738E-11</v>
      </c>
      <c r="P554" s="72">
        <v>-299.52</v>
      </c>
      <c r="S554" s="72">
        <v>-299.52</v>
      </c>
      <c r="T554" s="3">
        <f t="shared" si="11"/>
        <v>0</v>
      </c>
      <c r="U554" s="72">
        <v>113745.65</v>
      </c>
      <c r="V554" s="1">
        <f>U554-P554-N554-Q554-R554+N554-I555-G555-F555-D554-E554-B554-K555-M554-H555-C554-L554</f>
        <v>-6.6214048133339531E-12</v>
      </c>
    </row>
    <row r="555" spans="1:22" x14ac:dyDescent="0.25">
      <c r="A555" t="s">
        <v>701</v>
      </c>
      <c r="B555" s="93">
        <v>13736.66</v>
      </c>
      <c r="F555" s="72">
        <v>98397</v>
      </c>
      <c r="G555" s="72">
        <v>-525.20000000000005</v>
      </c>
      <c r="H555" s="72">
        <v>-10.18</v>
      </c>
      <c r="I555" s="72">
        <v>25.830000000000002</v>
      </c>
      <c r="L555" s="93">
        <v>-0.09</v>
      </c>
      <c r="N555" s="93">
        <v>69963.27</v>
      </c>
      <c r="O555" s="3">
        <f t="shared" si="12"/>
        <v>1.4406392745414109E-11</v>
      </c>
      <c r="P555" s="93">
        <v>-886.56</v>
      </c>
      <c r="S555" s="93">
        <v>-886.56</v>
      </c>
      <c r="T555" s="3">
        <f t="shared" si="11"/>
        <v>0</v>
      </c>
      <c r="U555" s="93">
        <v>69076.710000000006</v>
      </c>
      <c r="V555" s="1">
        <f>U555-P555-N555-Q555-R555+N555-I556-G556-F556-D555-E555-B555-K556-M555-H556-C555-L555</f>
        <v>1.0331430155829935E-11</v>
      </c>
    </row>
    <row r="556" spans="1:22" x14ac:dyDescent="0.25">
      <c r="A556" t="s">
        <v>702</v>
      </c>
      <c r="B556" s="38">
        <v>22021.440000000002</v>
      </c>
      <c r="D556" s="38">
        <v>90.29</v>
      </c>
      <c r="F556" s="93">
        <v>56453.35</v>
      </c>
      <c r="G556" s="93">
        <v>-221.57</v>
      </c>
      <c r="H556" s="93">
        <v>-19.27</v>
      </c>
      <c r="I556" s="93">
        <v>14.19</v>
      </c>
      <c r="L556" s="38">
        <v>-0.05</v>
      </c>
      <c r="N556" s="38">
        <v>42845.24</v>
      </c>
      <c r="O556" s="3">
        <f t="shared" si="12"/>
        <v>7.2759853697590415E-13</v>
      </c>
      <c r="P556" s="38">
        <v>-517.29999999999995</v>
      </c>
      <c r="Q556" s="38">
        <v>-130.19999999999999</v>
      </c>
      <c r="S556" s="38">
        <v>-647.5</v>
      </c>
      <c r="T556" s="3">
        <f t="shared" si="11"/>
        <v>0</v>
      </c>
      <c r="U556" s="38">
        <v>42197.74</v>
      </c>
      <c r="V556" s="1">
        <f>U556-P556-N556-Q556-R556+N556-I557-G557-F557-D556-E556-B556-K557-M556-H557-C556-L556</f>
        <v>-1.2903428325827804E-12</v>
      </c>
    </row>
    <row r="557" spans="1:22" x14ac:dyDescent="0.25">
      <c r="A557" t="s">
        <v>703</v>
      </c>
      <c r="B557" s="46">
        <v>11345.18</v>
      </c>
      <c r="F557" s="38">
        <v>23272.3</v>
      </c>
      <c r="G557" s="38">
        <v>-2347.23</v>
      </c>
      <c r="H557" s="38">
        <v>-191.51000000000002</v>
      </c>
      <c r="O557" s="3">
        <f t="shared" si="12"/>
        <v>-29930.01</v>
      </c>
      <c r="P557" s="46">
        <v>-340.94</v>
      </c>
      <c r="T557" s="3">
        <f t="shared" si="11"/>
        <v>340.94</v>
      </c>
    </row>
    <row r="558" spans="1:22" x14ac:dyDescent="0.25">
      <c r="A558" t="s">
        <v>704</v>
      </c>
      <c r="B558" s="46">
        <v>13386.2</v>
      </c>
      <c r="F558" s="46">
        <v>19195.629999999997</v>
      </c>
      <c r="G558" s="46">
        <v>-654.15</v>
      </c>
      <c r="I558" s="46">
        <v>43.35</v>
      </c>
      <c r="O558" s="3">
        <f t="shared" si="12"/>
        <v>-13386.2</v>
      </c>
      <c r="P558" s="46">
        <v>-160.63999999999999</v>
      </c>
      <c r="T558" s="3">
        <f t="shared" si="11"/>
        <v>160.63999999999999</v>
      </c>
    </row>
    <row r="559" spans="1:22" x14ac:dyDescent="0.25">
      <c r="A559" t="s">
        <v>705</v>
      </c>
      <c r="B559" s="46">
        <v>5677.75</v>
      </c>
      <c r="M559" s="46">
        <v>51189.27</v>
      </c>
      <c r="N559" s="46">
        <v>126435.71</v>
      </c>
      <c r="O559" s="3">
        <f t="shared" si="12"/>
        <v>43316.21</v>
      </c>
      <c r="P559" s="46">
        <v>-0.25</v>
      </c>
      <c r="R559" s="46">
        <v>2205.37</v>
      </c>
      <c r="S559" s="46">
        <v>1703.54</v>
      </c>
      <c r="T559" s="3">
        <f t="shared" si="11"/>
        <v>-501.57999999999993</v>
      </c>
      <c r="U559" s="46">
        <v>128139.25</v>
      </c>
      <c r="V559" s="3">
        <f>U559-P559-N559-Q559-R559+N559-I560-G560-F560-D559-E559-B559-M558-R558-R557-Q558-Q557-P557-P558-K559-K558-I558-G558-F558-E558-E557-B558-B557-M557-D557-D558-M559-H558-C557-H560-K560-C558-L557</f>
        <v>0</v>
      </c>
    </row>
    <row r="560" spans="1:22" x14ac:dyDescent="0.25">
      <c r="A560" t="s">
        <v>706</v>
      </c>
      <c r="B560" s="89">
        <v>9674.5500000000011</v>
      </c>
      <c r="C560" s="89">
        <v>-95.410000000000011</v>
      </c>
      <c r="F560" s="46">
        <v>27272.850000000002</v>
      </c>
      <c r="G560" s="46">
        <v>-1020.37</v>
      </c>
      <c r="N560" s="89">
        <v>29434.77</v>
      </c>
      <c r="O560" s="3">
        <f t="shared" si="12"/>
        <v>-5.4569682106375694E-12</v>
      </c>
      <c r="P560" s="89">
        <v>-645.75</v>
      </c>
      <c r="Q560" s="89">
        <v>-129.35</v>
      </c>
      <c r="S560" s="89">
        <v>-775.1</v>
      </c>
      <c r="T560" s="3">
        <f t="shared" si="11"/>
        <v>0</v>
      </c>
      <c r="U560" s="89">
        <v>28659.67</v>
      </c>
      <c r="V560" s="1">
        <f>U560-P560-N560-Q560-R560+N560-I561-G561-F561-D560-E560-B560-K561-M560-H561-C560-L560</f>
        <v>-7.1906924858922139E-12</v>
      </c>
    </row>
    <row r="561" spans="1:22" x14ac:dyDescent="0.25">
      <c r="A561" t="s">
        <v>707</v>
      </c>
      <c r="B561" s="33">
        <v>11858.369999999999</v>
      </c>
      <c r="F561" s="89">
        <v>20653.510000000002</v>
      </c>
      <c r="G561" s="89">
        <v>-723.20999999999992</v>
      </c>
      <c r="H561" s="89">
        <v>-116.17</v>
      </c>
      <c r="I561" s="89">
        <v>41.5</v>
      </c>
      <c r="N561" s="33">
        <v>69673.009999999995</v>
      </c>
      <c r="O561" s="3">
        <f t="shared" si="12"/>
        <v>-1.0913936421275139E-11</v>
      </c>
      <c r="P561" s="33">
        <v>-344.09</v>
      </c>
      <c r="S561" s="33">
        <v>-344.09</v>
      </c>
      <c r="T561" s="3">
        <f t="shared" si="11"/>
        <v>0</v>
      </c>
      <c r="U561" s="33">
        <v>69328.92</v>
      </c>
      <c r="V561" s="1">
        <f>U561-P561-N561-Q561-R561+N561-I562-G562-F562-D561-E561-B561-K562-M561-H562-C561-L561</f>
        <v>-1.0913936421275139E-11</v>
      </c>
    </row>
    <row r="562" spans="1:22" x14ac:dyDescent="0.25">
      <c r="A562" t="s">
        <v>708</v>
      </c>
      <c r="B562" s="32">
        <v>7796.9199999999992</v>
      </c>
      <c r="D562" s="32">
        <v>95.490000000000009</v>
      </c>
      <c r="F562" s="33">
        <v>58376.71</v>
      </c>
      <c r="G562" s="33">
        <v>-571.95000000000005</v>
      </c>
      <c r="I562" s="33">
        <v>9.8800000000000008</v>
      </c>
      <c r="N562" s="32">
        <v>72661.84</v>
      </c>
      <c r="O562" s="3">
        <f t="shared" ref="O562:O593" si="13">N562-K563-I563-H563-G563-F563-E562-D562-C562-B562-M562-L562</f>
        <v>4.5474735088646412E-12</v>
      </c>
      <c r="P562" s="32">
        <v>-703.83</v>
      </c>
      <c r="S562" s="32">
        <v>-703.83</v>
      </c>
      <c r="T562" s="3">
        <f t="shared" si="11"/>
        <v>0</v>
      </c>
      <c r="U562" s="32">
        <v>71958.009999999995</v>
      </c>
      <c r="V562" s="1">
        <f>U562-P562-N562-Q562-R562+N562-I563-G563-F563-D562-E562-B562-K563-M562-H563-C562-L562</f>
        <v>3.922195901395753E-12</v>
      </c>
    </row>
    <row r="563" spans="1:22" x14ac:dyDescent="0.25">
      <c r="A563" t="s">
        <v>709</v>
      </c>
      <c r="B563" s="72">
        <v>7192.4699999999993</v>
      </c>
      <c r="C563" s="72">
        <v>-93.07</v>
      </c>
      <c r="E563" s="72">
        <v>552.04</v>
      </c>
      <c r="F563" s="32">
        <v>65909.929999999993</v>
      </c>
      <c r="G563" s="32">
        <v>-697.09</v>
      </c>
      <c r="H563" s="32">
        <v>-448.35999999999996</v>
      </c>
      <c r="I563" s="32">
        <v>4.95</v>
      </c>
      <c r="N563" s="72">
        <v>43369.67</v>
      </c>
      <c r="O563" s="3">
        <f t="shared" si="13"/>
        <v>2.7284841053187847E-12</v>
      </c>
      <c r="P563" s="72">
        <v>-492.02</v>
      </c>
      <c r="S563" s="72">
        <v>-492.02</v>
      </c>
      <c r="T563" s="3">
        <f t="shared" si="11"/>
        <v>0</v>
      </c>
      <c r="U563" s="72">
        <v>42877.65</v>
      </c>
      <c r="V563" s="1">
        <f>U563-P563-N563-Q563-R563+N563-I564-G564-F564-D563-E563-B563-K564-M563-H564-C563-L563</f>
        <v>3.0127011996228248E-12</v>
      </c>
    </row>
    <row r="564" spans="1:22" x14ac:dyDescent="0.25">
      <c r="A564" t="s">
        <v>710</v>
      </c>
      <c r="B564" s="11">
        <v>4858.33</v>
      </c>
      <c r="E564" s="11">
        <v>44.14</v>
      </c>
      <c r="F564" s="72">
        <v>36530.629999999997</v>
      </c>
      <c r="G564" s="72">
        <v>-877.24</v>
      </c>
      <c r="I564" s="72">
        <v>64.84</v>
      </c>
      <c r="O564" s="3">
        <f t="shared" si="13"/>
        <v>-35829.93</v>
      </c>
      <c r="P564" s="11">
        <v>-1136.93</v>
      </c>
      <c r="T564" s="3">
        <f t="shared" si="11"/>
        <v>1136.93</v>
      </c>
    </row>
    <row r="565" spans="1:22" x14ac:dyDescent="0.25">
      <c r="A565" t="s">
        <v>711</v>
      </c>
      <c r="B565" s="11">
        <v>7364.0999999999995</v>
      </c>
      <c r="C565" s="11">
        <v>-53.71</v>
      </c>
      <c r="F565" s="11">
        <v>31418.55</v>
      </c>
      <c r="G565" s="11">
        <v>-491.09000000000003</v>
      </c>
      <c r="O565" s="3">
        <f t="shared" si="13"/>
        <v>-7310.3899999999994</v>
      </c>
      <c r="P565" s="11">
        <v>-261.14999999999998</v>
      </c>
      <c r="T565" s="3">
        <f t="shared" si="11"/>
        <v>261.14999999999998</v>
      </c>
    </row>
    <row r="566" spans="1:22" x14ac:dyDescent="0.25">
      <c r="A566" t="s">
        <v>712</v>
      </c>
      <c r="B566" s="11">
        <v>10685.140000000001</v>
      </c>
      <c r="M566" s="11">
        <v>23592.58</v>
      </c>
      <c r="O566" s="3">
        <f t="shared" si="13"/>
        <v>-60859</v>
      </c>
      <c r="P566" s="11">
        <v>-430.96</v>
      </c>
      <c r="R566" s="11">
        <v>1718.68</v>
      </c>
      <c r="T566" s="3">
        <f t="shared" si="11"/>
        <v>-1287.72</v>
      </c>
    </row>
    <row r="567" spans="1:22" x14ac:dyDescent="0.25">
      <c r="A567" t="s">
        <v>713</v>
      </c>
      <c r="B567" s="11">
        <v>11334.1</v>
      </c>
      <c r="F567" s="11">
        <v>27161.339999999997</v>
      </c>
      <c r="G567" s="11">
        <v>-703.01</v>
      </c>
      <c r="I567" s="11">
        <v>122.95</v>
      </c>
      <c r="N567" s="11">
        <v>167730.89000000001</v>
      </c>
      <c r="O567" s="3">
        <f t="shared" si="13"/>
        <v>103999.32</v>
      </c>
      <c r="P567" s="11">
        <v>-108.39</v>
      </c>
      <c r="Q567" s="11">
        <v>-248.1</v>
      </c>
      <c r="S567" s="11">
        <v>-466.85</v>
      </c>
      <c r="T567" s="3">
        <f t="shared" si="11"/>
        <v>-110.36000000000003</v>
      </c>
      <c r="U567" s="11">
        <v>167264.04</v>
      </c>
    </row>
    <row r="568" spans="1:22" x14ac:dyDescent="0.25">
      <c r="A568" t="s">
        <v>714</v>
      </c>
      <c r="B568" s="49">
        <v>12384.62</v>
      </c>
      <c r="F568" s="11">
        <v>52826.559999999998</v>
      </c>
      <c r="G568" s="11">
        <v>-415.56</v>
      </c>
      <c r="H568" s="11">
        <v>-74.61999999999999</v>
      </c>
      <c r="I568" s="11">
        <v>61.09</v>
      </c>
      <c r="N568" s="49">
        <v>37066.5</v>
      </c>
      <c r="O568" s="3">
        <f t="shared" si="13"/>
        <v>-5.4569682106375694E-12</v>
      </c>
      <c r="P568" s="49">
        <v>-231.68</v>
      </c>
      <c r="S568" s="49">
        <v>-231.68</v>
      </c>
      <c r="T568" s="3">
        <f t="shared" si="11"/>
        <v>0</v>
      </c>
      <c r="U568" s="49">
        <v>36834.82</v>
      </c>
      <c r="V568" s="3">
        <f>U568-P568-N568-Q568-R568+N568-I569-G569-F569-D568-E568-B568-K569-M568-H569-C568-L568</f>
        <v>-3.1281643941838411E-12</v>
      </c>
    </row>
    <row r="569" spans="1:22" x14ac:dyDescent="0.25">
      <c r="A569" t="s">
        <v>715</v>
      </c>
      <c r="B569" s="38">
        <v>14491.56</v>
      </c>
      <c r="C569" s="38">
        <v>-184.35000000000002</v>
      </c>
      <c r="D569" s="38">
        <v>83.06</v>
      </c>
      <c r="F569" s="49">
        <v>24879.11</v>
      </c>
      <c r="G569" s="49">
        <v>-215.89</v>
      </c>
      <c r="H569" s="49">
        <v>-11.81</v>
      </c>
      <c r="I569" s="49">
        <v>30.47</v>
      </c>
      <c r="N569" s="38">
        <v>61202.080000000002</v>
      </c>
      <c r="O569" s="3">
        <f t="shared" si="13"/>
        <v>5.4569682106375694E-12</v>
      </c>
      <c r="P569" s="38">
        <v>-1227.3800000000001</v>
      </c>
      <c r="Q569" s="38">
        <v>-875.26</v>
      </c>
      <c r="S569" s="38">
        <v>-2102.64</v>
      </c>
      <c r="T569" s="3">
        <f t="shared" si="11"/>
        <v>0</v>
      </c>
      <c r="U569" s="38">
        <v>59099.44</v>
      </c>
      <c r="V569" s="3">
        <f>U569-P569-N569-Q569-R569+N569-I570-G570-F570-D569-E569-B569-K570-M569-H570-C569-L569</f>
        <v>3.950617610826157E-12</v>
      </c>
    </row>
    <row r="570" spans="1:22" x14ac:dyDescent="0.25">
      <c r="A570" t="s">
        <v>716</v>
      </c>
      <c r="B570" s="95">
        <v>6222.81</v>
      </c>
      <c r="D570" s="95">
        <v>164.44000000000003</v>
      </c>
      <c r="F570" s="38">
        <v>47268.9</v>
      </c>
      <c r="G570" s="38">
        <v>-499.19</v>
      </c>
      <c r="H570" s="38">
        <v>-9.7200000000000006</v>
      </c>
      <c r="I570" s="38">
        <v>51.82</v>
      </c>
      <c r="L570" s="95">
        <v>-0.01</v>
      </c>
      <c r="N570" s="95">
        <v>48320.91</v>
      </c>
      <c r="O570" s="3">
        <f t="shared" si="13"/>
        <v>1.251464730456231E-11</v>
      </c>
      <c r="P570" s="95">
        <v>-1082.24</v>
      </c>
      <c r="S570" s="95">
        <v>-1082.24</v>
      </c>
      <c r="T570" s="3">
        <f t="shared" si="11"/>
        <v>0</v>
      </c>
      <c r="U570" s="95">
        <v>47238.67</v>
      </c>
      <c r="V570" s="3">
        <f>U570-P570-N570-Q570-R570+N570-I571-G571-F571-D570-E570-B570-K571-M570-H571-C570-L570</f>
        <v>2.0372505765697824E-12</v>
      </c>
    </row>
    <row r="571" spans="1:22" x14ac:dyDescent="0.25">
      <c r="A571" t="s">
        <v>717</v>
      </c>
      <c r="B571" s="37">
        <v>4176.3899999999994</v>
      </c>
      <c r="F571" s="95">
        <v>42279.27</v>
      </c>
      <c r="G571" s="95">
        <v>-356.4</v>
      </c>
      <c r="H571" s="95">
        <v>-1.98</v>
      </c>
      <c r="I571" s="95">
        <v>12.78</v>
      </c>
      <c r="O571" s="3">
        <f t="shared" si="13"/>
        <v>-17889.879999999997</v>
      </c>
      <c r="P571" s="37">
        <v>-1456.77</v>
      </c>
      <c r="T571" s="3">
        <f t="shared" si="11"/>
        <v>1456.77</v>
      </c>
    </row>
    <row r="572" spans="1:22" x14ac:dyDescent="0.25">
      <c r="A572" t="s">
        <v>718</v>
      </c>
      <c r="B572" s="37">
        <v>7218.3</v>
      </c>
      <c r="E572" s="37">
        <v>20.709999999999997</v>
      </c>
      <c r="F572" s="37">
        <v>15475.82</v>
      </c>
      <c r="G572" s="37">
        <v>-1693.5900000000001</v>
      </c>
      <c r="H572" s="37">
        <v>-103.35</v>
      </c>
      <c r="I572" s="37">
        <v>34.61</v>
      </c>
      <c r="M572" s="37">
        <v>18132.39</v>
      </c>
      <c r="O572" s="3">
        <f t="shared" si="13"/>
        <v>-25371.4</v>
      </c>
      <c r="P572" s="37">
        <v>-788.01</v>
      </c>
      <c r="R572" s="37">
        <v>2040.95</v>
      </c>
      <c r="T572" s="3">
        <f t="shared" si="11"/>
        <v>-1252.94</v>
      </c>
    </row>
    <row r="573" spans="1:22" x14ac:dyDescent="0.25">
      <c r="A573" t="s">
        <v>719</v>
      </c>
      <c r="B573" s="37">
        <v>873.67</v>
      </c>
      <c r="E573" s="37">
        <v>89.46</v>
      </c>
      <c r="F573" s="3"/>
      <c r="G573" s="3"/>
      <c r="N573" s="37">
        <v>78209.009999999995</v>
      </c>
      <c r="O573" s="3">
        <f t="shared" si="13"/>
        <v>43261.279999999999</v>
      </c>
      <c r="P573" s="37">
        <v>-650.69000000000005</v>
      </c>
      <c r="S573" s="37">
        <v>-854.52</v>
      </c>
      <c r="T573" s="3">
        <f t="shared" si="11"/>
        <v>-203.82999999999993</v>
      </c>
      <c r="U573" s="37">
        <v>77354.490000000005</v>
      </c>
      <c r="V573" s="3">
        <f>U573-P573-N573-Q573-R573+N573-I574-G574-F574-D573-E573-B573-M572-R572-R571-Q572-Q571-P571-P572-K573-K572-I572-G572-F572-E572-E571-B572-B571-M571-D571-D572-M573-H572-C571-H574-K574-C572-L571</f>
        <v>1.1453948900452815E-11</v>
      </c>
    </row>
    <row r="574" spans="1:22" x14ac:dyDescent="0.25">
      <c r="A574" t="s">
        <v>720</v>
      </c>
      <c r="B574" s="6">
        <v>5565.54</v>
      </c>
      <c r="F574" s="37">
        <v>35784.82</v>
      </c>
      <c r="G574" s="37">
        <v>-1800.22</v>
      </c>
      <c r="N574" s="6">
        <v>50477.46</v>
      </c>
      <c r="O574" s="3">
        <f t="shared" si="13"/>
        <v>9.0949470177292824E-13</v>
      </c>
      <c r="P574" s="6">
        <v>-853.58</v>
      </c>
      <c r="S574" s="6">
        <v>-853.58</v>
      </c>
      <c r="T574" s="3">
        <f t="shared" si="11"/>
        <v>0</v>
      </c>
      <c r="U574" s="6">
        <v>49623.88</v>
      </c>
      <c r="V574" s="1">
        <f>U574-P574-N574-Q574-R574+N574-I575-G575-F575-D574-E574-B574-K575-M574-H575-C574-L574</f>
        <v>-1.9895196601282805E-12</v>
      </c>
    </row>
    <row r="575" spans="1:22" x14ac:dyDescent="0.25">
      <c r="A575" t="s">
        <v>721</v>
      </c>
      <c r="B575" s="34">
        <v>7459.61</v>
      </c>
      <c r="F575" s="6">
        <v>46628.22</v>
      </c>
      <c r="G575" s="6">
        <v>-1468.11</v>
      </c>
      <c r="H575" s="6">
        <v>-269.05</v>
      </c>
      <c r="I575" s="6">
        <v>20.86</v>
      </c>
      <c r="N575" s="34">
        <v>31426.720000000001</v>
      </c>
      <c r="O575" s="3">
        <f t="shared" si="13"/>
        <v>9.0949470177292824E-13</v>
      </c>
      <c r="P575" s="34">
        <v>-539.41999999999996</v>
      </c>
      <c r="S575" s="34">
        <v>-539.41999999999996</v>
      </c>
      <c r="T575" s="3">
        <f t="shared" si="11"/>
        <v>0</v>
      </c>
      <c r="U575" s="34">
        <v>30887.3</v>
      </c>
      <c r="V575" s="1">
        <f>U575-P575-N575-Q575-R575+N575-I576-G576-F576-D575-E575-B575-K576-M575-H576-C575-L575</f>
        <v>-2.4442670110147446E-12</v>
      </c>
    </row>
    <row r="576" spans="1:22" x14ac:dyDescent="0.25">
      <c r="A576" t="s">
        <v>722</v>
      </c>
      <c r="B576" s="82">
        <v>7003.07</v>
      </c>
      <c r="F576" s="34">
        <v>24726.55</v>
      </c>
      <c r="G576" s="34">
        <v>-597.37</v>
      </c>
      <c r="H576" s="34">
        <v>-162.07</v>
      </c>
      <c r="N576" s="82">
        <v>56267.78</v>
      </c>
      <c r="O576" s="3">
        <f t="shared" si="13"/>
        <v>0</v>
      </c>
      <c r="P576" s="82">
        <v>-1393.31</v>
      </c>
      <c r="Q576" s="82">
        <v>-125.73</v>
      </c>
      <c r="S576" s="82">
        <v>-1519.04</v>
      </c>
      <c r="T576" s="3">
        <f t="shared" si="11"/>
        <v>0</v>
      </c>
      <c r="U576" s="82">
        <v>54748.74</v>
      </c>
      <c r="V576" s="1">
        <f>U576-P576-N576-Q576-R576+N576-I577-G577-F577-D576-E576-B576-K577-M576-H577-C576-L576</f>
        <v>-2.3305801732931286E-12</v>
      </c>
    </row>
    <row r="577" spans="1:22" x14ac:dyDescent="0.25">
      <c r="A577" t="s">
        <v>723</v>
      </c>
      <c r="B577" s="30">
        <v>4629.37</v>
      </c>
      <c r="E577" s="30">
        <v>9.8999999999999986</v>
      </c>
      <c r="F577" s="82">
        <v>57169.67</v>
      </c>
      <c r="G577" s="82">
        <v>-7780.0199999999995</v>
      </c>
      <c r="H577" s="82">
        <v>-124.94</v>
      </c>
      <c r="N577" s="30">
        <v>41940.99</v>
      </c>
      <c r="O577" s="3">
        <f t="shared" si="13"/>
        <v>-2.7284841053187847E-12</v>
      </c>
      <c r="P577" s="30">
        <v>-1218.6099999999999</v>
      </c>
      <c r="S577" s="30">
        <v>-1218.6099999999999</v>
      </c>
      <c r="T577" s="3">
        <f t="shared" si="11"/>
        <v>0</v>
      </c>
      <c r="U577" s="30">
        <v>40722.379999999997</v>
      </c>
      <c r="V577" s="1">
        <f>U577-P577-N577-Q577-R577+N577-I578-G578-F578-D577-E577-B577-K578-M577-H578-C577-L577</f>
        <v>1.8163248682867561E-13</v>
      </c>
    </row>
    <row r="578" spans="1:22" x14ac:dyDescent="0.25">
      <c r="A578" t="s">
        <v>724</v>
      </c>
      <c r="B578" s="11">
        <v>7214.4699999999993</v>
      </c>
      <c r="F578" s="30">
        <v>37737.71</v>
      </c>
      <c r="G578" s="30">
        <v>-522.15000000000009</v>
      </c>
      <c r="H578" s="30">
        <v>-3.6999999999999997</v>
      </c>
      <c r="I578" s="30">
        <v>89.86</v>
      </c>
      <c r="O578" s="3">
        <f t="shared" si="13"/>
        <v>-28371.329999999994</v>
      </c>
      <c r="P578" s="11">
        <v>-200.56</v>
      </c>
      <c r="T578" s="3">
        <f t="shared" si="11"/>
        <v>200.56</v>
      </c>
    </row>
    <row r="579" spans="1:22" x14ac:dyDescent="0.25">
      <c r="A579" t="s">
        <v>725</v>
      </c>
      <c r="B579" s="11">
        <v>5717.95</v>
      </c>
      <c r="F579" s="11">
        <v>21575.19</v>
      </c>
      <c r="G579" s="11">
        <v>-347.98</v>
      </c>
      <c r="H579" s="11">
        <v>-87.97</v>
      </c>
      <c r="I579" s="11">
        <v>17.62</v>
      </c>
      <c r="M579" s="97">
        <v>46848.639999999999</v>
      </c>
      <c r="O579" s="3">
        <f t="shared" si="13"/>
        <v>-52566.59</v>
      </c>
      <c r="P579" s="11">
        <v>-526.76</v>
      </c>
      <c r="T579" s="3">
        <f t="shared" si="11"/>
        <v>526.76</v>
      </c>
    </row>
    <row r="580" spans="1:22" x14ac:dyDescent="0.25">
      <c r="A580" t="s">
        <v>726</v>
      </c>
      <c r="B580" s="11">
        <v>5853.17</v>
      </c>
      <c r="N580" s="11">
        <v>142355.60999999999</v>
      </c>
      <c r="O580" s="3">
        <f t="shared" si="13"/>
        <v>80937.919999999998</v>
      </c>
      <c r="P580" s="11">
        <v>-624.29</v>
      </c>
      <c r="Q580" s="11">
        <v>-248.06</v>
      </c>
      <c r="R580" s="11">
        <v>9680.66</v>
      </c>
      <c r="S580" s="11">
        <v>8080.99</v>
      </c>
      <c r="T580" s="3">
        <f t="shared" si="11"/>
        <v>-727.32000000000016</v>
      </c>
      <c r="U580" s="11">
        <v>150436.6</v>
      </c>
      <c r="V580" s="3">
        <f>U580-P580-N580-Q580-R580+N580-I581-G581-F581-D580-E580-B580-M579-R579-R578-Q579-Q578-P578-P579-K580-K579-I579-G579-F579-E579-E578-B579-B578-M578-D578-D579-M580-H579-C578-H581-K581-C579-L578</f>
        <v>3.5029756872972939E-11</v>
      </c>
    </row>
    <row r="581" spans="1:22" x14ac:dyDescent="0.25">
      <c r="A581" t="s">
        <v>727</v>
      </c>
      <c r="B581" s="9">
        <v>39414.5</v>
      </c>
      <c r="E581" s="9">
        <v>1.84</v>
      </c>
      <c r="F581" s="11">
        <v>56538.71</v>
      </c>
      <c r="G581" s="11">
        <v>-970.25</v>
      </c>
      <c r="H581" s="11">
        <v>47.7</v>
      </c>
      <c r="I581" s="11">
        <v>-51.64</v>
      </c>
      <c r="N581" s="9">
        <v>113575.45</v>
      </c>
      <c r="O581" s="3">
        <f t="shared" si="13"/>
        <v>0</v>
      </c>
      <c r="P581" s="9">
        <v>-544.21</v>
      </c>
      <c r="S581" s="9">
        <v>-544.21</v>
      </c>
      <c r="T581" s="3">
        <f t="shared" si="11"/>
        <v>0</v>
      </c>
      <c r="U581" s="9">
        <v>113031.24</v>
      </c>
      <c r="V581" s="1">
        <f>U581-P581-N581-Q581-R581+N581-I582-G582-F582-D581-E581-B581-K582-M581-H582-C581-L581</f>
        <v>1.1641354547009541E-11</v>
      </c>
    </row>
    <row r="582" spans="1:22" x14ac:dyDescent="0.25">
      <c r="A582" t="s">
        <v>728</v>
      </c>
      <c r="B582" s="98">
        <v>20336.489999999998</v>
      </c>
      <c r="F582" s="9">
        <v>75165.78</v>
      </c>
      <c r="G582" s="9">
        <v>-1018.62</v>
      </c>
      <c r="H582" s="9">
        <v>-5.55</v>
      </c>
      <c r="I582" s="9">
        <v>17.5</v>
      </c>
      <c r="N582" s="98">
        <v>93546.46</v>
      </c>
      <c r="O582" s="3">
        <f t="shared" si="13"/>
        <v>7.2759576141834259E-12</v>
      </c>
      <c r="P582" s="98">
        <v>-505.49</v>
      </c>
      <c r="S582" s="98">
        <v>-505.49</v>
      </c>
      <c r="T582" s="3">
        <f t="shared" si="11"/>
        <v>0</v>
      </c>
      <c r="U582" s="98">
        <v>93040.97</v>
      </c>
      <c r="V582" s="1">
        <f>U582-P582-N582-Q582-R582+N582-I583-G583-F583-D582-E582-B582-K583-M582-H583-C582-L582</f>
        <v>9.6065377874765545E-12</v>
      </c>
    </row>
    <row r="583" spans="1:22" x14ac:dyDescent="0.25">
      <c r="A583" t="s">
        <v>729</v>
      </c>
      <c r="B583" s="30">
        <v>12249.869999999999</v>
      </c>
      <c r="F583" s="98">
        <v>73797.52</v>
      </c>
      <c r="G583" s="98">
        <v>-508.91</v>
      </c>
      <c r="H583" s="98">
        <v>-138.31</v>
      </c>
      <c r="I583" s="98">
        <v>59.67</v>
      </c>
      <c r="N583" s="30">
        <v>76339.73</v>
      </c>
      <c r="O583" s="3">
        <f t="shared" si="13"/>
        <v>3.637978807091713E-12</v>
      </c>
      <c r="P583" s="30">
        <v>-532.91</v>
      </c>
      <c r="Q583" s="30">
        <v>-124.42</v>
      </c>
      <c r="S583" s="30">
        <v>-657.33</v>
      </c>
      <c r="T583" s="3">
        <f t="shared" si="11"/>
        <v>0</v>
      </c>
      <c r="U583" s="38">
        <v>75682.399999999994</v>
      </c>
      <c r="V583" s="1">
        <f>U583-P583-N583-Q583-R583+N583-I584-G584-F584-D583-E583-B583-K584-M583-H584-C583-L583</f>
        <v>1.5631940186722204E-13</v>
      </c>
    </row>
    <row r="584" spans="1:22" x14ac:dyDescent="0.25">
      <c r="A584" t="s">
        <v>730</v>
      </c>
      <c r="B584" s="56">
        <v>23943.13</v>
      </c>
      <c r="F584" s="30">
        <v>64634.29</v>
      </c>
      <c r="G584" s="30">
        <v>-454.27</v>
      </c>
      <c r="H584" s="30">
        <v>-90.160000000000011</v>
      </c>
      <c r="N584" s="56">
        <v>65499.85</v>
      </c>
      <c r="O584" s="3">
        <f t="shared" si="13"/>
        <v>-1.0913936421275139E-11</v>
      </c>
      <c r="P584" s="56">
        <v>-770.11</v>
      </c>
      <c r="S584" s="56">
        <v>-770.11</v>
      </c>
      <c r="T584" s="3">
        <f t="shared" si="11"/>
        <v>0</v>
      </c>
      <c r="U584" s="56">
        <v>64729.74</v>
      </c>
      <c r="V584" s="1">
        <f>U584-P584-N584-Q584-R584+N584-I585-G585-F585-D584-E584-B584-K585-M584-H585-C584-L584</f>
        <v>-1.0913936421275139E-11</v>
      </c>
    </row>
    <row r="585" spans="1:22" x14ac:dyDescent="0.25">
      <c r="A585" t="s">
        <v>731</v>
      </c>
      <c r="B585" s="57">
        <v>27197.170000000002</v>
      </c>
      <c r="F585" s="56">
        <v>42052.89</v>
      </c>
      <c r="G585" s="56">
        <v>-584.72</v>
      </c>
      <c r="I585" s="56">
        <v>88.55</v>
      </c>
      <c r="L585" s="57">
        <v>-7.0000000000000007E-2</v>
      </c>
      <c r="O585" s="3">
        <f t="shared" si="13"/>
        <v>-61523.850000000013</v>
      </c>
      <c r="P585" s="57">
        <v>-441.16</v>
      </c>
      <c r="Q585" s="57">
        <v>-248.56</v>
      </c>
      <c r="T585" s="3">
        <f t="shared" si="11"/>
        <v>689.72</v>
      </c>
    </row>
    <row r="586" spans="1:22" x14ac:dyDescent="0.25">
      <c r="A586" t="s">
        <v>732</v>
      </c>
      <c r="B586" s="57">
        <v>14604.42</v>
      </c>
      <c r="E586" s="57">
        <v>115.24</v>
      </c>
      <c r="F586" s="57">
        <v>54823.630000000005</v>
      </c>
      <c r="G586" s="57">
        <v>-860.38</v>
      </c>
      <c r="H586" s="57">
        <v>-19809.579999999998</v>
      </c>
      <c r="I586" s="57">
        <v>173.08</v>
      </c>
      <c r="M586" s="57">
        <v>22301.83</v>
      </c>
      <c r="O586" s="3">
        <f t="shared" si="13"/>
        <v>-37021.490000000005</v>
      </c>
      <c r="P586" s="57">
        <v>-174.45</v>
      </c>
      <c r="Q586" s="57">
        <v>-342.71</v>
      </c>
      <c r="R586" s="57">
        <v>2347.36</v>
      </c>
      <c r="T586" s="3">
        <f t="shared" si="11"/>
        <v>-1830.2</v>
      </c>
    </row>
    <row r="587" spans="1:22" x14ac:dyDescent="0.25">
      <c r="A587" t="s">
        <v>733</v>
      </c>
      <c r="B587" s="57">
        <v>8628.4599999999991</v>
      </c>
      <c r="N587" s="57">
        <v>169052.81</v>
      </c>
      <c r="O587" s="3">
        <f t="shared" si="13"/>
        <v>98545.34</v>
      </c>
      <c r="P587" s="57">
        <v>-87.62</v>
      </c>
      <c r="Q587" s="57">
        <v>-154.47</v>
      </c>
      <c r="S587" s="57">
        <v>898.39</v>
      </c>
      <c r="T587" s="3">
        <f t="shared" si="11"/>
        <v>1140.48</v>
      </c>
      <c r="U587" s="57">
        <v>169951.2</v>
      </c>
      <c r="V587" s="3">
        <f>U587-P587-N587-Q587-R587+N587-I588-G588-F588-D587-E587-B587-M586-R586-R585-Q586-Q585-P585-P586-K587-K586-I586-G586-F586-E586-E585-B586-B585-M585-D585-D586-M587-H586-C585-H588-K588-C586-L585</f>
        <v>1.3251344466169712E-11</v>
      </c>
    </row>
    <row r="588" spans="1:22" x14ac:dyDescent="0.25">
      <c r="A588" t="s">
        <v>734</v>
      </c>
      <c r="B588" s="2">
        <v>5102.92</v>
      </c>
      <c r="E588" s="2">
        <v>113.92</v>
      </c>
      <c r="F588" s="57">
        <v>64161.61</v>
      </c>
      <c r="G588" s="57">
        <v>-2133.5700000000002</v>
      </c>
      <c r="H588" s="57">
        <v>-201.74</v>
      </c>
      <c r="I588" s="57">
        <v>52.71</v>
      </c>
      <c r="L588" s="2">
        <v>-0.05</v>
      </c>
      <c r="N588" s="2">
        <v>35514.870000000003</v>
      </c>
      <c r="O588" s="3">
        <f t="shared" si="13"/>
        <v>4.3655773440676171E-12</v>
      </c>
      <c r="P588" s="2">
        <v>-609.97</v>
      </c>
      <c r="S588" s="2">
        <v>-609.97</v>
      </c>
      <c r="T588" s="3">
        <f t="shared" si="11"/>
        <v>0</v>
      </c>
      <c r="U588" s="2">
        <v>34904.9</v>
      </c>
      <c r="V588" s="1">
        <f>U588-P588-N588-Q588-R588+N588-I589-G589-F589-D588-E588-B588-K589-M588-H589-C588-L588</f>
        <v>4.3655773440676171E-12</v>
      </c>
    </row>
    <row r="589" spans="1:22" x14ac:dyDescent="0.25">
      <c r="A589" t="s">
        <v>735</v>
      </c>
      <c r="B589" s="37">
        <v>3972</v>
      </c>
      <c r="E589" s="37">
        <v>34.58</v>
      </c>
      <c r="F589" s="2">
        <v>30936.76</v>
      </c>
      <c r="G589" s="2">
        <v>-619.59999999999991</v>
      </c>
      <c r="H589" s="2">
        <v>-51.25</v>
      </c>
      <c r="I589" s="2">
        <v>32.169999999999995</v>
      </c>
      <c r="N589" s="37">
        <v>68040.63</v>
      </c>
      <c r="O589" s="3">
        <f t="shared" si="13"/>
        <v>1.8189894035458565E-12</v>
      </c>
      <c r="P589" s="37">
        <v>-323.05</v>
      </c>
      <c r="S589" s="37">
        <v>-323.05</v>
      </c>
      <c r="T589" s="3">
        <f t="shared" si="11"/>
        <v>0</v>
      </c>
      <c r="U589" s="37">
        <v>67717.58</v>
      </c>
      <c r="V589" s="1">
        <f>U589-P589-N589-Q589-R589+N589-I590-G590-F590-D589-E589-B589-K590-M589-H590-C589-L589</f>
        <v>1.8189894035458565E-12</v>
      </c>
    </row>
    <row r="590" spans="1:22" x14ac:dyDescent="0.25">
      <c r="A590" t="s">
        <v>736</v>
      </c>
      <c r="B590" s="13">
        <v>6089.31</v>
      </c>
      <c r="F590" s="37">
        <v>65436.789999999994</v>
      </c>
      <c r="G590" s="37">
        <v>-1450.1499999999999</v>
      </c>
      <c r="I590" s="37">
        <v>47.41</v>
      </c>
      <c r="N590" s="13">
        <v>38136.480000000003</v>
      </c>
      <c r="O590" s="3">
        <f t="shared" si="13"/>
        <v>8.1854523159563541E-12</v>
      </c>
      <c r="P590" s="13">
        <v>-212.24</v>
      </c>
      <c r="S590" s="13">
        <v>-212.24</v>
      </c>
      <c r="T590" s="3">
        <f t="shared" si="11"/>
        <v>0</v>
      </c>
      <c r="U590" s="13">
        <v>37924.239999999998</v>
      </c>
      <c r="V590" s="1">
        <f>U590-P590-N590-Q590-R590+N590-I591-G591-F591-D590-E590-B590-K591-M590-H591-C590-L590</f>
        <v>9.0949470177292824E-13</v>
      </c>
    </row>
    <row r="591" spans="1:22" x14ac:dyDescent="0.25">
      <c r="A591" t="s">
        <v>737</v>
      </c>
      <c r="B591" s="99">
        <v>3369.94</v>
      </c>
      <c r="F591" s="13">
        <v>32701.929999999997</v>
      </c>
      <c r="G591" s="13">
        <v>-654.76</v>
      </c>
      <c r="N591" s="99">
        <v>64889.98</v>
      </c>
      <c r="O591" s="3">
        <f t="shared" si="13"/>
        <v>-5.0022208597511053E-12</v>
      </c>
      <c r="P591" s="99">
        <v>-462.29</v>
      </c>
      <c r="S591" s="99">
        <v>-462.29</v>
      </c>
      <c r="T591" s="3">
        <f t="shared" si="11"/>
        <v>0</v>
      </c>
      <c r="U591" s="99">
        <v>64427.69</v>
      </c>
      <c r="V591" s="1">
        <f>U591-P591-N591-Q591-R591+N591-I592-G592-F592-D591-E591-B591-K592-M591-H592-C591-L591</f>
        <v>-3.5456082514428999E-12</v>
      </c>
    </row>
    <row r="592" spans="1:22" x14ac:dyDescent="0.25">
      <c r="A592" t="s">
        <v>738</v>
      </c>
      <c r="B592" s="90">
        <v>3732.09</v>
      </c>
      <c r="C592" s="90">
        <v>-91.6</v>
      </c>
      <c r="D592" s="90">
        <v>91.6</v>
      </c>
      <c r="F592" s="99">
        <v>42452.5</v>
      </c>
      <c r="G592" s="99">
        <v>-673.84</v>
      </c>
      <c r="H592" s="99">
        <v>-32.85</v>
      </c>
      <c r="I592" s="99">
        <v>19774.23</v>
      </c>
      <c r="O592" s="3">
        <f t="shared" si="13"/>
        <v>-70900.469999999987</v>
      </c>
      <c r="P592" s="90">
        <v>-385.35</v>
      </c>
      <c r="T592" s="3">
        <f t="shared" si="11"/>
        <v>385.35</v>
      </c>
    </row>
    <row r="593" spans="1:22" x14ac:dyDescent="0.25">
      <c r="A593" t="s">
        <v>739</v>
      </c>
      <c r="B593" s="90">
        <v>6092.21</v>
      </c>
      <c r="C593" s="90">
        <v>-112.69</v>
      </c>
      <c r="F593" s="90">
        <v>68438.45</v>
      </c>
      <c r="G593" s="90">
        <v>-1289.4000000000001</v>
      </c>
      <c r="I593" s="90">
        <v>19.330000000000002</v>
      </c>
      <c r="M593" s="90">
        <v>15790.000000000002</v>
      </c>
      <c r="O593" s="3">
        <f t="shared" si="13"/>
        <v>-21769.520000000004</v>
      </c>
      <c r="P593" s="90">
        <v>-555.41</v>
      </c>
      <c r="R593" s="90">
        <v>1926.6299999999999</v>
      </c>
      <c r="T593" s="3">
        <f t="shared" si="11"/>
        <v>-1371.2199999999998</v>
      </c>
    </row>
    <row r="594" spans="1:22" x14ac:dyDescent="0.25">
      <c r="A594" t="s">
        <v>740</v>
      </c>
      <c r="B594" s="90">
        <v>1679.07</v>
      </c>
      <c r="N594" s="90">
        <v>185070.83</v>
      </c>
      <c r="O594" s="3">
        <f t="shared" ref="O594:O625" si="14">N594-K595-I595-H595-G595-F595-E594-D594-C594-B594-M594-L594</f>
        <v>92669.989999999976</v>
      </c>
      <c r="P594" s="90">
        <v>-39.31</v>
      </c>
      <c r="S594" s="90">
        <v>946.56</v>
      </c>
      <c r="T594" s="3">
        <f t="shared" si="11"/>
        <v>985.86999999999989</v>
      </c>
      <c r="U594" s="90">
        <v>186017.39</v>
      </c>
      <c r="V594" s="3">
        <f>U594-P594-N594-Q594-R594+N594-I595-G595-F595-D594-E594-B594-M593-R593-R592-Q593-Q592-P592-P593-K594-K593-I593-G593-F593-E593-E592-B593-B592-M592-D592-D593-M594-H593-C592-H595-K595-C593-L592</f>
        <v>-1.2434497875801753E-11</v>
      </c>
    </row>
    <row r="595" spans="1:22" x14ac:dyDescent="0.25">
      <c r="A595" t="s">
        <v>741</v>
      </c>
      <c r="B595" s="89">
        <v>3046.96</v>
      </c>
      <c r="E595" s="89">
        <v>94.23</v>
      </c>
      <c r="F595" s="90">
        <v>91440.27</v>
      </c>
      <c r="G595" s="90">
        <v>-633.56000000000006</v>
      </c>
      <c r="H595" s="90">
        <v>-97.42</v>
      </c>
      <c r="I595" s="90">
        <v>12.48</v>
      </c>
      <c r="N595" s="89">
        <v>72545.649999999994</v>
      </c>
      <c r="O595" s="3">
        <f t="shared" si="14"/>
        <v>-1.2278178473934531E-11</v>
      </c>
      <c r="P595" s="89">
        <v>-578.78</v>
      </c>
      <c r="S595" s="89">
        <v>-578.78</v>
      </c>
      <c r="T595" s="3">
        <f t="shared" si="11"/>
        <v>0</v>
      </c>
      <c r="U595" s="89">
        <v>71966.87</v>
      </c>
      <c r="V595" s="1">
        <f>U595-P595-N595-Q595-R595+N595-I596-G596-F596-D595-E595-B595-K596-M595-H596-C595-L595</f>
        <v>-1.1114664744127367E-11</v>
      </c>
    </row>
    <row r="596" spans="1:22" x14ac:dyDescent="0.25">
      <c r="A596" t="s">
        <v>742</v>
      </c>
      <c r="B596" s="11">
        <v>2898.29</v>
      </c>
      <c r="F596" s="89">
        <v>70836.740000000005</v>
      </c>
      <c r="G596" s="89">
        <v>-1456.5700000000002</v>
      </c>
      <c r="H596" s="89">
        <v>-11.03</v>
      </c>
      <c r="I596" s="89">
        <v>35.32</v>
      </c>
      <c r="N596" s="100">
        <v>33442.36</v>
      </c>
      <c r="O596" s="3">
        <f t="shared" si="14"/>
        <v>9.0949470177292824E-13</v>
      </c>
      <c r="P596" s="101">
        <v>-280.43</v>
      </c>
      <c r="S596" s="101">
        <v>-280.43</v>
      </c>
      <c r="T596" s="3">
        <f t="shared" si="11"/>
        <v>0</v>
      </c>
      <c r="U596" s="100">
        <v>33161.93</v>
      </c>
      <c r="V596" s="1">
        <f>U596-P596-N596-Q596-R596+N596-I597-G597-F597-D596-E596-B596-K597-M596-H597-C596-L596</f>
        <v>1.2079226507921703E-12</v>
      </c>
    </row>
    <row r="597" spans="1:22" x14ac:dyDescent="0.25">
      <c r="A597" t="s">
        <v>743</v>
      </c>
      <c r="B597" s="72">
        <v>4371.78</v>
      </c>
      <c r="F597" s="11">
        <v>31983.739999999998</v>
      </c>
      <c r="G597" s="11">
        <v>-1368.7</v>
      </c>
      <c r="H597" s="11">
        <v>-93.570000000000007</v>
      </c>
      <c r="I597" s="11">
        <v>22.599999999999998</v>
      </c>
      <c r="N597" s="72">
        <v>79476.36</v>
      </c>
      <c r="O597" s="3">
        <f t="shared" si="14"/>
        <v>-9.0949470177292824E-13</v>
      </c>
      <c r="P597" s="72">
        <v>-775.28</v>
      </c>
      <c r="S597" s="72">
        <v>-775.28</v>
      </c>
      <c r="T597" s="3">
        <f t="shared" si="11"/>
        <v>0</v>
      </c>
      <c r="U597" s="72">
        <v>78701.08</v>
      </c>
      <c r="V597" s="1">
        <f>U597-P597-N597-Q597-R597+N597-I598-G598-F598-D597-E597-B597-K598-M597-H598-C597-L597</f>
        <v>3.1690206014900468E-12</v>
      </c>
    </row>
    <row r="598" spans="1:22" x14ac:dyDescent="0.25">
      <c r="A598" t="s">
        <v>744</v>
      </c>
      <c r="B598" s="102">
        <v>3354.99</v>
      </c>
      <c r="E598" s="102">
        <v>4.3599999999999994</v>
      </c>
      <c r="F598" s="72">
        <v>75098.31</v>
      </c>
      <c r="G598" s="72">
        <v>-370.95</v>
      </c>
      <c r="H598" s="72">
        <v>-101.23</v>
      </c>
      <c r="I598" s="72">
        <v>478.45</v>
      </c>
      <c r="N598" s="102">
        <v>27790.61</v>
      </c>
      <c r="O598" s="3">
        <f t="shared" si="14"/>
        <v>-1.3642420526593924E-12</v>
      </c>
      <c r="P598" s="102">
        <v>-796.49</v>
      </c>
      <c r="Q598" s="102">
        <v>-125.96</v>
      </c>
      <c r="S598" s="102">
        <v>-922.45</v>
      </c>
      <c r="T598" s="3">
        <f t="shared" si="11"/>
        <v>0</v>
      </c>
      <c r="U598" s="102">
        <v>26868.16</v>
      </c>
      <c r="V598" s="1">
        <f>U598-P598-N598-Q598-R598+N598-I599-G599-F599-D598-E598-B598-K599-M598-H599-C598-L598</f>
        <v>-2.6751934001367772E-12</v>
      </c>
    </row>
    <row r="599" spans="1:22" x14ac:dyDescent="0.25">
      <c r="A599" t="s">
        <v>745</v>
      </c>
      <c r="B599" s="6">
        <v>4925.6100000000006</v>
      </c>
      <c r="F599" s="102">
        <v>24928.43</v>
      </c>
      <c r="G599" s="102">
        <v>-545.76</v>
      </c>
      <c r="H599" s="102">
        <v>-14.809999999999999</v>
      </c>
      <c r="I599" s="102">
        <v>63.400000000000006</v>
      </c>
      <c r="O599" s="3">
        <f t="shared" si="14"/>
        <v>-18726.589999999997</v>
      </c>
      <c r="P599" s="6">
        <v>-49.94</v>
      </c>
      <c r="Q599" s="6">
        <v>-124.81</v>
      </c>
      <c r="T599" s="3">
        <f t="shared" si="11"/>
        <v>174.75</v>
      </c>
    </row>
    <row r="600" spans="1:22" x14ac:dyDescent="0.25">
      <c r="A600" t="s">
        <v>746</v>
      </c>
      <c r="B600" s="6">
        <v>2589.23</v>
      </c>
      <c r="E600" s="6">
        <v>17.64</v>
      </c>
      <c r="F600" s="6">
        <v>15666.349999999999</v>
      </c>
      <c r="G600" s="6">
        <v>-1790.74</v>
      </c>
      <c r="H600" s="6">
        <v>-90.470000000000013</v>
      </c>
      <c r="I600" s="6">
        <v>15.84</v>
      </c>
      <c r="M600" s="6">
        <v>22414.369999999995</v>
      </c>
      <c r="O600" s="3">
        <f t="shared" si="14"/>
        <v>-25021.239999999994</v>
      </c>
      <c r="P600" s="6">
        <v>-98.16</v>
      </c>
      <c r="Q600" s="6">
        <v>-375.86</v>
      </c>
      <c r="R600" s="6">
        <v>4889.47</v>
      </c>
      <c r="T600" s="3">
        <f t="shared" ref="T600:T663" si="15">S600-R600-Q600-P600</f>
        <v>-4415.4500000000007</v>
      </c>
    </row>
    <row r="601" spans="1:22" x14ac:dyDescent="0.25">
      <c r="A601" t="s">
        <v>747</v>
      </c>
      <c r="B601" s="6">
        <v>1837.22</v>
      </c>
      <c r="N601" s="6">
        <v>185598.41</v>
      </c>
      <c r="O601" s="3">
        <f t="shared" si="14"/>
        <v>43747.829999999987</v>
      </c>
      <c r="P601" s="6">
        <v>-48.28</v>
      </c>
      <c r="S601" s="6">
        <v>4192.42</v>
      </c>
      <c r="T601" s="3">
        <f t="shared" si="15"/>
        <v>4240.7</v>
      </c>
      <c r="U601" s="6">
        <v>189790.83</v>
      </c>
      <c r="V601" s="3">
        <f>U601-P601-N601-Q601-R601+N601-I602-G602-F602-D601-E601-B601-M600-R600-R599-Q600-Q599-P599-P600-K601-K600-I600-G600-F600-E600-E599-B600-B599-M599-D599-D600-M601-H600-C599-H602-K602-C600-L599</f>
        <v>-3.2940761229838245E-11</v>
      </c>
    </row>
    <row r="602" spans="1:22" x14ac:dyDescent="0.25">
      <c r="A602" t="s">
        <v>748</v>
      </c>
      <c r="B602" s="103">
        <v>1298.8400000000001</v>
      </c>
      <c r="C602" s="103">
        <v>-27.869999999999997</v>
      </c>
      <c r="F602" s="6">
        <v>140530.33000000002</v>
      </c>
      <c r="G602" s="6">
        <v>-433.53000000000003</v>
      </c>
      <c r="H602" s="6">
        <v>-92.29</v>
      </c>
      <c r="I602" s="6">
        <v>8.85</v>
      </c>
      <c r="N602" s="104">
        <v>46225.55</v>
      </c>
      <c r="O602" s="3">
        <f t="shared" si="14"/>
        <v>8.1854523159563541E-12</v>
      </c>
      <c r="P602" s="103">
        <v>-779.29</v>
      </c>
      <c r="S602" s="103">
        <v>-779.29</v>
      </c>
      <c r="T602" s="3">
        <f t="shared" si="15"/>
        <v>0</v>
      </c>
      <c r="U602" s="103">
        <v>45446.26</v>
      </c>
      <c r="V602" s="1">
        <f>U602-P602-N602-Q602-R602+N602-I603-G603-F603-D602-E602-B602-K603-M602-H603-C602-L602</f>
        <v>5.9650062667060411E-12</v>
      </c>
    </row>
    <row r="603" spans="1:22" x14ac:dyDescent="0.25">
      <c r="A603" t="s">
        <v>749</v>
      </c>
      <c r="B603" s="56">
        <v>2323.61</v>
      </c>
      <c r="F603" s="103">
        <v>46308.759999999995</v>
      </c>
      <c r="G603" s="103">
        <v>-1349.24</v>
      </c>
      <c r="H603" s="103">
        <v>-4.9400000000000004</v>
      </c>
      <c r="N603" s="56">
        <v>34564.629999999997</v>
      </c>
      <c r="O603" s="3">
        <f t="shared" si="14"/>
        <v>4.5474735088646412E-13</v>
      </c>
      <c r="P603" s="56">
        <v>-719.92</v>
      </c>
      <c r="Q603" s="56">
        <v>-610.70000000000005</v>
      </c>
      <c r="S603" s="56">
        <v>-1330.62</v>
      </c>
      <c r="T603" s="3">
        <f t="shared" si="15"/>
        <v>0</v>
      </c>
      <c r="U603" s="56">
        <v>33234.01</v>
      </c>
      <c r="V603" s="1">
        <f>U603-P603-N603-Q603-R603+N603-I604-G604-F604-D603-E603-B603-K604-M603-H604-C603-L603</f>
        <v>-1.8758328224066645E-12</v>
      </c>
    </row>
    <row r="604" spans="1:22" x14ac:dyDescent="0.25">
      <c r="A604" t="s">
        <v>750</v>
      </c>
      <c r="B604" s="37">
        <v>12683.85</v>
      </c>
      <c r="C604" s="37">
        <v>-91.509999999999991</v>
      </c>
      <c r="F604" s="56">
        <v>33321.049999999996</v>
      </c>
      <c r="G604" s="56">
        <v>-1070.1000000000001</v>
      </c>
      <c r="H604" s="56">
        <v>-59.69</v>
      </c>
      <c r="I604" s="56">
        <v>49.760000000000005</v>
      </c>
      <c r="N604" s="37">
        <v>110027.02</v>
      </c>
      <c r="O604" s="3">
        <f t="shared" si="14"/>
        <v>-3.637978807091713E-12</v>
      </c>
      <c r="P604" s="37">
        <v>-524.48</v>
      </c>
      <c r="Q604" s="37">
        <v>-125.96</v>
      </c>
      <c r="S604" s="37">
        <v>-650.44000000000005</v>
      </c>
      <c r="T604" s="3">
        <f t="shared" si="15"/>
        <v>0</v>
      </c>
      <c r="U604" s="37">
        <v>109376.58</v>
      </c>
      <c r="V604" s="1">
        <f>U604-P604-N604-Q604-R604+N604-I605-G605-F605-D604-E604-B604-K605-M604-H605-C604-L604</f>
        <v>-3.865352482534945E-12</v>
      </c>
    </row>
    <row r="605" spans="1:22" x14ac:dyDescent="0.25">
      <c r="A605" t="s">
        <v>751</v>
      </c>
      <c r="B605" s="89">
        <v>2663.7200000000003</v>
      </c>
      <c r="C605" s="89">
        <v>-51.91</v>
      </c>
      <c r="F605" s="37">
        <v>99067.39</v>
      </c>
      <c r="G605" s="37">
        <v>-1852.5400000000002</v>
      </c>
      <c r="I605" s="37">
        <v>219.83</v>
      </c>
      <c r="N605" s="89">
        <v>38063.33</v>
      </c>
      <c r="O605" s="3">
        <f t="shared" si="14"/>
        <v>-2.7284841053187847E-12</v>
      </c>
      <c r="P605" s="89">
        <v>-1077.29</v>
      </c>
      <c r="S605" s="89">
        <v>-1077.29</v>
      </c>
      <c r="T605" s="3">
        <f t="shared" si="15"/>
        <v>0</v>
      </c>
      <c r="U605" s="89">
        <v>36986.04</v>
      </c>
      <c r="V605" s="1">
        <f>U605-P605-N605-Q605-R605+N605-I606-G606-F606-D605-E605-B605-K606-M605-H606-C605-L605</f>
        <v>-8.3844042819691822E-13</v>
      </c>
    </row>
    <row r="606" spans="1:22" x14ac:dyDescent="0.25">
      <c r="A606" t="s">
        <v>752</v>
      </c>
      <c r="B606" s="2">
        <v>4609.6499999999996</v>
      </c>
      <c r="C606" s="2">
        <v>-90.64</v>
      </c>
      <c r="F606" s="89">
        <v>35829.96</v>
      </c>
      <c r="G606" s="89">
        <v>-519.64</v>
      </c>
      <c r="H606" s="89">
        <v>-5.42</v>
      </c>
      <c r="I606" s="89">
        <v>146.62</v>
      </c>
      <c r="O606" s="3">
        <f t="shared" si="14"/>
        <v>-78302.98</v>
      </c>
      <c r="P606" s="2">
        <v>-852.82</v>
      </c>
      <c r="T606" s="3">
        <f t="shared" si="15"/>
        <v>852.82</v>
      </c>
    </row>
    <row r="607" spans="1:22" x14ac:dyDescent="0.25">
      <c r="A607" t="s">
        <v>753</v>
      </c>
      <c r="B607" s="2">
        <v>2737.48</v>
      </c>
      <c r="E607" s="2">
        <v>72.83</v>
      </c>
      <c r="F607" s="2">
        <v>75558.28</v>
      </c>
      <c r="G607" s="2">
        <v>-1694.15</v>
      </c>
      <c r="H607" s="2">
        <v>-84.5</v>
      </c>
      <c r="I607" s="2">
        <v>4.34</v>
      </c>
      <c r="M607" s="2">
        <v>33960.53</v>
      </c>
      <c r="O607" s="3">
        <f t="shared" si="14"/>
        <v>-36770.839999999997</v>
      </c>
      <c r="P607" s="2">
        <v>-488.84</v>
      </c>
      <c r="T607" s="3">
        <f t="shared" si="15"/>
        <v>488.84</v>
      </c>
    </row>
    <row r="608" spans="1:22" x14ac:dyDescent="0.25">
      <c r="A608" t="s">
        <v>754</v>
      </c>
      <c r="B608" s="2">
        <v>2705.7999999999997</v>
      </c>
      <c r="N608" s="2">
        <v>199700.85</v>
      </c>
      <c r="O608" s="3">
        <f t="shared" si="14"/>
        <v>115073.82</v>
      </c>
      <c r="P608" s="2">
        <v>-414.06</v>
      </c>
      <c r="R608" s="2">
        <v>7895.2</v>
      </c>
      <c r="S608" s="2">
        <v>6139.48</v>
      </c>
      <c r="T608" s="3">
        <f t="shared" si="15"/>
        <v>-1341.6600000000003</v>
      </c>
      <c r="U608" s="2">
        <v>205840.33</v>
      </c>
      <c r="V608" s="3">
        <f>U608-P608-N608-Q608-R608+N608-I609-G609-F609-D608-E608-B608-M607-R607-R606-Q607-Q606-P606-P607-K608-K607-I607-G607-F607-E607-E606-B607-B606-M606-D606-D607-M608-H607-C606-H609-K609-C607-L606</f>
        <v>-2.1245227799226996E-11</v>
      </c>
    </row>
    <row r="609" spans="1:22" x14ac:dyDescent="0.25">
      <c r="A609" t="s">
        <v>755</v>
      </c>
      <c r="B609" s="56">
        <v>4712.32</v>
      </c>
      <c r="C609" s="56">
        <v>-90.64</v>
      </c>
      <c r="F609" s="2">
        <v>85608.2</v>
      </c>
      <c r="G609" s="2">
        <v>-3686.97</v>
      </c>
      <c r="L609" s="56">
        <v>-0.14000000000000001</v>
      </c>
      <c r="N609" s="56">
        <v>60731.05</v>
      </c>
      <c r="O609" s="3">
        <f t="shared" si="14"/>
        <v>8.7675422477673237E-12</v>
      </c>
      <c r="P609" s="56">
        <v>-537.86</v>
      </c>
      <c r="S609" s="56">
        <v>-537.86</v>
      </c>
      <c r="T609" s="3">
        <f t="shared" si="15"/>
        <v>0</v>
      </c>
      <c r="U609" s="56">
        <v>60193.19</v>
      </c>
      <c r="V609" s="1">
        <f>U609-P609-N609-Q609-R609+N609-I610-G610-F610-D609-E609-B609-K610-M609-H610-C609-L609</f>
        <v>6.7069683140630332E-12</v>
      </c>
    </row>
    <row r="610" spans="1:22" x14ac:dyDescent="0.25">
      <c r="A610" t="s">
        <v>756</v>
      </c>
      <c r="B610" s="70">
        <v>7522.8</v>
      </c>
      <c r="C610" s="70">
        <v>-82.220000000000013</v>
      </c>
      <c r="F610" s="56">
        <v>57826.869999999995</v>
      </c>
      <c r="G610" s="56">
        <v>-1536.97</v>
      </c>
      <c r="H610" s="56">
        <v>-212.33</v>
      </c>
      <c r="I610" s="56">
        <v>31.94</v>
      </c>
      <c r="N610" s="70">
        <v>100742.15</v>
      </c>
      <c r="O610" s="3">
        <f t="shared" si="14"/>
        <v>-1.2732925824820995E-11</v>
      </c>
      <c r="P610" s="70">
        <v>-237.48</v>
      </c>
      <c r="S610" s="70">
        <v>-237.48</v>
      </c>
      <c r="T610" s="3">
        <f t="shared" si="15"/>
        <v>0</v>
      </c>
      <c r="U610" s="70">
        <v>100504.67</v>
      </c>
      <c r="V610" s="1">
        <f>U610-P610-N610-Q610-R610+N610-I611-G611-F611-D610-E610-B610-K611-M610-H611-C610-L610</f>
        <v>-1.7635670701565687E-11</v>
      </c>
    </row>
    <row r="611" spans="1:22" x14ac:dyDescent="0.25">
      <c r="A611" t="s">
        <v>757</v>
      </c>
      <c r="B611" s="9">
        <v>7404.43</v>
      </c>
      <c r="F611" s="70">
        <v>97697.590000000011</v>
      </c>
      <c r="G611" s="70">
        <v>-4337.13</v>
      </c>
      <c r="H611" s="70">
        <v>-113.13</v>
      </c>
      <c r="I611" s="70">
        <v>54.24</v>
      </c>
      <c r="L611" s="9">
        <v>-0.06</v>
      </c>
      <c r="M611" s="9">
        <v>21259.55</v>
      </c>
      <c r="N611" s="9">
        <v>79010.539999999994</v>
      </c>
      <c r="O611" s="3">
        <f t="shared" si="14"/>
        <v>-1.3096745909990659E-12</v>
      </c>
      <c r="P611" s="9">
        <v>-1202.83</v>
      </c>
      <c r="R611" s="9">
        <v>1911.32</v>
      </c>
      <c r="S611" s="9">
        <v>708.49</v>
      </c>
      <c r="T611" s="3">
        <f t="shared" si="15"/>
        <v>0</v>
      </c>
      <c r="U611" s="9">
        <v>79719.03</v>
      </c>
      <c r="V611" s="1">
        <f>U611-P611-N611-Q611-R611+N611-I612-G612-F612-D611-E611-B611-K612-M611-H612-C611-L611</f>
        <v>-2.4465429682152262E-12</v>
      </c>
    </row>
    <row r="612" spans="1:22" x14ac:dyDescent="0.25">
      <c r="A612" t="s">
        <v>758</v>
      </c>
      <c r="B612" s="37">
        <v>36123.409999999996</v>
      </c>
      <c r="E612" s="37">
        <v>44.9</v>
      </c>
      <c r="F612" s="9">
        <v>53910.31</v>
      </c>
      <c r="G612" s="9">
        <v>-2314.08</v>
      </c>
      <c r="H612" s="9">
        <v>-1341.47</v>
      </c>
      <c r="I612" s="9">
        <v>91.86</v>
      </c>
      <c r="L612" s="37">
        <v>-0.03</v>
      </c>
      <c r="N612" s="37">
        <v>137777.4</v>
      </c>
      <c r="O612" s="3">
        <f t="shared" si="14"/>
        <v>-1.3387763120320528E-11</v>
      </c>
      <c r="P612" s="37">
        <v>-537.97</v>
      </c>
      <c r="Q612" s="37">
        <v>-126.04</v>
      </c>
      <c r="S612" s="37">
        <v>-664.01</v>
      </c>
      <c r="T612" s="3">
        <f t="shared" si="15"/>
        <v>0</v>
      </c>
      <c r="U612" s="37">
        <v>137113.39000000001</v>
      </c>
      <c r="V612" s="1">
        <f>U612-P612-N612-Q612-R612+N612-I613-G613-F613-D612-E612-B612-K613-M612-H613-C612-L612</f>
        <v>2.3865992515581524E-11</v>
      </c>
    </row>
    <row r="613" spans="1:22" x14ac:dyDescent="0.25">
      <c r="A613" t="s">
        <v>759</v>
      </c>
      <c r="B613" s="37">
        <v>8028.24</v>
      </c>
      <c r="E613" s="37">
        <v>13.1</v>
      </c>
      <c r="F613" s="37">
        <v>103255.15000000001</v>
      </c>
      <c r="G613" s="37">
        <v>-1628.5700000000002</v>
      </c>
      <c r="H613" s="37">
        <v>-17.46</v>
      </c>
      <c r="L613" s="37">
        <v>-0.13</v>
      </c>
      <c r="O613" s="3">
        <f t="shared" si="14"/>
        <v>-31393.819999999996</v>
      </c>
      <c r="P613" s="37">
        <v>-354.75</v>
      </c>
      <c r="Q613" s="37">
        <v>-316.51</v>
      </c>
      <c r="T613" s="3">
        <f t="shared" si="15"/>
        <v>671.26</v>
      </c>
    </row>
    <row r="614" spans="1:22" x14ac:dyDescent="0.25">
      <c r="A614" t="s">
        <v>760</v>
      </c>
      <c r="B614" s="37">
        <v>9364.98</v>
      </c>
      <c r="F614" s="37">
        <v>23609.15</v>
      </c>
      <c r="G614" s="37">
        <v>-251.19</v>
      </c>
      <c r="H614" s="37">
        <v>-5.35</v>
      </c>
      <c r="M614" s="37">
        <v>22348.43</v>
      </c>
      <c r="O614" s="3">
        <f t="shared" si="14"/>
        <v>-31713.41</v>
      </c>
      <c r="P614" s="37">
        <v>-913.75</v>
      </c>
      <c r="Q614" s="37">
        <f>-241.7-229.57</f>
        <v>-471.27</v>
      </c>
      <c r="T614" s="3">
        <f t="shared" si="15"/>
        <v>1385.02</v>
      </c>
    </row>
    <row r="615" spans="1:22" x14ac:dyDescent="0.25">
      <c r="A615" t="s">
        <v>761</v>
      </c>
      <c r="B615" s="37">
        <v>5584.75</v>
      </c>
      <c r="N615" s="37">
        <v>110036.63</v>
      </c>
      <c r="O615" s="3">
        <f t="shared" si="14"/>
        <v>63107.23000000001</v>
      </c>
      <c r="P615" s="37">
        <v>-431.16</v>
      </c>
      <c r="Q615" s="37">
        <v>-484.43</v>
      </c>
      <c r="R615" s="37">
        <v>2380.2199999999998</v>
      </c>
      <c r="S615" s="37">
        <v>-591.65</v>
      </c>
      <c r="T615" s="3">
        <f t="shared" si="15"/>
        <v>-2056.2800000000002</v>
      </c>
      <c r="U615" s="37">
        <v>109444.98</v>
      </c>
      <c r="V615" s="3">
        <f>U615-P615-N615-Q615-R615+N615-I616-G616-F616-D615-E615-B615-M614-R614-R613-Q614-Q613-P613-P614-K615-K614-I614-G614-F614-E614-E613-B614-B613-M613-D613-D614-M615-H614-C613-H616-K616-C614-L613</f>
        <v>1.3169132451196219E-11</v>
      </c>
    </row>
    <row r="616" spans="1:22" x14ac:dyDescent="0.25">
      <c r="A616" t="s">
        <v>762</v>
      </c>
      <c r="B616" s="37">
        <v>3899.94</v>
      </c>
      <c r="F616" s="37">
        <v>41991.049999999996</v>
      </c>
      <c r="G616" s="37">
        <v>-646.4</v>
      </c>
      <c r="L616" s="37">
        <v>-0.15</v>
      </c>
      <c r="N616" s="37">
        <v>31582.32</v>
      </c>
      <c r="O616" s="3">
        <f t="shared" si="14"/>
        <v>8.1853968048051229E-13</v>
      </c>
      <c r="P616" s="37">
        <v>-325.83</v>
      </c>
      <c r="Q616" s="37">
        <v>-125.68</v>
      </c>
      <c r="S616" s="37">
        <v>-451.51</v>
      </c>
      <c r="T616" s="3">
        <f t="shared" si="15"/>
        <v>0</v>
      </c>
      <c r="U616" s="37">
        <v>31130.81</v>
      </c>
      <c r="V616" s="1">
        <f>U616-P616-N616-Q616-R616+N616-I617-G617-F617-D616-E616-B616-K617-M616-H617-C616-L616</f>
        <v>4.4565184875722252E-12</v>
      </c>
    </row>
    <row r="617" spans="1:22" x14ac:dyDescent="0.25">
      <c r="A617" t="s">
        <v>763</v>
      </c>
      <c r="B617" s="35">
        <v>4254.9299999999994</v>
      </c>
      <c r="F617" s="37">
        <v>28006.789999999997</v>
      </c>
      <c r="G617" s="37">
        <v>-324.26</v>
      </c>
      <c r="L617" s="35">
        <v>-0.01</v>
      </c>
      <c r="N617" s="35">
        <v>38561.85</v>
      </c>
      <c r="O617" s="3">
        <f t="shared" si="14"/>
        <v>-1.1277732220316139E-12</v>
      </c>
      <c r="P617" s="35">
        <v>-597.38</v>
      </c>
      <c r="S617" s="35">
        <v>-597.38</v>
      </c>
      <c r="T617" s="3">
        <f t="shared" si="15"/>
        <v>0</v>
      </c>
      <c r="U617" s="35">
        <v>37964.47</v>
      </c>
      <c r="V617" s="1">
        <f>U617-P617-N617-Q617-R617+N617-I618-G618-F618-D617-E617-B617-K618-M617-H618-C617-L617</f>
        <v>1.7854519945847969E-12</v>
      </c>
    </row>
    <row r="618" spans="1:22" x14ac:dyDescent="0.25">
      <c r="A618" t="s">
        <v>764</v>
      </c>
      <c r="B618" s="57">
        <v>3514.3199999999997</v>
      </c>
      <c r="E618" s="57">
        <v>537.81999999999994</v>
      </c>
      <c r="F618" s="35">
        <v>34639.96</v>
      </c>
      <c r="G618" s="35">
        <v>-320.18</v>
      </c>
      <c r="H618" s="35">
        <v>-69.95</v>
      </c>
      <c r="I618" s="35">
        <v>57.1</v>
      </c>
      <c r="L618" s="57">
        <v>-0.14000000000000001</v>
      </c>
      <c r="N618" s="57">
        <v>155440.10999999999</v>
      </c>
      <c r="O618" s="3">
        <f t="shared" si="14"/>
        <v>5.8208993181096957E-13</v>
      </c>
      <c r="P618" s="57">
        <v>-475.67</v>
      </c>
      <c r="Q618" s="57">
        <v>-246.29</v>
      </c>
      <c r="S618" s="57">
        <v>-721.96</v>
      </c>
      <c r="T618" s="3">
        <f t="shared" si="15"/>
        <v>0</v>
      </c>
      <c r="U618" s="57">
        <v>154718.15</v>
      </c>
      <c r="V618" s="1">
        <f>U618-P618-N618-Q618-R618+N618-I619-G619-F619-D618-E618-B618-K619-M618-H619-C618-L618</f>
        <v>2.037248147956916E-11</v>
      </c>
    </row>
    <row r="619" spans="1:22" x14ac:dyDescent="0.25">
      <c r="A619" t="s">
        <v>765</v>
      </c>
      <c r="B619" s="4">
        <v>3622.76</v>
      </c>
      <c r="D619" s="4">
        <v>82.220000000000013</v>
      </c>
      <c r="E619" s="4">
        <v>41</v>
      </c>
      <c r="F619" s="57">
        <v>153678.15</v>
      </c>
      <c r="G619" s="57">
        <v>-2283.0299999999997</v>
      </c>
      <c r="H619" s="57">
        <v>-7.01</v>
      </c>
      <c r="L619" s="4">
        <v>-0.12</v>
      </c>
      <c r="N619" s="4">
        <v>127246</v>
      </c>
      <c r="O619" s="3">
        <f t="shared" si="14"/>
        <v>5.6388227420711701E-13</v>
      </c>
      <c r="P619" s="4">
        <v>-649.29999999999995</v>
      </c>
      <c r="Q619" s="4">
        <v>-373.17</v>
      </c>
      <c r="S619" s="4">
        <v>-1022.47</v>
      </c>
      <c r="T619" s="3">
        <f t="shared" si="15"/>
        <v>0</v>
      </c>
      <c r="U619" s="4">
        <v>126223.53</v>
      </c>
      <c r="V619" s="1">
        <f>U619-P619-N619-Q619-R619+N619-I620-G620-F620-D619-E619-B619-K620-M619-H620-C619-L619</f>
        <v>-3.5004221743406561E-12</v>
      </c>
    </row>
    <row r="620" spans="1:22" x14ac:dyDescent="0.25">
      <c r="A620" t="s">
        <v>766</v>
      </c>
      <c r="B620" s="9">
        <v>5036.67</v>
      </c>
      <c r="C620" s="9">
        <v>-91.17</v>
      </c>
      <c r="E620" s="9">
        <v>9.3099999999999987</v>
      </c>
      <c r="F620" s="4">
        <v>123883.34</v>
      </c>
      <c r="G620" s="4">
        <v>-262.18</v>
      </c>
      <c r="H620" s="4">
        <v>-121.02000000000001</v>
      </c>
      <c r="L620" s="9">
        <v>-0.02</v>
      </c>
      <c r="O620" s="3">
        <f t="shared" si="14"/>
        <v>-23688.180000000004</v>
      </c>
      <c r="P620" s="9">
        <v>-870.81</v>
      </c>
      <c r="Q620" s="9">
        <v>-122.22</v>
      </c>
      <c r="T620" s="3">
        <f t="shared" si="15"/>
        <v>993.03</v>
      </c>
    </row>
    <row r="621" spans="1:22" x14ac:dyDescent="0.25">
      <c r="A621" t="s">
        <v>767</v>
      </c>
      <c r="B621" s="9">
        <v>2978.9</v>
      </c>
      <c r="F621" s="9">
        <v>19532.120000000003</v>
      </c>
      <c r="G621" s="9">
        <v>-693.48</v>
      </c>
      <c r="H621" s="9">
        <v>-105.25</v>
      </c>
      <c r="M621" s="9">
        <v>19789.52</v>
      </c>
      <c r="O621" s="3">
        <f t="shared" si="14"/>
        <v>-22768.420000000002</v>
      </c>
      <c r="P621" s="9">
        <v>-1047.03</v>
      </c>
      <c r="Q621" s="9">
        <f>-121.25 -186.96</f>
        <v>-308.21000000000004</v>
      </c>
      <c r="R621" s="9">
        <v>2130.4</v>
      </c>
      <c r="T621" s="3">
        <f t="shared" si="15"/>
        <v>-775.16000000000008</v>
      </c>
    </row>
    <row r="622" spans="1:22" x14ac:dyDescent="0.25">
      <c r="A622" t="s">
        <v>768</v>
      </c>
      <c r="B622" s="9">
        <v>643.21</v>
      </c>
      <c r="N622" s="9">
        <v>77086.600000000006</v>
      </c>
      <c r="O622" s="3">
        <f t="shared" si="14"/>
        <v>46456.600000000006</v>
      </c>
      <c r="Q622" s="9">
        <f>-246.97-122.18</f>
        <v>-369.15</v>
      </c>
      <c r="S622" s="9">
        <v>-587.02</v>
      </c>
      <c r="T622" s="3">
        <f t="shared" si="15"/>
        <v>-217.87</v>
      </c>
      <c r="U622" s="9">
        <v>76499.58</v>
      </c>
      <c r="V622" s="3">
        <f>U622-P622-N622-Q622-R622+N622-I623-G623-F623-D622-E622-B622-M621-R621-R620-Q621-Q620-P620-P621-K622-K621-I621-G621-F621-E621-E620-B621-B620-M620-D620-D621-M622-H621-C620-H623-K623-C621-L620</f>
        <v>-1.4842811008053403E-11</v>
      </c>
    </row>
    <row r="623" spans="1:22" x14ac:dyDescent="0.25">
      <c r="A623" t="s">
        <v>769</v>
      </c>
      <c r="B623" s="44">
        <v>1117.57</v>
      </c>
      <c r="F623" s="9">
        <v>29287.35</v>
      </c>
      <c r="G623" s="9">
        <v>-627.98</v>
      </c>
      <c r="H623" s="9">
        <v>-18.239999999999998</v>
      </c>
      <c r="I623" s="9">
        <v>1345.66</v>
      </c>
      <c r="L623" s="44">
        <v>-0.22</v>
      </c>
      <c r="N623" s="44">
        <v>115881.43</v>
      </c>
      <c r="O623" s="3">
        <f t="shared" si="14"/>
        <v>5.8844318306938703E-12</v>
      </c>
      <c r="P623" s="44">
        <v>-518.55999999999995</v>
      </c>
      <c r="Q623" s="44">
        <v>-456.1</v>
      </c>
      <c r="S623" s="44">
        <f>-974.66</f>
        <v>-974.66</v>
      </c>
      <c r="T623" s="3">
        <f t="shared" si="15"/>
        <v>0</v>
      </c>
      <c r="U623" s="44">
        <v>114906.77</v>
      </c>
      <c r="V623" s="1">
        <f>U623-P623-N623-Q623-R623+N623-I624-G624-F624-D623-E623-B623-K624-M623-H624-C623-L623</f>
        <v>2.2184282189030569E-11</v>
      </c>
    </row>
    <row r="624" spans="1:22" x14ac:dyDescent="0.25">
      <c r="A624" t="s">
        <v>770</v>
      </c>
      <c r="B624" s="105">
        <v>5095.0300000000007</v>
      </c>
      <c r="F624" s="44">
        <v>115806.92</v>
      </c>
      <c r="G624" s="44">
        <v>-1215.9599999999998</v>
      </c>
      <c r="H624" s="44">
        <v>-54.17</v>
      </c>
      <c r="I624" s="44">
        <v>227.29</v>
      </c>
      <c r="N624" s="105">
        <v>34350.910000000003</v>
      </c>
      <c r="O624" s="3">
        <f t="shared" si="14"/>
        <v>1.2732925824820995E-11</v>
      </c>
      <c r="P624" s="105">
        <v>-287.26</v>
      </c>
      <c r="Q624" s="105">
        <v>-125.5</v>
      </c>
      <c r="S624" s="105">
        <v>-412.76</v>
      </c>
      <c r="T624" s="3">
        <f t="shared" si="15"/>
        <v>0</v>
      </c>
      <c r="U624" s="105">
        <v>33938.15</v>
      </c>
      <c r="V624" s="1">
        <f>U624-P624-N624-Q624-R624+N624-I625-G625-F625-D624-E624-B624-K625-M624-H625-C624-L624</f>
        <v>1.4551915228366852E-11</v>
      </c>
    </row>
    <row r="625" spans="1:22" x14ac:dyDescent="0.25">
      <c r="A625" t="s">
        <v>771</v>
      </c>
      <c r="B625" s="103">
        <v>2784.0099999999998</v>
      </c>
      <c r="F625" s="105">
        <v>79647.039999999994</v>
      </c>
      <c r="G625" s="105">
        <v>-880.61</v>
      </c>
      <c r="H625" s="105">
        <v>-49523.82</v>
      </c>
      <c r="I625" s="105">
        <v>13.27</v>
      </c>
      <c r="N625" s="103">
        <v>97801.79</v>
      </c>
      <c r="O625" s="3">
        <f t="shared" si="14"/>
        <v>-5.0022208597511053E-12</v>
      </c>
      <c r="P625" s="103">
        <v>-307.23</v>
      </c>
      <c r="Q625" s="103">
        <f>-125.5 -125.43</f>
        <v>-250.93</v>
      </c>
      <c r="S625" s="103">
        <v>-558.16</v>
      </c>
      <c r="T625" s="3">
        <f t="shared" si="15"/>
        <v>0</v>
      </c>
      <c r="U625" s="103">
        <v>97243.63</v>
      </c>
      <c r="V625" s="1">
        <f>U625-P625-N625-Q625-R625+N625-I626-G626-F626-D625-E625-B625-K626-M625-H626-C625-L625</f>
        <v>-7.9296569310827181E-12</v>
      </c>
    </row>
    <row r="626" spans="1:22" x14ac:dyDescent="0.25">
      <c r="A626" t="s">
        <v>772</v>
      </c>
      <c r="B626" s="2">
        <v>3474.74</v>
      </c>
      <c r="F626" s="103">
        <v>95868.790000000008</v>
      </c>
      <c r="G626" s="103">
        <v>-691.21</v>
      </c>
      <c r="H626" s="103">
        <v>-159.79999999999998</v>
      </c>
      <c r="N626" s="2">
        <v>32746.19</v>
      </c>
      <c r="O626" s="3">
        <f t="shared" ref="O626:O657" si="16">N626-K627-I627-H627-G627-F627-E626-D626-C626-B626-M626-L626</f>
        <v>-1.8189894035458565E-12</v>
      </c>
      <c r="P626" s="2">
        <v>-1229.1500000000001</v>
      </c>
      <c r="Q626" s="2">
        <v>-564.15</v>
      </c>
      <c r="S626" s="2">
        <v>-1793.3</v>
      </c>
      <c r="T626" s="3">
        <f t="shared" si="15"/>
        <v>0</v>
      </c>
      <c r="U626" s="2">
        <v>30952.89</v>
      </c>
      <c r="V626" s="1">
        <f>U626-P626-N626-Q626-R626+N626-I627-G627-F627-D626-E626-B626-K627-M626-H627-C626-L626</f>
        <v>3.1281643941838411E-12</v>
      </c>
    </row>
    <row r="627" spans="1:22" x14ac:dyDescent="0.25">
      <c r="A627" t="s">
        <v>773</v>
      </c>
      <c r="B627" s="86">
        <v>2956.37</v>
      </c>
      <c r="F627" s="2">
        <v>29492.36</v>
      </c>
      <c r="G627" s="2">
        <v>-309.51</v>
      </c>
      <c r="H627" s="2">
        <v>-8.69</v>
      </c>
      <c r="I627" s="2">
        <v>97.289999999999992</v>
      </c>
      <c r="L627" s="86">
        <v>-0.06</v>
      </c>
      <c r="O627" s="3">
        <f t="shared" si="16"/>
        <v>-27269.469999999998</v>
      </c>
      <c r="P627" s="86">
        <v>-768.78</v>
      </c>
      <c r="Q627" s="86">
        <v>-376.16</v>
      </c>
      <c r="T627" s="3">
        <f t="shared" si="15"/>
        <v>1144.94</v>
      </c>
    </row>
    <row r="628" spans="1:22" x14ac:dyDescent="0.25">
      <c r="A628" t="s">
        <v>774</v>
      </c>
      <c r="B628" s="86">
        <v>10579.439999999999</v>
      </c>
      <c r="F628" s="86">
        <v>24717.43</v>
      </c>
      <c r="G628" s="86">
        <v>-347</v>
      </c>
      <c r="H628" s="86">
        <v>-57.27</v>
      </c>
      <c r="M628" s="86">
        <v>14951.97</v>
      </c>
      <c r="O628" s="3">
        <f t="shared" si="16"/>
        <v>-25531.409999999996</v>
      </c>
      <c r="P628" s="86">
        <v>-247.67</v>
      </c>
      <c r="T628" s="3">
        <f t="shared" si="15"/>
        <v>247.67</v>
      </c>
    </row>
    <row r="629" spans="1:22" x14ac:dyDescent="0.25">
      <c r="A629" t="s">
        <v>775</v>
      </c>
      <c r="B629" s="86">
        <v>2891.14</v>
      </c>
      <c r="N629" s="86">
        <v>90865.919999999998</v>
      </c>
      <c r="O629" s="3">
        <f t="shared" si="16"/>
        <v>52800.879999999983</v>
      </c>
      <c r="P629" s="86">
        <v>-559.27</v>
      </c>
      <c r="Q629" s="86">
        <v>-124.16</v>
      </c>
      <c r="R629" s="86">
        <v>2037.49</v>
      </c>
      <c r="S629" s="86">
        <v>-38.549999999999997</v>
      </c>
      <c r="T629" s="3">
        <f t="shared" si="15"/>
        <v>-1392.61</v>
      </c>
      <c r="U629" s="86">
        <v>90827.37</v>
      </c>
      <c r="V629" s="3">
        <f>U629-P629-N629-Q629-R629+N629-I630-G630-F630-D629-E629-B629-M628-R628-R627-Q628-Q627-P627-P628-K629-K628-I628-G628-F628-E628-E627-B628-B627-M627-D627-D628-M629-H628-C627-H630-K630-C628-L627</f>
        <v>-1.4284184945978495E-11</v>
      </c>
    </row>
    <row r="630" spans="1:22" x14ac:dyDescent="0.25">
      <c r="A630" t="s">
        <v>776</v>
      </c>
      <c r="B630" s="5">
        <v>10964.119999999999</v>
      </c>
      <c r="E630" s="5">
        <v>30.78</v>
      </c>
      <c r="F630" s="86">
        <v>35733.370000000003</v>
      </c>
      <c r="G630" s="86">
        <v>-545.23</v>
      </c>
      <c r="H630" s="86">
        <v>-91.2</v>
      </c>
      <c r="I630" s="86">
        <v>76.959999999999994</v>
      </c>
      <c r="L630" s="5">
        <v>-0.18</v>
      </c>
      <c r="N630" s="5">
        <v>57622.38</v>
      </c>
      <c r="O630" s="3">
        <f t="shared" si="16"/>
        <v>-5.7480131765430542E-12</v>
      </c>
      <c r="P630" s="5">
        <v>-340.87</v>
      </c>
      <c r="Q630" s="5">
        <v>-69.680000000000007</v>
      </c>
      <c r="S630" s="5">
        <v>-410.55</v>
      </c>
      <c r="T630" s="3">
        <f t="shared" si="15"/>
        <v>0</v>
      </c>
      <c r="U630" s="5">
        <v>57211.83</v>
      </c>
      <c r="V630" s="1">
        <f>U630-P630-N630-Q630-R630+N630-I631-G631-F631-D630-E630-B630-K631-M630-H631-C630-L630</f>
        <v>3.8585246109335003E-12</v>
      </c>
    </row>
    <row r="631" spans="1:22" x14ac:dyDescent="0.25">
      <c r="A631" t="s">
        <v>777</v>
      </c>
      <c r="B631" s="9">
        <v>2262.6400000000003</v>
      </c>
      <c r="F631" s="5">
        <v>49324.85</v>
      </c>
      <c r="G631" s="5">
        <v>-2649.1299999999997</v>
      </c>
      <c r="H631" s="5">
        <v>-48.06</v>
      </c>
      <c r="L631" s="9">
        <v>-5.0000000003819878E-2</v>
      </c>
      <c r="N631" s="9">
        <v>62806.42</v>
      </c>
      <c r="O631" s="3">
        <f t="shared" si="16"/>
        <v>0</v>
      </c>
      <c r="P631" s="9">
        <v>-689.07</v>
      </c>
      <c r="S631" s="9">
        <v>-689.07</v>
      </c>
      <c r="T631" s="3">
        <f t="shared" si="15"/>
        <v>0</v>
      </c>
      <c r="U631" s="9">
        <v>62117.35</v>
      </c>
      <c r="V631" s="1">
        <f>U631-P631-N631-Q631-R631+N631-I632-G632-F632-D631-E631-B631-K632-M631-H632-C631-L631</f>
        <v>-3.2009950245992513E-12</v>
      </c>
    </row>
    <row r="632" spans="1:22" x14ac:dyDescent="0.25">
      <c r="A632" t="s">
        <v>778</v>
      </c>
      <c r="B632" s="10">
        <v>10050.43</v>
      </c>
      <c r="F632" s="9">
        <v>61236.26</v>
      </c>
      <c r="G632" s="9">
        <v>-729.34999999999991</v>
      </c>
      <c r="H632" s="9">
        <v>-14.23</v>
      </c>
      <c r="I632" s="9">
        <v>51.150000000000006</v>
      </c>
      <c r="L632" s="10">
        <v>-7.9999999994470272E-2</v>
      </c>
      <c r="N632" s="10">
        <v>70916.53</v>
      </c>
      <c r="O632" s="3">
        <f t="shared" si="16"/>
        <v>0</v>
      </c>
      <c r="P632" s="10">
        <v>-69.42</v>
      </c>
      <c r="Q632" s="10">
        <v>-120.94</v>
      </c>
      <c r="S632" s="10">
        <v>-190.36</v>
      </c>
      <c r="T632" s="3">
        <f t="shared" si="15"/>
        <v>0</v>
      </c>
      <c r="U632" s="10">
        <v>70726.17</v>
      </c>
      <c r="V632" s="1">
        <f>U632-P632-N632-Q632-R632+N632-I633-G633-F633-D632-E632-B632-K633-M632-H633-C632-L632</f>
        <v>0</v>
      </c>
    </row>
    <row r="633" spans="1:22" x14ac:dyDescent="0.25">
      <c r="A633" t="s">
        <v>779</v>
      </c>
      <c r="B633" s="93">
        <v>6908.89</v>
      </c>
      <c r="E633" s="93">
        <v>3.13</v>
      </c>
      <c r="F633" s="10">
        <v>61321.89</v>
      </c>
      <c r="G633" s="10">
        <v>-275.95999999999998</v>
      </c>
      <c r="H633" s="10">
        <v>-179.75</v>
      </c>
      <c r="L633" s="93">
        <v>-0.05</v>
      </c>
      <c r="N633" s="93">
        <v>26695.21</v>
      </c>
      <c r="O633" s="3">
        <f t="shared" si="16"/>
        <v>-6.5483590772075218E-12</v>
      </c>
      <c r="P633" s="93">
        <v>-611.66999999999996</v>
      </c>
      <c r="S633" s="93">
        <v>-611.66999999999996</v>
      </c>
      <c r="T633" s="3">
        <f t="shared" si="15"/>
        <v>0</v>
      </c>
      <c r="U633" s="93">
        <v>26083.54</v>
      </c>
      <c r="V633" s="1">
        <f>U633-P633-N633-Q633-R633+N633-I634-G634-F634-D633-E633-B633-K634-M633-H634-C633-L633</f>
        <v>-4.7862130925224733E-12</v>
      </c>
    </row>
    <row r="634" spans="1:22" x14ac:dyDescent="0.25">
      <c r="A634" t="s">
        <v>780</v>
      </c>
      <c r="B634" s="13">
        <v>4615.7300000000005</v>
      </c>
      <c r="C634" s="13">
        <v>-92.429999999999993</v>
      </c>
      <c r="F634" s="93">
        <v>20278.690000000002</v>
      </c>
      <c r="G634" s="93">
        <v>-359.03</v>
      </c>
      <c r="H634" s="93">
        <v>-136.42000000000002</v>
      </c>
      <c r="L634" s="13">
        <v>-0.15</v>
      </c>
      <c r="O634" s="3">
        <f t="shared" si="16"/>
        <v>-36036.770000000004</v>
      </c>
      <c r="P634" s="13">
        <v>-716.41</v>
      </c>
      <c r="Q634" s="13">
        <v>-138.6</v>
      </c>
      <c r="T634" s="3">
        <f t="shared" si="15"/>
        <v>855.01</v>
      </c>
    </row>
    <row r="635" spans="1:22" x14ac:dyDescent="0.25">
      <c r="A635" t="s">
        <v>781</v>
      </c>
      <c r="B635" s="13">
        <v>6322.26</v>
      </c>
      <c r="F635" s="13">
        <v>32527.24</v>
      </c>
      <c r="G635" s="13">
        <v>-803.53</v>
      </c>
      <c r="H635" s="13">
        <v>-242.73999999999998</v>
      </c>
      <c r="I635" s="13">
        <v>32.65</v>
      </c>
      <c r="L635" s="13">
        <v>-0.04</v>
      </c>
      <c r="M635" s="13">
        <v>55190.9</v>
      </c>
      <c r="O635" s="3">
        <f t="shared" si="16"/>
        <v>-61513.120000000003</v>
      </c>
      <c r="R635" s="13">
        <v>8843.5499999999993</v>
      </c>
      <c r="T635" s="3">
        <f t="shared" si="15"/>
        <v>-8843.5499999999993</v>
      </c>
    </row>
    <row r="636" spans="1:22" x14ac:dyDescent="0.25">
      <c r="A636" t="s">
        <v>782</v>
      </c>
      <c r="B636" s="13">
        <v>5923.82</v>
      </c>
      <c r="N636" s="13">
        <v>136869.22</v>
      </c>
      <c r="O636" s="3">
        <f t="shared" si="16"/>
        <v>97549.890000000014</v>
      </c>
      <c r="P636" s="13">
        <v>-1128.1500000000001</v>
      </c>
      <c r="Q636" s="13">
        <v>-1120.75</v>
      </c>
      <c r="S636" s="13">
        <v>5739.64</v>
      </c>
      <c r="T636" s="3">
        <f t="shared" si="15"/>
        <v>7988.5400000000009</v>
      </c>
      <c r="U636" s="13">
        <v>142608.85999999999</v>
      </c>
      <c r="V636" s="3">
        <f>U636-P636-N636-Q636-R636+N636-I637-G637-F637-D636-E636-B636-M635-R635-R634-Q635-Q634-P634-P635-K636-K635-I635-G635-F635-E635-E634-B635-B634-M634-D634-D635-M636-H635-C634-H637-K637-C635-L634-L635</f>
        <v>-6.9752606468576062E-12</v>
      </c>
    </row>
    <row r="637" spans="1:22" x14ac:dyDescent="0.25">
      <c r="A637" t="s">
        <v>783</v>
      </c>
      <c r="B637" s="89">
        <v>6365.89</v>
      </c>
      <c r="F637" s="13">
        <v>33759.49</v>
      </c>
      <c r="G637" s="13">
        <v>-510.94000000000005</v>
      </c>
      <c r="I637" s="13">
        <v>146.96</v>
      </c>
      <c r="L637" s="89">
        <v>-0.06</v>
      </c>
      <c r="N637" s="89">
        <v>27449.78</v>
      </c>
      <c r="O637" s="3">
        <f t="shared" si="16"/>
        <v>-2.2191692927719942E-12</v>
      </c>
      <c r="P637" s="89">
        <v>-631.36</v>
      </c>
      <c r="Q637" s="89">
        <v>-249.28</v>
      </c>
      <c r="R637" s="89">
        <v>2.4</v>
      </c>
      <c r="S637" s="89">
        <v>-878.24</v>
      </c>
      <c r="T637" s="3">
        <f t="shared" si="15"/>
        <v>0</v>
      </c>
      <c r="U637" s="89">
        <v>26571.54</v>
      </c>
      <c r="V637" s="1">
        <f>U637-P637-N637-Q637-R637+N637-I638-G638-F638-D637-E637-B637-K638-M637-H638-C637-L637</f>
        <v>1.4188095143197188E-12</v>
      </c>
    </row>
    <row r="638" spans="1:22" x14ac:dyDescent="0.25">
      <c r="A638" t="s">
        <v>784</v>
      </c>
      <c r="B638" s="93">
        <v>6319.91</v>
      </c>
      <c r="F638" s="89">
        <v>22259.25</v>
      </c>
      <c r="G638" s="89">
        <v>-491.73</v>
      </c>
      <c r="H638" s="89">
        <v>-800</v>
      </c>
      <c r="I638" s="89">
        <v>116.43</v>
      </c>
      <c r="N638" s="93">
        <v>43070.55</v>
      </c>
      <c r="O638" s="3">
        <f t="shared" si="16"/>
        <v>-3.637978807091713E-12</v>
      </c>
      <c r="P638" s="93">
        <v>-361.05</v>
      </c>
      <c r="Q638" s="93">
        <v>-481.49</v>
      </c>
      <c r="S638" s="93">
        <v>-842.54</v>
      </c>
      <c r="T638" s="3">
        <f t="shared" si="15"/>
        <v>0</v>
      </c>
      <c r="U638" s="93">
        <v>42228.01</v>
      </c>
      <c r="V638" s="1">
        <f>U638-P638-N638-Q638-R638+N638-I639-G639-F639-D638-E638-B638-K639-M638-H639-C638-L638</f>
        <v>-3.637978807091713E-12</v>
      </c>
    </row>
    <row r="639" spans="1:22" x14ac:dyDescent="0.25">
      <c r="A639" t="s">
        <v>785</v>
      </c>
      <c r="B639" s="9">
        <v>9935.4399999999987</v>
      </c>
      <c r="C639" s="9">
        <v>-92.64</v>
      </c>
      <c r="F639" s="93">
        <v>37582.740000000005</v>
      </c>
      <c r="G639" s="93">
        <v>-1020.1500000000001</v>
      </c>
      <c r="H639" s="93">
        <v>-89.25</v>
      </c>
      <c r="I639" s="93">
        <v>277.29999999999995</v>
      </c>
      <c r="L639" s="9">
        <v>-0.11999999999898137</v>
      </c>
      <c r="N639" s="9">
        <v>119581.46</v>
      </c>
      <c r="O639" s="3">
        <f t="shared" si="16"/>
        <v>0</v>
      </c>
      <c r="P639" s="9">
        <v>-373</v>
      </c>
      <c r="Q639" s="9">
        <v>-1113.96</v>
      </c>
      <c r="S639" s="9">
        <v>-1486.96</v>
      </c>
      <c r="T639" s="3">
        <f t="shared" si="15"/>
        <v>0</v>
      </c>
      <c r="U639" s="9">
        <v>118094.5</v>
      </c>
      <c r="V639" s="1">
        <f>U639-P639-N639-Q639-R639+N639-I640-G640-F640-D639-E639-B639-K640-M639-H640-C639-L639</f>
        <v>5.8264504332328215E-13</v>
      </c>
    </row>
    <row r="640" spans="1:22" x14ac:dyDescent="0.25">
      <c r="A640" t="s">
        <v>786</v>
      </c>
      <c r="B640" s="106">
        <v>6054.54</v>
      </c>
      <c r="C640" s="106">
        <v>92.6</v>
      </c>
      <c r="E640" s="106">
        <v>96.22999999999999</v>
      </c>
      <c r="F640" s="9">
        <v>60846.26</v>
      </c>
      <c r="G640" s="9">
        <v>-522.4</v>
      </c>
      <c r="H640" s="9">
        <v>-14.75</v>
      </c>
      <c r="I640" s="9">
        <v>49429.67</v>
      </c>
      <c r="L640" s="106">
        <v>-5.0000000007457857E-2</v>
      </c>
      <c r="N640" s="106">
        <v>43104.34</v>
      </c>
      <c r="O640" s="3">
        <f t="shared" si="16"/>
        <v>0</v>
      </c>
      <c r="P640" s="106">
        <v>-420.87</v>
      </c>
      <c r="Q640" s="106">
        <v>-49.69</v>
      </c>
      <c r="S640" s="106">
        <v>-470.56</v>
      </c>
      <c r="T640" s="3">
        <f t="shared" si="15"/>
        <v>0</v>
      </c>
      <c r="U640" s="106">
        <v>42633.78</v>
      </c>
      <c r="V640" s="1">
        <f>U640-P640-N640-Q640-R640+N640-I641-G641-F641-D640-E640-B640-K641-M640-H641-C640-L640</f>
        <v>7.645439836778678E-12</v>
      </c>
    </row>
    <row r="641" spans="1:22" x14ac:dyDescent="0.25">
      <c r="A641" t="s">
        <v>787</v>
      </c>
      <c r="B641" s="13">
        <v>8537.2100000000009</v>
      </c>
      <c r="F641" s="106">
        <v>37010.21</v>
      </c>
      <c r="G641" s="106">
        <v>-288.45</v>
      </c>
      <c r="I641" s="106">
        <v>139.26000000000002</v>
      </c>
      <c r="L641" s="13">
        <v>-0.09</v>
      </c>
      <c r="M641" s="13">
        <v>18574.59</v>
      </c>
      <c r="O641" s="3">
        <f t="shared" si="16"/>
        <v>-71815.420000000013</v>
      </c>
      <c r="P641" s="13">
        <v>-548.30999999999995</v>
      </c>
      <c r="Q641" s="13">
        <v>-37.99</v>
      </c>
      <c r="R641" s="13">
        <v>1041.57</v>
      </c>
      <c r="T641" s="3">
        <f t="shared" si="15"/>
        <v>-455.27</v>
      </c>
    </row>
    <row r="642" spans="1:22" x14ac:dyDescent="0.25">
      <c r="A642" t="s">
        <v>788</v>
      </c>
      <c r="B642" s="13">
        <v>19505.28</v>
      </c>
      <c r="F642" s="13">
        <v>45042.98</v>
      </c>
      <c r="G642" s="13">
        <v>-349.15999999999997</v>
      </c>
      <c r="I642" s="13">
        <v>9.89</v>
      </c>
      <c r="M642" s="13">
        <v>47426.44</v>
      </c>
      <c r="O642" s="3">
        <f t="shared" si="16"/>
        <v>-66931.72</v>
      </c>
      <c r="P642" s="13">
        <v>-264.61</v>
      </c>
      <c r="T642" s="3">
        <f t="shared" si="15"/>
        <v>264.61</v>
      </c>
    </row>
    <row r="643" spans="1:22" x14ac:dyDescent="0.25">
      <c r="A643" t="s">
        <v>789</v>
      </c>
      <c r="B643" s="13">
        <v>10940.86</v>
      </c>
      <c r="N643" s="13">
        <v>210298.27</v>
      </c>
      <c r="O643" s="3">
        <f t="shared" si="16"/>
        <v>138747.14000000001</v>
      </c>
      <c r="P643" s="13">
        <v>-338.1</v>
      </c>
      <c r="Q643" s="13">
        <v>-175.94</v>
      </c>
      <c r="R643" s="13">
        <v>2301.2600000000002</v>
      </c>
      <c r="S643" s="13">
        <v>1977.88</v>
      </c>
      <c r="T643" s="3">
        <f t="shared" si="15"/>
        <v>190.65999999999991</v>
      </c>
      <c r="U643" s="13">
        <v>212276.15</v>
      </c>
      <c r="V643" s="3">
        <f>U643-P643-N643-Q643-R643+N643-I644-G644-F644-D643-E643-B643-M642-R642-R641-Q642-Q641-P641-P642-K643-K642-I642-G642-F642-E642-E641-B642-B641-M641-D641-D642-M643-H642-C641-H644-K644-C642-L641-L642</f>
        <v>-1.4697437711319594E-11</v>
      </c>
    </row>
    <row r="644" spans="1:22" x14ac:dyDescent="0.25">
      <c r="A644" t="s">
        <v>790</v>
      </c>
      <c r="B644" s="13">
        <v>7092.96</v>
      </c>
      <c r="F644" s="13">
        <v>61035.45</v>
      </c>
      <c r="G644" s="13">
        <v>-481.65</v>
      </c>
      <c r="I644" s="13">
        <v>56.47</v>
      </c>
      <c r="L644" s="13">
        <v>-0.21</v>
      </c>
      <c r="N644" s="13">
        <v>54071.48</v>
      </c>
      <c r="O644" s="3">
        <f t="shared" si="16"/>
        <v>-3.6387559632089506E-14</v>
      </c>
      <c r="P644" s="13">
        <v>-493.56</v>
      </c>
      <c r="Q644" s="13">
        <v>-1607.46</v>
      </c>
      <c r="S644" s="13">
        <v>-2101.02</v>
      </c>
      <c r="T644" s="3">
        <f t="shared" si="15"/>
        <v>0</v>
      </c>
      <c r="U644" s="13">
        <v>51970.46</v>
      </c>
      <c r="V644" s="1">
        <f>U644-P644-N644-Q644-R644+N644-I645-G645-F645-D644-E644-B644-K645-M644-H645-C644-L644</f>
        <v>-8.7676255144941706E-12</v>
      </c>
    </row>
    <row r="645" spans="1:22" x14ac:dyDescent="0.25">
      <c r="A645" t="s">
        <v>791</v>
      </c>
      <c r="B645" s="106">
        <v>7017.32</v>
      </c>
      <c r="E645" s="106">
        <v>18.5</v>
      </c>
      <c r="F645" s="13">
        <v>47492.73</v>
      </c>
      <c r="G645" s="13">
        <v>-734.24</v>
      </c>
      <c r="H645" s="13">
        <v>-2.15</v>
      </c>
      <c r="I645" s="13">
        <v>222.39</v>
      </c>
      <c r="L645" s="106">
        <v>-7.0000000000000007E-2</v>
      </c>
      <c r="N645" s="106">
        <v>39350.720000000001</v>
      </c>
      <c r="O645" s="3">
        <f t="shared" si="16"/>
        <v>2.9104496590548479E-13</v>
      </c>
      <c r="P645" s="106">
        <v>-1065.56</v>
      </c>
      <c r="Q645" s="106">
        <v>-84.38</v>
      </c>
      <c r="S645" s="106">
        <v>-1149.94</v>
      </c>
      <c r="T645" s="3">
        <f t="shared" si="15"/>
        <v>0</v>
      </c>
      <c r="U645" s="106">
        <v>38200.78</v>
      </c>
      <c r="V645" s="1">
        <f>U645-P645-N645-Q645-R645+N645-I646-G646-F646-D645-E645-B645-K646-M645-H646-C645-L645</f>
        <v>-9.8981378648943519E-12</v>
      </c>
    </row>
    <row r="646" spans="1:22" x14ac:dyDescent="0.25">
      <c r="A646" t="s">
        <v>792</v>
      </c>
      <c r="B646" s="49">
        <v>6905.88</v>
      </c>
      <c r="F646" s="106">
        <v>32820.080000000002</v>
      </c>
      <c r="G646" s="106">
        <v>-440.06</v>
      </c>
      <c r="H646" s="106">
        <v>-65.05</v>
      </c>
      <c r="L646" s="49">
        <v>-3.0000000001564331E-2</v>
      </c>
      <c r="N646" s="49">
        <v>62531.65</v>
      </c>
      <c r="O646" s="3">
        <f t="shared" si="16"/>
        <v>0</v>
      </c>
      <c r="P646" s="49">
        <v>-404.64</v>
      </c>
      <c r="S646" s="49">
        <v>-404.64</v>
      </c>
      <c r="T646" s="3">
        <f t="shared" si="15"/>
        <v>0</v>
      </c>
      <c r="U646" s="49">
        <v>62127.01</v>
      </c>
      <c r="V646" s="1">
        <f>U646-P646-N646-Q646-R646+N646-I647-G647-F647-D646-E646-B646-K647-M646-H647-C646-L646</f>
        <v>3.2045477382780518E-12</v>
      </c>
    </row>
    <row r="647" spans="1:22" x14ac:dyDescent="0.25">
      <c r="A647" t="s">
        <v>793</v>
      </c>
      <c r="B647" s="2">
        <v>3186.15</v>
      </c>
      <c r="C647" s="2">
        <v>-8.84</v>
      </c>
      <c r="F647" s="49">
        <v>56427.75</v>
      </c>
      <c r="G647" s="49">
        <v>-761.68</v>
      </c>
      <c r="H647" s="49">
        <v>-40.270000000000003</v>
      </c>
      <c r="L647" s="2">
        <v>-0.02</v>
      </c>
      <c r="N647" s="2">
        <v>15370.07</v>
      </c>
      <c r="O647" s="3">
        <f t="shared" si="16"/>
        <v>8.2036426263254469E-12</v>
      </c>
      <c r="P647" s="2">
        <v>-733.84</v>
      </c>
      <c r="Q647" s="2">
        <v>-125.22</v>
      </c>
      <c r="S647" s="2">
        <v>-859.06</v>
      </c>
      <c r="T647" s="3">
        <f t="shared" si="15"/>
        <v>0</v>
      </c>
      <c r="U647" s="2">
        <v>14511.01</v>
      </c>
      <c r="V647" s="1">
        <f>U647-P647-N647-Q647-R647+N647-I648-G648-F648-D647-E647-B647-K648-M647-H648-C647-L647</f>
        <v>1.4253528912711033E-13</v>
      </c>
    </row>
    <row r="648" spans="1:22" x14ac:dyDescent="0.25">
      <c r="A648" t="s">
        <v>794</v>
      </c>
      <c r="B648" s="30">
        <v>14243.119999999999</v>
      </c>
      <c r="E648" s="30">
        <v>14.299999999999999</v>
      </c>
      <c r="F648" s="2">
        <v>35534.78</v>
      </c>
      <c r="G648" s="2">
        <v>-602.22</v>
      </c>
      <c r="H648" s="2">
        <v>-100.3</v>
      </c>
      <c r="I648" s="2">
        <v>4.4899999999999993</v>
      </c>
      <c r="K648" s="2">
        <v>-22643.97</v>
      </c>
      <c r="L648" s="30">
        <v>-0.04</v>
      </c>
      <c r="O648" s="3">
        <f t="shared" si="16"/>
        <v>-60349.62</v>
      </c>
      <c r="P648" s="30">
        <v>-995.39</v>
      </c>
      <c r="Q648" s="30">
        <v>-250.14</v>
      </c>
      <c r="T648" s="3">
        <f t="shared" si="15"/>
        <v>1245.53</v>
      </c>
    </row>
    <row r="649" spans="1:22" x14ac:dyDescent="0.25">
      <c r="A649" t="s">
        <v>795</v>
      </c>
      <c r="B649" s="30">
        <v>12282.56</v>
      </c>
      <c r="E649" s="30">
        <v>194.32000000000002</v>
      </c>
      <c r="F649" s="30">
        <v>46488.37</v>
      </c>
      <c r="G649" s="30">
        <v>-496.39000000000004</v>
      </c>
      <c r="H649" s="30">
        <v>-22.939999999999998</v>
      </c>
      <c r="I649" s="30">
        <v>123.19999999999999</v>
      </c>
      <c r="M649" s="30">
        <v>14419.63</v>
      </c>
      <c r="O649" s="3">
        <f t="shared" si="16"/>
        <v>-26896.51</v>
      </c>
      <c r="P649" s="30">
        <v>-89.55</v>
      </c>
      <c r="Q649" s="30">
        <v>-53.85</v>
      </c>
      <c r="T649" s="3">
        <f t="shared" si="15"/>
        <v>143.4</v>
      </c>
    </row>
    <row r="650" spans="1:22" x14ac:dyDescent="0.25">
      <c r="A650" t="s">
        <v>796</v>
      </c>
      <c r="B650" s="30">
        <v>8403.9699999999993</v>
      </c>
      <c r="N650" s="30">
        <v>127366.98</v>
      </c>
      <c r="O650" s="3">
        <f t="shared" si="16"/>
        <v>87246.12999999999</v>
      </c>
      <c r="P650" s="30">
        <v>-0.25</v>
      </c>
      <c r="R650" s="30">
        <v>2083.08</v>
      </c>
      <c r="S650" s="30">
        <v>693.9</v>
      </c>
      <c r="T650" s="3">
        <f t="shared" si="15"/>
        <v>-1388.9299999999998</v>
      </c>
      <c r="U650" s="30">
        <v>128060.88</v>
      </c>
      <c r="V650" s="3">
        <f>U650-P650-N650-Q650-R650+N650-I651-G651-F651-D650-E650-B650-M649-R649-R648-Q649-Q648-P648-P649-K650-K649-I649-G649-F649-E649-E648-B649-B648-M648-D648-D649-M650-H649-C648-H651-K651-C649-L648-L649</f>
        <v>5.1664991729261089E-12</v>
      </c>
    </row>
    <row r="651" spans="1:22" x14ac:dyDescent="0.25">
      <c r="A651" t="s">
        <v>797</v>
      </c>
      <c r="B651" s="62">
        <v>7667.0499999999993</v>
      </c>
      <c r="F651" s="30">
        <v>32131.98</v>
      </c>
      <c r="G651" s="30">
        <v>-425.79</v>
      </c>
      <c r="H651" s="30">
        <v>-43.95</v>
      </c>
      <c r="I651" s="30">
        <v>54.64</v>
      </c>
      <c r="L651" s="62">
        <v>-1.9999999996798579E-2</v>
      </c>
      <c r="N651" s="62">
        <v>38084.61</v>
      </c>
      <c r="O651" s="3">
        <f t="shared" si="16"/>
        <v>0</v>
      </c>
      <c r="P651" s="62">
        <v>-847.56</v>
      </c>
      <c r="Q651" s="62">
        <v>-0.22</v>
      </c>
      <c r="S651" s="62">
        <v>-847.78</v>
      </c>
      <c r="T651" s="3">
        <f t="shared" si="15"/>
        <v>0</v>
      </c>
      <c r="U651" s="62">
        <v>37236.83</v>
      </c>
      <c r="V651" s="1">
        <f>U651-P651-N651-Q651-R651+N651-I652-G652-F652-D651-E651-B651-K652-M651-H652-C651-L651</f>
        <v>0</v>
      </c>
    </row>
    <row r="652" spans="1:22" x14ac:dyDescent="0.25">
      <c r="A652" t="s">
        <v>798</v>
      </c>
      <c r="B652" s="62">
        <v>4271.8099999999995</v>
      </c>
      <c r="F652" s="62">
        <v>31428.73</v>
      </c>
      <c r="G652" s="62">
        <v>-1084.6199999999999</v>
      </c>
      <c r="I652" s="62">
        <v>73.47</v>
      </c>
      <c r="L652" s="62">
        <v>-9.9999999965802999E-3</v>
      </c>
      <c r="N652" s="62">
        <v>64918.84</v>
      </c>
      <c r="O652" s="3">
        <f t="shared" si="16"/>
        <v>0</v>
      </c>
      <c r="P652" s="62">
        <v>-329.22</v>
      </c>
      <c r="Q652" s="62">
        <v>-240.67</v>
      </c>
      <c r="S652" s="62">
        <v>-569.89</v>
      </c>
      <c r="T652" s="1">
        <f t="shared" si="15"/>
        <v>0</v>
      </c>
      <c r="U652" s="62">
        <v>64348.95</v>
      </c>
      <c r="V652" s="1">
        <f>U652-P652-N652-Q652-R652+N652-I653-G653-F653-D652-E652-B652-K653-M652-H653-C652-L652</f>
        <v>-1.0473399925103877E-11</v>
      </c>
    </row>
    <row r="653" spans="1:22" x14ac:dyDescent="0.25">
      <c r="A653" t="s">
        <v>799</v>
      </c>
      <c r="B653" s="62">
        <v>10541.16</v>
      </c>
      <c r="C653" s="62">
        <v>-1068.48</v>
      </c>
      <c r="F653" s="62">
        <v>61418.22</v>
      </c>
      <c r="G653" s="62">
        <v>-718.19999999999993</v>
      </c>
      <c r="H653" s="62">
        <v>-52.980000000000004</v>
      </c>
      <c r="L653" s="62">
        <v>-1.9999999996798579E-2</v>
      </c>
      <c r="N653" s="62">
        <v>50874.63</v>
      </c>
      <c r="O653" s="3">
        <f t="shared" si="16"/>
        <v>0</v>
      </c>
      <c r="P653" s="62">
        <v>-465.87</v>
      </c>
      <c r="Q653" s="62">
        <v>-126.2</v>
      </c>
      <c r="S653" s="62">
        <v>-592.07000000000005</v>
      </c>
      <c r="T653" s="1">
        <f t="shared" si="15"/>
        <v>0</v>
      </c>
      <c r="U653" s="62">
        <v>50282.559999999998</v>
      </c>
      <c r="V653" s="1">
        <f>U653-P653-N653-Q653-R653+N653-I654-G654-F654-D653-E653-B653-K654-M653-H654-C653-L653</f>
        <v>-1.5916157281026244E-12</v>
      </c>
    </row>
    <row r="654" spans="1:22" x14ac:dyDescent="0.25">
      <c r="A654" t="s">
        <v>800</v>
      </c>
      <c r="B654" s="107">
        <v>3365.9900000000002</v>
      </c>
      <c r="E654" s="107">
        <v>525.36</v>
      </c>
      <c r="F654" s="62">
        <v>43210.299999999996</v>
      </c>
      <c r="G654" s="62">
        <v>-1745.82</v>
      </c>
      <c r="H654" s="62">
        <v>-62.51</v>
      </c>
      <c r="N654" s="107">
        <v>20469.55</v>
      </c>
      <c r="O654" s="3">
        <f t="shared" si="16"/>
        <v>1.8189894035458565E-12</v>
      </c>
      <c r="P654" s="107">
        <v>-395.3</v>
      </c>
      <c r="S654" s="107">
        <v>-395.3</v>
      </c>
      <c r="T654" s="1">
        <f t="shared" si="15"/>
        <v>0</v>
      </c>
      <c r="U654" s="107">
        <v>20074.25</v>
      </c>
      <c r="V654" s="1">
        <f>U654-P654-N654-Q654-R654+N654-I655-G655-F655-D654-E654-B654-K655-M654-H655-C654-L654</f>
        <v>1.8189894035458565E-12</v>
      </c>
    </row>
    <row r="655" spans="1:22" x14ac:dyDescent="0.25">
      <c r="A655" t="s">
        <v>801</v>
      </c>
      <c r="B655" s="108">
        <v>3525.4300000000003</v>
      </c>
      <c r="F655" s="107">
        <v>17533.059999999998</v>
      </c>
      <c r="G655" s="107">
        <v>-975.62</v>
      </c>
      <c r="I655" s="107">
        <v>20.76</v>
      </c>
      <c r="L655" s="108">
        <v>-7.0000000000000007E-2</v>
      </c>
      <c r="O655" s="3">
        <f t="shared" si="16"/>
        <v>-20117.77</v>
      </c>
      <c r="P655" s="108">
        <v>-329.73</v>
      </c>
      <c r="Q655" s="108">
        <v>-240.66</v>
      </c>
      <c r="T655" s="1">
        <f t="shared" si="15"/>
        <v>570.39</v>
      </c>
    </row>
    <row r="656" spans="1:22" x14ac:dyDescent="0.25">
      <c r="A656" t="s">
        <v>802</v>
      </c>
      <c r="B656" s="108">
        <v>3798.57</v>
      </c>
      <c r="E656" s="108">
        <v>95.42</v>
      </c>
      <c r="F656" s="108">
        <v>17048</v>
      </c>
      <c r="G656" s="108">
        <v>-426.84999999999997</v>
      </c>
      <c r="H656" s="108">
        <v>-43.48</v>
      </c>
      <c r="I656" s="108">
        <v>14.74</v>
      </c>
      <c r="M656" s="108">
        <v>14353.04</v>
      </c>
      <c r="O656" s="3">
        <f t="shared" si="16"/>
        <v>-18247.030000000002</v>
      </c>
      <c r="P656" s="108">
        <v>-254.45</v>
      </c>
      <c r="Q656" s="108">
        <v>-88.48</v>
      </c>
      <c r="R656" s="108">
        <v>2046.87</v>
      </c>
      <c r="T656" s="1">
        <f t="shared" si="15"/>
        <v>-1703.9399999999998</v>
      </c>
    </row>
    <row r="657" spans="1:22" x14ac:dyDescent="0.25">
      <c r="A657" t="s">
        <v>803</v>
      </c>
      <c r="B657" s="108">
        <v>3589.23</v>
      </c>
      <c r="E657" s="108">
        <v>93.09</v>
      </c>
      <c r="N657" s="108">
        <v>81368.679999999993</v>
      </c>
      <c r="O657" s="3">
        <f t="shared" si="16"/>
        <v>38364.799999999988</v>
      </c>
      <c r="P657" s="108">
        <v>-316.60000000000002</v>
      </c>
      <c r="Q657" s="108">
        <v>-220.5</v>
      </c>
      <c r="S657" s="108">
        <v>596.45000000000005</v>
      </c>
      <c r="T657" s="1">
        <f t="shared" si="15"/>
        <v>1133.5500000000002</v>
      </c>
      <c r="U657" s="108">
        <v>81965.13</v>
      </c>
      <c r="V657" s="3">
        <f>U657-P657-N657-Q657-R657+N657-I658-G658-F658-D657-E657-B657-M656-R656-R655-Q656-Q655-P655-P656-K657-K656-I656-G656-F656-E656-E655-B656-B655-M655-D655-D656-M657-H656-C655-H658-K658-C656-L655-L656</f>
        <v>2.0887180873785383E-12</v>
      </c>
    </row>
    <row r="658" spans="1:22" x14ac:dyDescent="0.25">
      <c r="A658" t="s">
        <v>804</v>
      </c>
      <c r="B658" s="72">
        <v>3148.7999999999997</v>
      </c>
      <c r="C658" s="72">
        <v>-93.23</v>
      </c>
      <c r="F658" s="108">
        <v>39951.57</v>
      </c>
      <c r="G658" s="108">
        <v>-654.2299999999999</v>
      </c>
      <c r="I658" s="108">
        <v>24.22</v>
      </c>
      <c r="L658" s="72">
        <v>-0.17999999999665306</v>
      </c>
      <c r="N658" s="72">
        <v>30728.01</v>
      </c>
      <c r="O658" s="3">
        <f t="shared" ref="O658:O689" si="17">N658-K659-I659-H659-G659-F659-E658-D658-C658-B658-M658-L658</f>
        <v>0</v>
      </c>
      <c r="P658" s="72">
        <v>-37.6</v>
      </c>
      <c r="Q658" s="72">
        <v>-249.13</v>
      </c>
      <c r="S658" s="72">
        <v>-286.73</v>
      </c>
      <c r="T658" s="1">
        <f t="shared" si="15"/>
        <v>0</v>
      </c>
      <c r="U658" s="72">
        <v>30441.279999999999</v>
      </c>
      <c r="V658" s="1">
        <f>U658-P658-N658-Q658-R658+N658-I659-G659-F659-D658-E658-B658-K659-M658-H659-C658-L658</f>
        <v>-8.9528384705772623E-13</v>
      </c>
    </row>
    <row r="659" spans="1:22" x14ac:dyDescent="0.25">
      <c r="A659" t="s">
        <v>805</v>
      </c>
      <c r="B659" s="56">
        <v>6043.34</v>
      </c>
      <c r="E659" s="56">
        <v>823.03</v>
      </c>
      <c r="F659" s="72">
        <v>28593.649999999998</v>
      </c>
      <c r="G659" s="72">
        <v>-756.99</v>
      </c>
      <c r="H659" s="72">
        <v>-164.04</v>
      </c>
      <c r="L659" s="56">
        <v>-9.9999999995816324E-2</v>
      </c>
      <c r="N659" s="56">
        <v>43790.97</v>
      </c>
      <c r="O659" s="3">
        <f t="shared" si="17"/>
        <v>0</v>
      </c>
      <c r="P659" s="56">
        <v>-349.31</v>
      </c>
      <c r="Q659" s="56">
        <v>-125.07</v>
      </c>
      <c r="S659" s="56">
        <v>-474.38</v>
      </c>
      <c r="T659" s="1">
        <f t="shared" si="15"/>
        <v>0</v>
      </c>
      <c r="U659" s="56">
        <v>43316.59</v>
      </c>
      <c r="V659" s="1">
        <f>U659-P659-N659-Q659-R659+N659-I660-G660-F660-D659-E659-B659-K660-M659-H660-C659-L659</f>
        <v>-1.0480505352461478E-11</v>
      </c>
    </row>
    <row r="660" spans="1:22" x14ac:dyDescent="0.25">
      <c r="A660" t="s">
        <v>806</v>
      </c>
      <c r="B660" s="44">
        <v>21174.27</v>
      </c>
      <c r="F660" s="56">
        <v>37191.61</v>
      </c>
      <c r="G660" s="56">
        <v>-444.23999999999995</v>
      </c>
      <c r="H660" s="56">
        <v>-59.98</v>
      </c>
      <c r="I660" s="56">
        <v>237.31</v>
      </c>
      <c r="L660" s="44">
        <v>-0.22000000002663</v>
      </c>
      <c r="N660" s="44">
        <v>113785.43</v>
      </c>
      <c r="O660" s="3">
        <f t="shared" si="17"/>
        <v>0</v>
      </c>
      <c r="P660" s="44">
        <v>-744.2</v>
      </c>
      <c r="S660" s="44">
        <v>-744.2</v>
      </c>
      <c r="T660" s="1">
        <f t="shared" si="15"/>
        <v>0</v>
      </c>
      <c r="U660" s="44">
        <v>113041.23</v>
      </c>
      <c r="V660" s="1">
        <f>U660-P660-N660-Q660-R660+N660-I661-G661-F661-D660-E660-B660-K661-M660-H661-C660-L660</f>
        <v>6.4233063312713057E-12</v>
      </c>
    </row>
    <row r="661" spans="1:22" x14ac:dyDescent="0.25">
      <c r="A661" t="s">
        <v>807</v>
      </c>
      <c r="B661" s="60">
        <v>5033.42</v>
      </c>
      <c r="C661" s="60">
        <v>-503.05</v>
      </c>
      <c r="E661" s="60">
        <v>0.31</v>
      </c>
      <c r="F661" s="44">
        <v>92949.73000000001</v>
      </c>
      <c r="G661" s="44">
        <v>-196.81</v>
      </c>
      <c r="H661" s="44">
        <v>-141.54000000000002</v>
      </c>
      <c r="L661" s="60">
        <v>-0.11000000000422006</v>
      </c>
      <c r="N661" s="60">
        <v>36179.589999999997</v>
      </c>
      <c r="O661" s="3">
        <f t="shared" si="17"/>
        <v>0</v>
      </c>
      <c r="P661" s="60">
        <v>-201.64</v>
      </c>
      <c r="Q661" s="60">
        <v>-365.54</v>
      </c>
      <c r="S661" s="60">
        <v>-567.17999999999995</v>
      </c>
      <c r="T661" s="1">
        <f t="shared" si="15"/>
        <v>0</v>
      </c>
      <c r="U661" s="60">
        <v>35612.410000000003</v>
      </c>
      <c r="V661" s="1">
        <f>U661-P661-N661-Q661-R661+N661-I662-G662-F662-D661-E661-B661-K662-M661-H662-C661-L661</f>
        <v>7.1054273576010019E-12</v>
      </c>
    </row>
    <row r="662" spans="1:22" x14ac:dyDescent="0.25">
      <c r="A662" t="s">
        <v>808</v>
      </c>
      <c r="B662" s="62">
        <v>4051.65</v>
      </c>
      <c r="E662" s="62">
        <v>23.05</v>
      </c>
      <c r="F662" s="60">
        <v>32521.609999999997</v>
      </c>
      <c r="G662" s="60">
        <v>-942.69999999999993</v>
      </c>
      <c r="I662" s="60">
        <v>70.11</v>
      </c>
      <c r="L662" s="62">
        <v>-0.02</v>
      </c>
      <c r="O662" s="3">
        <f t="shared" si="17"/>
        <v>-33399.9</v>
      </c>
      <c r="P662" s="62">
        <v>-660.09</v>
      </c>
      <c r="Q662" s="62">
        <v>-123.81</v>
      </c>
      <c r="T662" s="1">
        <f t="shared" si="15"/>
        <v>783.90000000000009</v>
      </c>
    </row>
    <row r="663" spans="1:22" x14ac:dyDescent="0.25">
      <c r="A663" t="s">
        <v>809</v>
      </c>
      <c r="B663" s="62">
        <v>7121.06</v>
      </c>
      <c r="E663" s="62">
        <v>7.72</v>
      </c>
      <c r="F663" s="62">
        <v>29790.23</v>
      </c>
      <c r="G663" s="62">
        <v>-453.39</v>
      </c>
      <c r="H663" s="62">
        <v>-43.34</v>
      </c>
      <c r="I663" s="62">
        <v>31.72</v>
      </c>
      <c r="M663" s="62">
        <v>14495.46</v>
      </c>
      <c r="O663" s="3">
        <f t="shared" si="17"/>
        <v>-21699.239999999998</v>
      </c>
      <c r="P663" s="62">
        <v>-448.83</v>
      </c>
      <c r="R663" s="62">
        <v>1906.19</v>
      </c>
      <c r="T663" s="1">
        <f t="shared" si="15"/>
        <v>-1457.3600000000001</v>
      </c>
    </row>
    <row r="664" spans="1:22" x14ac:dyDescent="0.25">
      <c r="A664" t="s">
        <v>810</v>
      </c>
      <c r="B664" s="62">
        <v>3731.12</v>
      </c>
      <c r="E664" s="62">
        <v>5.84</v>
      </c>
      <c r="K664" s="62">
        <v>75</v>
      </c>
      <c r="N664" s="62">
        <v>92725.21</v>
      </c>
      <c r="O664" s="3">
        <f t="shared" si="17"/>
        <v>55099.139999999992</v>
      </c>
      <c r="P664" s="62">
        <v>-166.84</v>
      </c>
      <c r="Q664" s="62">
        <v>-132.06</v>
      </c>
      <c r="S664" s="62">
        <v>374.56</v>
      </c>
      <c r="T664" s="1">
        <f t="shared" ref="T664:T727" si="18">S664-R664-Q664-P664</f>
        <v>673.46</v>
      </c>
      <c r="U664" s="62">
        <v>93099.77</v>
      </c>
      <c r="V664" s="3">
        <f>U664-P664-N664-Q664-R664+N664-I665-G665-F665-D664-E664-B664-M663-R663-R662-Q663-Q662-P662-P663-K664-K663-I663-G663-F663-E663-E662-B663-B662-M662-D662-D663-M664-H663-C662-H665-K665-C663-L662-L663</f>
        <v>-2.1951791079333205E-11</v>
      </c>
    </row>
    <row r="665" spans="1:22" x14ac:dyDescent="0.25">
      <c r="A665" t="s">
        <v>811</v>
      </c>
      <c r="B665" s="93">
        <v>6402.5099999999993</v>
      </c>
      <c r="F665" s="62">
        <v>35745.570000000007</v>
      </c>
      <c r="G665" s="62">
        <v>-1960.56</v>
      </c>
      <c r="I665" s="62">
        <v>104.10000000000001</v>
      </c>
      <c r="N665" s="93">
        <v>31252.04</v>
      </c>
      <c r="O665" s="3">
        <f t="shared" si="17"/>
        <v>-9.0949470177292824E-13</v>
      </c>
      <c r="P665" s="93">
        <v>-597.45000000000005</v>
      </c>
      <c r="Q665" s="93">
        <f>-124.87 -374.69</f>
        <v>-499.56</v>
      </c>
      <c r="S665" s="93">
        <v>-1097.01</v>
      </c>
      <c r="T665" s="1">
        <f t="shared" si="18"/>
        <v>0</v>
      </c>
      <c r="U665" s="93">
        <v>30155.03</v>
      </c>
      <c r="V665" s="1">
        <f>U665-P665-N665-Q665-R665+N665-I666-G666-F666-D665-E665-B665-K666-M665-H666-C665-L665</f>
        <v>1.1368683772161603E-13</v>
      </c>
    </row>
    <row r="666" spans="1:22" x14ac:dyDescent="0.25">
      <c r="A666" t="s">
        <v>812</v>
      </c>
      <c r="B666" s="89">
        <v>15922.869999999999</v>
      </c>
      <c r="D666" s="89">
        <v>503.05</v>
      </c>
      <c r="E666" s="89">
        <v>17.150000000000002</v>
      </c>
      <c r="F666" s="93">
        <v>25457.31</v>
      </c>
      <c r="G666" s="93">
        <v>-557.6</v>
      </c>
      <c r="H666" s="93">
        <v>-67.12</v>
      </c>
      <c r="I666" s="93">
        <v>16.939999999999998</v>
      </c>
      <c r="L666" s="89">
        <v>-4.0000000000873115E-2</v>
      </c>
      <c r="N666" s="89">
        <v>69320.600000000006</v>
      </c>
      <c r="O666" s="3">
        <f t="shared" si="17"/>
        <v>0</v>
      </c>
      <c r="P666" s="89">
        <v>-298.97000000000003</v>
      </c>
      <c r="Q666" s="89">
        <f>-374.69 -33.86</f>
        <v>-408.55</v>
      </c>
      <c r="S666" s="89">
        <v>-707.52</v>
      </c>
      <c r="T666" s="1">
        <f t="shared" si="18"/>
        <v>0</v>
      </c>
      <c r="U666" s="89">
        <v>68613.08</v>
      </c>
      <c r="V666" s="1">
        <f>U666-P666-N666-Q666-R666+N666-I667-G667-F667-D666-E666-B666-K667-M666-H667-C666-L666</f>
        <v>6.4801497501321137E-12</v>
      </c>
    </row>
    <row r="667" spans="1:22" x14ac:dyDescent="0.25">
      <c r="A667" t="s">
        <v>813</v>
      </c>
      <c r="B667" s="62">
        <v>7658.23</v>
      </c>
      <c r="F667" s="89">
        <v>54551.25</v>
      </c>
      <c r="G667" s="89">
        <v>-757.56000000000006</v>
      </c>
      <c r="H667" s="89">
        <v>-916.12</v>
      </c>
      <c r="N667" s="62">
        <v>40606.449999999997</v>
      </c>
      <c r="O667" s="3">
        <f t="shared" si="17"/>
        <v>-1.0913936421275139E-11</v>
      </c>
      <c r="P667" s="62">
        <v>-548.29</v>
      </c>
      <c r="S667" s="62">
        <v>-548.29</v>
      </c>
      <c r="T667" s="1">
        <f t="shared" si="18"/>
        <v>0</v>
      </c>
      <c r="U667" s="62">
        <v>40058.160000000003</v>
      </c>
      <c r="V667" s="1">
        <f>U667-P667-N667-Q667-R667+N667-I668-G668-F668-D667-E667-B667-K668-M667-H668-C667-L667</f>
        <v>-1.5916157281026244E-12</v>
      </c>
    </row>
    <row r="668" spans="1:22" x14ac:dyDescent="0.25">
      <c r="A668" t="s">
        <v>814</v>
      </c>
      <c r="B668" s="57">
        <v>4739.1400000000003</v>
      </c>
      <c r="F668" s="62">
        <v>41584.57</v>
      </c>
      <c r="G668" s="62">
        <v>-7304.48</v>
      </c>
      <c r="H668" s="62">
        <v>-1334.74</v>
      </c>
      <c r="I668" s="62">
        <v>2.87</v>
      </c>
      <c r="L668" s="57">
        <v>-2.0000000004984031E-2</v>
      </c>
      <c r="N668" s="57">
        <v>50720.76</v>
      </c>
      <c r="O668" s="3">
        <f t="shared" si="17"/>
        <v>0</v>
      </c>
      <c r="P668" s="57">
        <v>-583.72</v>
      </c>
      <c r="S668" s="57">
        <v>-583.72</v>
      </c>
      <c r="T668" s="1">
        <f t="shared" si="18"/>
        <v>0</v>
      </c>
      <c r="U668" s="57">
        <v>50137.04</v>
      </c>
      <c r="V668" s="1">
        <f>U668-P668-N668-Q668-R668+N668-I669-G669-F669-D668-E668-B668-K669-M668-H669-C668-L668</f>
        <v>8.6686213762732223E-13</v>
      </c>
    </row>
    <row r="669" spans="1:22" x14ac:dyDescent="0.25">
      <c r="A669" t="s">
        <v>815</v>
      </c>
      <c r="B669" s="37">
        <v>6771.36</v>
      </c>
      <c r="C669" s="37">
        <v>-93.64</v>
      </c>
      <c r="F669" s="57">
        <v>47164.62</v>
      </c>
      <c r="G669" s="57">
        <v>-1094.0899999999999</v>
      </c>
      <c r="H669" s="57">
        <v>-93.46</v>
      </c>
      <c r="I669" s="57">
        <v>4.5699999999999994</v>
      </c>
      <c r="L669" s="37">
        <v>-0.01</v>
      </c>
      <c r="O669" s="3">
        <f t="shared" si="17"/>
        <v>-32214.65</v>
      </c>
      <c r="P669" s="37">
        <v>-882.38</v>
      </c>
      <c r="Q669" s="37">
        <v>-415.59</v>
      </c>
      <c r="T669" s="1">
        <f t="shared" si="18"/>
        <v>1297.97</v>
      </c>
    </row>
    <row r="670" spans="1:22" x14ac:dyDescent="0.25">
      <c r="A670" t="s">
        <v>816</v>
      </c>
      <c r="B670" s="37">
        <v>6234.3600000000006</v>
      </c>
      <c r="F670" s="37">
        <v>25658.989999999998</v>
      </c>
      <c r="G670" s="37">
        <v>-672.99</v>
      </c>
      <c r="H670" s="37">
        <v>-13.84</v>
      </c>
      <c r="I670" s="37">
        <v>564.78</v>
      </c>
      <c r="M670" s="37">
        <v>34157.560000000005</v>
      </c>
      <c r="O670" s="3">
        <f t="shared" si="17"/>
        <v>-40391.920000000006</v>
      </c>
      <c r="P670" s="37">
        <v>-397.97</v>
      </c>
      <c r="Q670" s="37">
        <v>-371.66</v>
      </c>
      <c r="R670" s="37">
        <v>8572.5</v>
      </c>
      <c r="T670" s="1">
        <f t="shared" si="18"/>
        <v>-7802.87</v>
      </c>
    </row>
    <row r="671" spans="1:22" x14ac:dyDescent="0.25">
      <c r="A671" t="s">
        <v>817</v>
      </c>
      <c r="B671" s="37">
        <v>5772.29</v>
      </c>
      <c r="L671" s="37">
        <v>-0.03</v>
      </c>
      <c r="M671" s="37">
        <v>15970.970000000001</v>
      </c>
      <c r="O671" s="3">
        <f t="shared" si="17"/>
        <v>-106142.99</v>
      </c>
      <c r="P671" s="37">
        <v>-308.45</v>
      </c>
      <c r="Q671" s="37">
        <v>-371.91</v>
      </c>
      <c r="R671" s="37">
        <v>1045.3699999999999</v>
      </c>
      <c r="T671" s="1">
        <f t="shared" si="18"/>
        <v>-365.00999999999982</v>
      </c>
    </row>
    <row r="672" spans="1:22" x14ac:dyDescent="0.25">
      <c r="A672" t="s">
        <v>818</v>
      </c>
      <c r="B672" s="37">
        <v>12798.06</v>
      </c>
      <c r="E672" s="37">
        <v>50.01</v>
      </c>
      <c r="F672" s="37">
        <v>84739.650000000009</v>
      </c>
      <c r="G672" s="37">
        <v>-412.57000000000005</v>
      </c>
      <c r="H672" s="37">
        <v>-2.17</v>
      </c>
      <c r="I672" s="37">
        <v>74.849999999999994</v>
      </c>
      <c r="L672" s="37">
        <v>-0.05</v>
      </c>
      <c r="N672" s="37">
        <v>236265.14</v>
      </c>
      <c r="O672" s="3">
        <f t="shared" si="17"/>
        <v>178749.56</v>
      </c>
      <c r="P672" s="37">
        <v>-221.62</v>
      </c>
      <c r="S672" s="109">
        <v>6648.29</v>
      </c>
      <c r="T672" s="1">
        <f t="shared" si="18"/>
        <v>6869.91</v>
      </c>
      <c r="U672" s="37">
        <v>242913.43</v>
      </c>
      <c r="V672" s="3">
        <f>U672-P672-N672-Q672-R672+N672-I673-G673-F673-D672-E672-B672-B669-D669-F670-G670-I670-M671-R671-R670-Q671-Q670-P670-P671-K672-K671-I671-G671-F671-E671-E670-B671-B670-M670-D670-D671-M672-H671-C670-H673-K673-C671-L670-F672-G672-I672-P669-Q669-L669-C669-L671-H670-L672-H672</f>
        <v>-3.6439296025037038E-11</v>
      </c>
    </row>
    <row r="673" spans="1:22" x14ac:dyDescent="0.25">
      <c r="A673" t="s">
        <v>819</v>
      </c>
      <c r="B673" s="110">
        <v>11911.300000000001</v>
      </c>
      <c r="E673" s="110">
        <v>17.350000000000001</v>
      </c>
      <c r="F673" s="37">
        <v>50497.08</v>
      </c>
      <c r="G673" s="37">
        <v>-5709.53</v>
      </c>
      <c r="H673" s="37">
        <v>-153.91</v>
      </c>
      <c r="I673" s="37">
        <v>33.92</v>
      </c>
      <c r="L673" s="110">
        <v>-0.25000000000727596</v>
      </c>
      <c r="N673" s="110">
        <v>64632.53</v>
      </c>
      <c r="O673" s="3">
        <f t="shared" si="17"/>
        <v>0</v>
      </c>
      <c r="P673" s="110">
        <v>-511.63</v>
      </c>
      <c r="Q673" s="110">
        <v>-240.58</v>
      </c>
      <c r="S673" s="110">
        <v>-752.21</v>
      </c>
      <c r="T673" s="1">
        <f t="shared" si="18"/>
        <v>0</v>
      </c>
      <c r="U673" s="110">
        <v>63880.32</v>
      </c>
      <c r="V673" s="1">
        <f>U673-P673-N673-Q673-R673+N673-I674-G674-F674-D673-E673-B673-K674-M673-H674-C673-L673</f>
        <v>7.567280135845067E-12</v>
      </c>
    </row>
    <row r="674" spans="1:22" x14ac:dyDescent="0.25">
      <c r="A674" t="s">
        <v>820</v>
      </c>
      <c r="B674" s="90">
        <v>29200.859999999997</v>
      </c>
      <c r="D674" s="90">
        <v>8.81</v>
      </c>
      <c r="E674" s="90">
        <v>56.85</v>
      </c>
      <c r="F674" s="110">
        <v>54938.89</v>
      </c>
      <c r="G674" s="110">
        <v>-2208.44</v>
      </c>
      <c r="H674" s="110">
        <v>-26.32</v>
      </c>
      <c r="L674" s="90">
        <v>-0.44999999998981366</v>
      </c>
      <c r="N674" s="90">
        <v>75655.710000000006</v>
      </c>
      <c r="O674" s="3">
        <f t="shared" si="17"/>
        <v>0</v>
      </c>
      <c r="P674" s="90">
        <v>-279.72000000000003</v>
      </c>
      <c r="Q674" s="90">
        <v>-370.79</v>
      </c>
      <c r="S674" s="90">
        <v>-650.51</v>
      </c>
      <c r="T674" s="1">
        <f t="shared" si="18"/>
        <v>0</v>
      </c>
      <c r="U674" s="90">
        <v>75005.2</v>
      </c>
      <c r="V674" s="1">
        <f>U674-P674-N674-Q674-R674+N674-I675-G675-F675-D674-E674-B674-K675-M674-H675-C674-L674</f>
        <v>-1.2224887768752524E-11</v>
      </c>
    </row>
    <row r="675" spans="1:22" x14ac:dyDescent="0.25">
      <c r="A675" t="s">
        <v>821</v>
      </c>
      <c r="B675" s="10">
        <v>25157.49</v>
      </c>
      <c r="E675" s="10">
        <v>8.2000000000000011</v>
      </c>
      <c r="F675" s="90">
        <v>46736.979999999996</v>
      </c>
      <c r="G675" s="90">
        <v>-441.03</v>
      </c>
      <c r="H675" s="90">
        <v>-18.559999999999999</v>
      </c>
      <c r="I675" s="90">
        <v>112.25</v>
      </c>
      <c r="L675" s="10">
        <v>-0.15000000000873115</v>
      </c>
      <c r="N675" s="10">
        <v>92558.12</v>
      </c>
      <c r="O675" s="3">
        <f t="shared" si="17"/>
        <v>0</v>
      </c>
      <c r="P675" s="10">
        <v>-87.77</v>
      </c>
      <c r="Q675" s="10">
        <v>-244.67</v>
      </c>
      <c r="S675" s="10">
        <v>-332.44</v>
      </c>
      <c r="T675" s="1">
        <f t="shared" si="18"/>
        <v>0</v>
      </c>
      <c r="U675" s="10">
        <v>92225.68</v>
      </c>
      <c r="V675" s="1">
        <f>U675-P675-N675-Q675-R675+N675-I676-G676-F676-D675-E675-B675-K676-M675-H676-C675-L675</f>
        <v>0</v>
      </c>
    </row>
    <row r="676" spans="1:22" x14ac:dyDescent="0.25">
      <c r="A676" t="s">
        <v>822</v>
      </c>
      <c r="B676" s="111">
        <v>18585.27</v>
      </c>
      <c r="D676" s="111">
        <v>1071.69</v>
      </c>
      <c r="E676" s="111">
        <v>6.68</v>
      </c>
      <c r="F676" s="10">
        <v>68298.83</v>
      </c>
      <c r="G676" s="10">
        <v>-925.92</v>
      </c>
      <c r="I676" s="10">
        <v>19.669999999999998</v>
      </c>
      <c r="L676" s="111">
        <v>-0.37</v>
      </c>
      <c r="O676" s="3">
        <f t="shared" si="17"/>
        <v>-58513.189999999995</v>
      </c>
      <c r="P676" s="111">
        <v>-382.94</v>
      </c>
      <c r="T676" s="1">
        <f t="shared" si="18"/>
        <v>382.94</v>
      </c>
    </row>
    <row r="677" spans="1:22" x14ac:dyDescent="0.25">
      <c r="A677" t="s">
        <v>823</v>
      </c>
      <c r="B677" s="111">
        <v>11906.38</v>
      </c>
      <c r="F677" s="111">
        <v>39441.81</v>
      </c>
      <c r="G677" s="111">
        <v>-572</v>
      </c>
      <c r="H677" s="111">
        <v>-19.89</v>
      </c>
      <c r="L677" s="111">
        <v>-0.18</v>
      </c>
      <c r="M677" s="111">
        <v>19615.560000000001</v>
      </c>
      <c r="O677" s="3">
        <f t="shared" si="17"/>
        <v>-31521.760000000002</v>
      </c>
      <c r="P677" s="111">
        <v>-265.14</v>
      </c>
      <c r="Q677" s="111">
        <v>-245.38</v>
      </c>
      <c r="R677" s="111">
        <v>2353.1999999999998</v>
      </c>
      <c r="T677" s="1">
        <f t="shared" si="18"/>
        <v>-1842.6799999999998</v>
      </c>
    </row>
    <row r="678" spans="1:22" x14ac:dyDescent="0.25">
      <c r="A678" t="s">
        <v>824</v>
      </c>
      <c r="B678" s="111">
        <v>9719.7100000000009</v>
      </c>
      <c r="N678" s="111">
        <v>169971.33</v>
      </c>
      <c r="O678" s="3">
        <f t="shared" si="17"/>
        <v>90034.95</v>
      </c>
      <c r="P678" s="111">
        <v>-49.27</v>
      </c>
      <c r="Q678" s="111">
        <v>-371.44</v>
      </c>
      <c r="S678" s="111">
        <v>1039.03</v>
      </c>
      <c r="T678" s="1">
        <f t="shared" si="18"/>
        <v>1459.74</v>
      </c>
      <c r="U678" s="111">
        <v>171010.36</v>
      </c>
      <c r="V678" s="3">
        <f>U678-P678-N678-Q678-R678+N678-I679-G679-F679-D678-E678-B678-M677-R677-R676-Q677-Q676-P676-P677-K678-K677-I677-G677-F677-E677-E676-B677-B676-M676-D676-D677-M678-H677-C676-H679-K679-C677-L676-L677</f>
        <v>-8.054723554806742E-12</v>
      </c>
    </row>
    <row r="679" spans="1:22" x14ac:dyDescent="0.25">
      <c r="A679" t="s">
        <v>825</v>
      </c>
      <c r="B679" s="82">
        <v>8587.82</v>
      </c>
      <c r="F679" s="111">
        <v>71370.760000000009</v>
      </c>
      <c r="G679" s="111">
        <v>-1146.73</v>
      </c>
      <c r="H679" s="111">
        <v>-98.95</v>
      </c>
      <c r="I679" s="111">
        <v>91.59</v>
      </c>
      <c r="L679" s="82">
        <v>-0.34999999999854481</v>
      </c>
      <c r="N679" s="82">
        <v>66109.39</v>
      </c>
      <c r="O679" s="3">
        <f t="shared" si="17"/>
        <v>0</v>
      </c>
      <c r="P679" s="82">
        <v>-859.41</v>
      </c>
      <c r="Q679" s="82">
        <v>-369.42</v>
      </c>
      <c r="S679" s="82">
        <v>-1228.83</v>
      </c>
      <c r="T679" s="1">
        <f t="shared" si="18"/>
        <v>0</v>
      </c>
      <c r="U679" s="82">
        <v>64880.56</v>
      </c>
      <c r="V679" s="1">
        <f>U679-P679-N679-Q679-R679+N679-I680-G680-F680-D679-E679-B679-K680-M679-H680-C679-L679</f>
        <v>-1.7053025658242404E-12</v>
      </c>
    </row>
    <row r="680" spans="1:22" x14ac:dyDescent="0.25">
      <c r="A680" t="s">
        <v>826</v>
      </c>
      <c r="B680" s="8">
        <v>6676.25</v>
      </c>
      <c r="E680" s="8">
        <v>49.7</v>
      </c>
      <c r="F680" s="82">
        <v>58971.360000000001</v>
      </c>
      <c r="G680" s="82">
        <v>-646</v>
      </c>
      <c r="H680" s="82">
        <v>-809.08</v>
      </c>
      <c r="I680" s="82">
        <v>5.64</v>
      </c>
      <c r="L680" s="8">
        <v>-0.14000000000942237</v>
      </c>
      <c r="N680" s="8">
        <v>66209.95</v>
      </c>
      <c r="O680" s="3">
        <f t="shared" si="17"/>
        <v>0</v>
      </c>
      <c r="P680" s="8">
        <v>-1063.22</v>
      </c>
      <c r="Q680" s="8">
        <v>-250.36</v>
      </c>
      <c r="S680" s="8">
        <v>-1313.58</v>
      </c>
      <c r="T680" s="1">
        <f t="shared" si="18"/>
        <v>0</v>
      </c>
      <c r="U680" s="8">
        <v>64896.37</v>
      </c>
      <c r="V680" s="1">
        <f>U680-P680-N680-Q680-R680+N680-I681-G681-F681-D680-E680-B680-K681-M680-H681-C680-L680</f>
        <v>4.0927261579781771E-12</v>
      </c>
    </row>
    <row r="681" spans="1:22" x14ac:dyDescent="0.25">
      <c r="A681" t="s">
        <v>827</v>
      </c>
      <c r="B681" s="9">
        <v>4904.1299999999992</v>
      </c>
      <c r="E681" s="9">
        <v>4.33</v>
      </c>
      <c r="F681" s="8">
        <v>60387.519999999997</v>
      </c>
      <c r="G681" s="8">
        <v>-520.3599999999999</v>
      </c>
      <c r="H681" s="8">
        <v>-452.98</v>
      </c>
      <c r="I681" s="8">
        <v>69.959999999999994</v>
      </c>
      <c r="L681" s="9">
        <v>-0.36000000000058208</v>
      </c>
      <c r="N681" s="9">
        <v>40992.11</v>
      </c>
      <c r="O681" s="3">
        <f t="shared" si="17"/>
        <v>0</v>
      </c>
      <c r="P681" s="9">
        <v>-1193.03</v>
      </c>
      <c r="Q681" s="9">
        <v>-62.01</v>
      </c>
      <c r="S681" s="9">
        <v>-1255.04</v>
      </c>
      <c r="T681" s="1">
        <f t="shared" si="18"/>
        <v>0</v>
      </c>
      <c r="U681" s="9">
        <v>39737.07</v>
      </c>
      <c r="V681" s="1">
        <f>U681-P681-N681-Q681-R681+N681-I682-G682-F682-D681-E681-B681-K682-M681-H682-C681-L681</f>
        <v>-1.7337242752546445E-12</v>
      </c>
    </row>
    <row r="682" spans="1:22" x14ac:dyDescent="0.25">
      <c r="A682" t="s">
        <v>828</v>
      </c>
      <c r="B682" s="99">
        <v>8510.4399999999987</v>
      </c>
      <c r="E682" s="99">
        <v>88.559999999999988</v>
      </c>
      <c r="F682" s="9">
        <v>37059.26</v>
      </c>
      <c r="G682" s="9">
        <v>-845.71</v>
      </c>
      <c r="H682" s="9">
        <v>-149.08000000000001</v>
      </c>
      <c r="I682" s="9">
        <v>19.54</v>
      </c>
      <c r="L682" s="99">
        <v>-8.9999999994688551E-2</v>
      </c>
      <c r="N682" s="99">
        <v>42047.48</v>
      </c>
      <c r="O682" s="3">
        <f t="shared" si="17"/>
        <v>0</v>
      </c>
      <c r="P682" s="99">
        <v>-50.91</v>
      </c>
      <c r="S682" s="99">
        <v>-50.91</v>
      </c>
      <c r="T682" s="1">
        <f t="shared" si="18"/>
        <v>0</v>
      </c>
      <c r="U682" s="99">
        <v>41996.57</v>
      </c>
      <c r="V682" s="1">
        <f>U682-P682-N682-Q682-R682+N682-I683-G683-F683-D682-E682-B682-K683-M682-H683-C682-L682</f>
        <v>1.1652900866465643E-12</v>
      </c>
    </row>
    <row r="683" spans="1:22" x14ac:dyDescent="0.25">
      <c r="A683" t="s">
        <v>829</v>
      </c>
      <c r="B683" s="107">
        <v>3066.69</v>
      </c>
      <c r="E683" s="107">
        <v>1.84</v>
      </c>
      <c r="F683" s="99">
        <v>33629.5</v>
      </c>
      <c r="G683" s="99">
        <v>-240.87</v>
      </c>
      <c r="H683" s="99">
        <v>-169.28</v>
      </c>
      <c r="I683" s="99">
        <v>229.22000000000003</v>
      </c>
      <c r="O683" s="3">
        <f t="shared" si="17"/>
        <v>-45824.88</v>
      </c>
      <c r="P683" s="107">
        <v>-428.65</v>
      </c>
      <c r="Q683" s="107">
        <v>-240.98</v>
      </c>
      <c r="T683" s="1">
        <f t="shared" si="18"/>
        <v>669.63</v>
      </c>
    </row>
    <row r="684" spans="1:22" x14ac:dyDescent="0.25">
      <c r="A684" t="s">
        <v>830</v>
      </c>
      <c r="B684" s="107">
        <v>5594.8799999999992</v>
      </c>
      <c r="E684" s="107">
        <v>5.89</v>
      </c>
      <c r="F684" s="107">
        <v>42510.28</v>
      </c>
      <c r="G684" s="107">
        <v>-363.64</v>
      </c>
      <c r="H684" s="107">
        <v>-204.73999999999998</v>
      </c>
      <c r="I684" s="107">
        <v>814.44999999999993</v>
      </c>
      <c r="L684" s="107">
        <v>-0.1</v>
      </c>
      <c r="M684" s="107">
        <v>14582.21</v>
      </c>
      <c r="O684" s="3">
        <f t="shared" si="17"/>
        <v>-20182.88</v>
      </c>
      <c r="P684" s="107">
        <v>-433.45</v>
      </c>
      <c r="Q684" s="107">
        <v>-42.99</v>
      </c>
      <c r="R684" s="107">
        <v>1854.34</v>
      </c>
      <c r="T684" s="1">
        <f t="shared" si="18"/>
        <v>-1377.8999999999999</v>
      </c>
    </row>
    <row r="685" spans="1:22" x14ac:dyDescent="0.25">
      <c r="A685" t="s">
        <v>831</v>
      </c>
      <c r="B685" s="107">
        <v>5949.84</v>
      </c>
      <c r="E685" s="107">
        <v>5.09</v>
      </c>
      <c r="L685" s="107">
        <v>-0.36</v>
      </c>
      <c r="N685" s="107">
        <v>128498.3</v>
      </c>
      <c r="O685" s="3">
        <f t="shared" si="17"/>
        <v>66007.759999999995</v>
      </c>
      <c r="P685" s="107">
        <v>-173.6</v>
      </c>
      <c r="Q685" s="107">
        <v>-46.79</v>
      </c>
      <c r="S685" s="107">
        <v>487.88</v>
      </c>
      <c r="T685" s="1">
        <f t="shared" si="18"/>
        <v>708.27</v>
      </c>
      <c r="U685" s="107">
        <v>128986.18</v>
      </c>
      <c r="V685" s="3">
        <f>U685-P685-N685-Q685-R685+N685-I686-G686-F686-D685-E685-B685-M684-R684-R683-Q684-Q683-P683-P684-K685-K684-I684-G684-F684-E684-E683-B684-B683-M683-D683-D684-M685-H684-C683-H686-K686-C684-L683-L684-L685</f>
        <v>-7.5681683142647671E-12</v>
      </c>
    </row>
    <row r="686" spans="1:22" x14ac:dyDescent="0.25">
      <c r="A686" t="s">
        <v>832</v>
      </c>
      <c r="B686" s="11">
        <v>5728.37</v>
      </c>
      <c r="E686" s="11">
        <v>19.88</v>
      </c>
      <c r="F686" s="107">
        <v>56972.73</v>
      </c>
      <c r="G686" s="107">
        <v>-478.76</v>
      </c>
      <c r="I686" s="107">
        <v>42</v>
      </c>
      <c r="L686" s="11">
        <v>-0.50999999999839929</v>
      </c>
      <c r="N686" s="11">
        <v>28595.64</v>
      </c>
      <c r="O686" s="3">
        <f t="shared" si="17"/>
        <v>0</v>
      </c>
      <c r="P686" s="11">
        <v>-274.10000000000002</v>
      </c>
      <c r="Q686" s="11">
        <f>-125.12 -125.12</f>
        <v>-250.24</v>
      </c>
      <c r="S686" s="11">
        <v>-524.34</v>
      </c>
      <c r="T686" s="1">
        <f t="shared" si="18"/>
        <v>0</v>
      </c>
      <c r="U686" s="11">
        <v>28071.3</v>
      </c>
      <c r="V686" s="1">
        <f>U686-P686-N686-Q686-R686+N686-I687-G687-F687-D686-E686-B686-K687-M686-H687-C686-L686</f>
        <v>0</v>
      </c>
    </row>
    <row r="687" spans="1:22" x14ac:dyDescent="0.25">
      <c r="A687" t="s">
        <v>833</v>
      </c>
      <c r="B687" s="62">
        <v>5156.1400000000003</v>
      </c>
      <c r="C687" s="62">
        <v>-92.899999999999991</v>
      </c>
      <c r="D687" s="3"/>
      <c r="E687" s="62">
        <v>98.7</v>
      </c>
      <c r="F687" s="11">
        <v>24895.45</v>
      </c>
      <c r="G687" s="11">
        <v>-2214.3999999999996</v>
      </c>
      <c r="I687" s="11">
        <v>166.85000000000002</v>
      </c>
      <c r="L687" s="62">
        <v>-0.19999999999527063</v>
      </c>
      <c r="N687" s="62">
        <v>39743.89</v>
      </c>
      <c r="O687" s="3">
        <f t="shared" si="17"/>
        <v>0</v>
      </c>
      <c r="P687" s="62">
        <v>-667</v>
      </c>
      <c r="Q687" s="62">
        <f>-249.29 -124.17 -372.96</f>
        <v>-746.42</v>
      </c>
      <c r="S687" s="62">
        <v>-1413.42</v>
      </c>
      <c r="T687" s="1">
        <f t="shared" si="18"/>
        <v>0</v>
      </c>
      <c r="U687" s="62">
        <v>38330.47</v>
      </c>
      <c r="V687" s="1">
        <f>U687-P687-N687-Q687-R687+N687-I688-G688-F688-D687-E687-B687-K688-M687-H688-C687-L687</f>
        <v>-1.3926637620897964E-12</v>
      </c>
    </row>
    <row r="688" spans="1:22" x14ac:dyDescent="0.25">
      <c r="A688" t="s">
        <v>834</v>
      </c>
      <c r="B688" s="99">
        <v>8641.92</v>
      </c>
      <c r="C688" s="99">
        <v>-93.16</v>
      </c>
      <c r="D688" s="3"/>
      <c r="E688" s="3"/>
      <c r="F688" s="62">
        <v>35193.08</v>
      </c>
      <c r="G688" s="62">
        <v>-611.91</v>
      </c>
      <c r="H688" s="62">
        <v>-17.580000000000002</v>
      </c>
      <c r="I688" s="62">
        <v>18.559999999999999</v>
      </c>
      <c r="L688" s="99">
        <v>-0.26999999999497959</v>
      </c>
      <c r="N688" s="99">
        <v>88281.23</v>
      </c>
      <c r="O688" s="3">
        <f t="shared" si="17"/>
        <v>0</v>
      </c>
      <c r="P688" s="99">
        <v>-632.29</v>
      </c>
      <c r="Q688" s="99">
        <v>-250.43</v>
      </c>
      <c r="S688" s="99">
        <v>-882.72</v>
      </c>
      <c r="T688" s="1">
        <f t="shared" si="18"/>
        <v>0</v>
      </c>
      <c r="U688" s="99">
        <v>87398.51</v>
      </c>
      <c r="V688" s="1">
        <f>U688-P688-N688-Q688-R688+N688-I689-G689-F689-D688-E688-B688-K689-M688-H689-C688-L688</f>
        <v>-1.5575096767861396E-11</v>
      </c>
    </row>
    <row r="689" spans="1:22" x14ac:dyDescent="0.25">
      <c r="A689" t="s">
        <v>835</v>
      </c>
      <c r="B689" s="2">
        <v>6087.81</v>
      </c>
      <c r="F689" s="99">
        <v>81072.84</v>
      </c>
      <c r="G689" s="99">
        <v>-1311.1299999999999</v>
      </c>
      <c r="H689" s="99">
        <v>-28.97</v>
      </c>
      <c r="L689" s="2">
        <v>-0.49000000000069122</v>
      </c>
      <c r="N689" s="2">
        <v>56807.01</v>
      </c>
      <c r="O689" s="3">
        <f t="shared" si="17"/>
        <v>0</v>
      </c>
      <c r="P689" s="2">
        <v>-273.72000000000003</v>
      </c>
      <c r="Q689" s="2">
        <v>-488.96</v>
      </c>
      <c r="S689" s="2">
        <v>-762.68</v>
      </c>
      <c r="T689" s="1">
        <f t="shared" si="18"/>
        <v>0</v>
      </c>
      <c r="U689" s="2">
        <v>56044.33</v>
      </c>
      <c r="V689" s="1">
        <f>U689-P689-N689-Q689-R689+N689-I690-G690-F690-D689-E689-B689-K690-M689-H690-C689-L689</f>
        <v>8.6686213762732223E-13</v>
      </c>
    </row>
    <row r="690" spans="1:22" x14ac:dyDescent="0.25">
      <c r="A690" t="s">
        <v>836</v>
      </c>
      <c r="B690" s="98">
        <v>8048.8600000000006</v>
      </c>
      <c r="F690" s="2">
        <v>51259.200000000004</v>
      </c>
      <c r="G690" s="2">
        <v>-478.8</v>
      </c>
      <c r="H690" s="2">
        <v>-60.709999999999994</v>
      </c>
      <c r="L690" s="98">
        <v>-0.09</v>
      </c>
      <c r="O690" s="3">
        <f t="shared" ref="O690:O721" si="19">N690-K691-I691-H691-G691-F691-E690-D690-C690-B690-M690-L690</f>
        <v>-76574.280000000013</v>
      </c>
      <c r="P690" s="98">
        <v>-84.14</v>
      </c>
      <c r="Q690" s="98">
        <v>-491.2</v>
      </c>
      <c r="T690" s="1">
        <f t="shared" si="18"/>
        <v>575.34</v>
      </c>
    </row>
    <row r="691" spans="1:22" x14ac:dyDescent="0.25">
      <c r="A691" t="s">
        <v>837</v>
      </c>
      <c r="B691" s="98">
        <v>9700.4500000000007</v>
      </c>
      <c r="F691" s="98">
        <v>69896.41</v>
      </c>
      <c r="G691" s="98">
        <v>-1393.3300000000002</v>
      </c>
      <c r="H691" s="98">
        <v>-25.79</v>
      </c>
      <c r="I691" s="98">
        <v>48.22</v>
      </c>
      <c r="L691" s="98">
        <v>-0.2</v>
      </c>
      <c r="M691" s="98">
        <v>16394.09</v>
      </c>
      <c r="O691" s="3">
        <f t="shared" si="19"/>
        <v>-26094.34</v>
      </c>
      <c r="P691" s="98">
        <v>-397.46</v>
      </c>
      <c r="Q691" s="98">
        <v>-248.12</v>
      </c>
      <c r="R691" s="98">
        <v>1967.69</v>
      </c>
      <c r="T691" s="1">
        <f t="shared" si="18"/>
        <v>-1322.1100000000001</v>
      </c>
    </row>
    <row r="692" spans="1:22" x14ac:dyDescent="0.25">
      <c r="A692" t="s">
        <v>838</v>
      </c>
      <c r="B692" s="98">
        <v>2487.42</v>
      </c>
      <c r="N692" s="98">
        <v>174684.85</v>
      </c>
      <c r="O692" s="3">
        <f t="shared" si="19"/>
        <v>102668.62000000002</v>
      </c>
      <c r="P692" s="98">
        <v>-24.81</v>
      </c>
      <c r="Q692" s="98">
        <v>-250.37</v>
      </c>
      <c r="S692" s="98">
        <v>471.59</v>
      </c>
      <c r="T692" s="1">
        <f t="shared" si="18"/>
        <v>746.77</v>
      </c>
      <c r="U692" s="98">
        <v>175156.44</v>
      </c>
      <c r="V692" s="3">
        <f>U692-P692-N692-Q692-R692+N692-I693-G693-F693-D692-E692-B692-M691-R691-R690-Q691-Q690-P690-P691-K692-K691-I691-G691-F691-E691-E690-B691-B690-M690-D690-D691-M692-H691-C690-H693-K693-C691-L690-L691-L692</f>
        <v>-4.8028525601040428E-12</v>
      </c>
    </row>
    <row r="693" spans="1:22" x14ac:dyDescent="0.25">
      <c r="A693" t="s">
        <v>839</v>
      </c>
      <c r="B693" s="62">
        <v>4784.66</v>
      </c>
      <c r="C693" s="62">
        <v>-182.68</v>
      </c>
      <c r="F693" s="98">
        <v>70194.2</v>
      </c>
      <c r="G693" s="98">
        <v>-661.75</v>
      </c>
      <c r="H693" s="98">
        <v>-3.64</v>
      </c>
      <c r="L693" s="62">
        <v>-0.18000000000392902</v>
      </c>
      <c r="N693" s="62">
        <v>41084.19</v>
      </c>
      <c r="O693" s="3">
        <f t="shared" si="19"/>
        <v>0</v>
      </c>
      <c r="P693" s="62">
        <v>-100.24</v>
      </c>
      <c r="Q693" s="62">
        <v>-250.22</v>
      </c>
      <c r="S693" s="62">
        <v>-350.46</v>
      </c>
      <c r="T693" s="1">
        <f t="shared" si="18"/>
        <v>0</v>
      </c>
      <c r="U693" s="62">
        <v>40733.730000000003</v>
      </c>
      <c r="V693" s="1">
        <f>U693-P693-N693-Q693-R693+N693-I694-G694-F694-D693-E693-B693-K694-M693-H694-C693-L693</f>
        <v>1.7621459846850485E-12</v>
      </c>
    </row>
    <row r="694" spans="1:22" x14ac:dyDescent="0.25">
      <c r="A694" t="s">
        <v>840</v>
      </c>
      <c r="B694" s="90">
        <v>4733.9000000000005</v>
      </c>
      <c r="C694" s="90">
        <v>-91.05</v>
      </c>
      <c r="E694" s="90">
        <v>259.79000000000002</v>
      </c>
      <c r="F694" s="62">
        <v>37387.450000000004</v>
      </c>
      <c r="G694" s="62">
        <v>-878.31999999999994</v>
      </c>
      <c r="H694" s="62">
        <v>-26.74</v>
      </c>
      <c r="L694" s="90">
        <v>-2.9999999999745341E-2</v>
      </c>
      <c r="N694" s="90">
        <v>46721.37</v>
      </c>
      <c r="O694" s="3">
        <f t="shared" si="19"/>
        <v>0</v>
      </c>
      <c r="P694" s="90">
        <v>-519.48</v>
      </c>
      <c r="Q694" s="90">
        <f>-169.18-137.62</f>
        <v>-306.8</v>
      </c>
      <c r="S694" s="90">
        <v>-826.28</v>
      </c>
      <c r="T694" s="1">
        <f t="shared" si="18"/>
        <v>0</v>
      </c>
      <c r="U694" s="90">
        <v>45895.09</v>
      </c>
      <c r="V694" s="1">
        <f>U694-P694-N694-Q694-R694+N694-I695-G695-F695-D694-E694-B694-K695-M694-H695-C694-L694</f>
        <v>2.7142732506035827E-12</v>
      </c>
    </row>
    <row r="695" spans="1:22" x14ac:dyDescent="0.25">
      <c r="A695" t="s">
        <v>841</v>
      </c>
      <c r="B695" s="37">
        <v>4544.75</v>
      </c>
      <c r="F695" s="90">
        <v>42577.01</v>
      </c>
      <c r="G695" s="90">
        <v>-735.48</v>
      </c>
      <c r="H695" s="90">
        <v>-44.199999999999996</v>
      </c>
      <c r="I695" s="90">
        <v>21.430000000000003</v>
      </c>
      <c r="L695" s="37">
        <v>-6.9999999999708962E-2</v>
      </c>
      <c r="N695" s="37">
        <v>50966.37</v>
      </c>
      <c r="O695" s="3">
        <f t="shared" si="19"/>
        <v>0</v>
      </c>
      <c r="P695" s="37">
        <v>-310.14</v>
      </c>
      <c r="Q695" s="37">
        <v>-744.45</v>
      </c>
      <c r="S695" s="37">
        <v>-1054.5899999999999</v>
      </c>
      <c r="T695" s="1">
        <f t="shared" si="18"/>
        <v>0</v>
      </c>
      <c r="U695" s="37">
        <v>49911.78</v>
      </c>
      <c r="V695" s="1">
        <f>U695-P695-N695-Q695-R695+N695-I696-G696-F696-D695-E695-B695-K696-M695-H696-C695-L695</f>
        <v>-1.0757617019407917E-11</v>
      </c>
    </row>
    <row r="696" spans="1:22" x14ac:dyDescent="0.25">
      <c r="A696" t="s">
        <v>842</v>
      </c>
      <c r="B696" s="5">
        <v>4993.9799999999996</v>
      </c>
      <c r="E696" s="5">
        <v>13.27</v>
      </c>
      <c r="F696" s="37">
        <v>47999.76</v>
      </c>
      <c r="G696" s="37">
        <v>-1627.67</v>
      </c>
      <c r="H696" s="37">
        <v>-73.410000000000011</v>
      </c>
      <c r="I696" s="37">
        <v>123.01</v>
      </c>
      <c r="L696" s="5">
        <v>-5.0000000010186341E-2</v>
      </c>
      <c r="N696" s="5">
        <v>-51352.54</v>
      </c>
      <c r="O696" s="3">
        <f t="shared" si="19"/>
        <v>0</v>
      </c>
      <c r="P696" s="5">
        <v>-479.43</v>
      </c>
      <c r="Q696" s="5">
        <v>-370.35</v>
      </c>
      <c r="S696" s="5">
        <v>-849.78</v>
      </c>
      <c r="T696" s="1">
        <f t="shared" si="18"/>
        <v>0</v>
      </c>
      <c r="U696" s="5">
        <v>-52202.32</v>
      </c>
      <c r="V696" s="1">
        <f>U696-P696-N696-Q696-R696+N696-I697-G697-F697-D696-E696-B696-K697-M696-H697-C696-L696</f>
        <v>7.2759576141834259E-12</v>
      </c>
    </row>
    <row r="697" spans="1:22" x14ac:dyDescent="0.25">
      <c r="A697" t="s">
        <v>843</v>
      </c>
      <c r="B697" s="43">
        <v>3049.68</v>
      </c>
      <c r="F697" s="5">
        <v>43377.37</v>
      </c>
      <c r="G697" s="5">
        <v>-751.88</v>
      </c>
      <c r="H697" s="5">
        <v>-99063.14</v>
      </c>
      <c r="I697" s="5">
        <v>77.910000000000011</v>
      </c>
      <c r="L697" s="43">
        <v>-7.0000000000000007E-2</v>
      </c>
      <c r="O697" s="3">
        <f t="shared" si="19"/>
        <v>-68331.569999999992</v>
      </c>
      <c r="P697" s="43">
        <v>-620</v>
      </c>
      <c r="Q697" s="43">
        <v>-125.01</v>
      </c>
      <c r="T697" s="1">
        <f t="shared" si="18"/>
        <v>745.01</v>
      </c>
    </row>
    <row r="698" spans="1:22" x14ac:dyDescent="0.25">
      <c r="A698" t="s">
        <v>844</v>
      </c>
      <c r="B698" s="43">
        <v>2767.79</v>
      </c>
      <c r="F698" s="43">
        <v>65930.8</v>
      </c>
      <c r="G698" s="43">
        <v>-630.61</v>
      </c>
      <c r="H698" s="43">
        <v>-18.23</v>
      </c>
      <c r="M698" s="43">
        <v>39398.68</v>
      </c>
      <c r="N698" s="3"/>
      <c r="O698" s="3">
        <f t="shared" si="19"/>
        <v>-42166.47</v>
      </c>
      <c r="P698" s="43">
        <v>-682.14</v>
      </c>
      <c r="Q698" s="43">
        <v>-365.36</v>
      </c>
      <c r="T698" s="1">
        <f t="shared" si="18"/>
        <v>1047.5</v>
      </c>
    </row>
    <row r="699" spans="1:22" x14ac:dyDescent="0.25">
      <c r="A699" t="s">
        <v>845</v>
      </c>
      <c r="B699" s="43">
        <v>11150.65</v>
      </c>
      <c r="M699" s="3"/>
      <c r="N699" s="43">
        <v>180247.79</v>
      </c>
      <c r="O699" s="3">
        <f t="shared" si="19"/>
        <v>110498.04000000004</v>
      </c>
      <c r="P699" s="43">
        <v>-102.78</v>
      </c>
      <c r="Q699" s="43">
        <f>-120.35 -481.65</f>
        <v>-602</v>
      </c>
      <c r="R699" s="43">
        <v>11616.18</v>
      </c>
      <c r="S699" s="43">
        <v>9118.89</v>
      </c>
      <c r="T699" s="1">
        <f t="shared" si="18"/>
        <v>-1792.5100000000009</v>
      </c>
      <c r="U699" s="43">
        <v>189366.68</v>
      </c>
      <c r="V699" s="3">
        <f>U699-P699-N699-Q699-R699+N699-I700-G700-F700-D699-E699-B699-M698-R698-R697-Q698-Q697-P697-P698-K699-K698-I698-G698-F698-E698-E697-B698-B697-M697-D697-D698-M699-H698-C697-H700-K700-C698-L697-L698-L699</f>
        <v>1.940908544995068E-11</v>
      </c>
    </row>
    <row r="700" spans="1:22" x14ac:dyDescent="0.25">
      <c r="A700" t="s">
        <v>846</v>
      </c>
      <c r="B700" s="35">
        <v>5646.51</v>
      </c>
      <c r="C700" s="35">
        <v>-91.6</v>
      </c>
      <c r="F700" s="103">
        <v>59145.82</v>
      </c>
      <c r="G700" s="43">
        <v>-560.20000000000005</v>
      </c>
      <c r="H700" s="43">
        <v>-5.79</v>
      </c>
      <c r="I700" s="43">
        <v>19.27</v>
      </c>
      <c r="L700" s="35">
        <v>-0.3599999999969441</v>
      </c>
      <c r="N700" s="35">
        <v>60750.75</v>
      </c>
      <c r="O700" s="3">
        <f t="shared" si="19"/>
        <v>0</v>
      </c>
      <c r="P700" s="35">
        <v>-852.48</v>
      </c>
      <c r="Q700" s="35">
        <v>-491.32</v>
      </c>
      <c r="S700" s="35">
        <v>-1343.8</v>
      </c>
      <c r="T700" s="1">
        <f t="shared" si="18"/>
        <v>0</v>
      </c>
      <c r="U700" s="35">
        <v>59406.95</v>
      </c>
      <c r="V700" s="1">
        <f>U700-P700-N700-Q700-R700+N700-I701-G701-F701-D700-E700-B700-K701-M700-H701-C700-L700</f>
        <v>4.8316906031686813E-13</v>
      </c>
    </row>
    <row r="701" spans="1:22" x14ac:dyDescent="0.25">
      <c r="A701" t="s">
        <v>847</v>
      </c>
      <c r="B701" s="112">
        <v>21617.27</v>
      </c>
      <c r="F701" s="35">
        <v>56022.07</v>
      </c>
      <c r="G701" s="35">
        <v>-571.30000000000007</v>
      </c>
      <c r="H701" s="35">
        <v>-258.20999999999998</v>
      </c>
      <c r="I701" s="35">
        <v>3.64</v>
      </c>
      <c r="L701" s="112">
        <v>-0.14999999999781721</v>
      </c>
      <c r="N701" s="112">
        <v>75286.19</v>
      </c>
      <c r="O701" s="3">
        <f t="shared" si="19"/>
        <v>0</v>
      </c>
      <c r="P701" s="112">
        <v>-583.91999999999996</v>
      </c>
      <c r="Q701" s="112">
        <f>-125.01 -125</f>
        <v>-250.01</v>
      </c>
      <c r="S701" s="112">
        <v>-833.93</v>
      </c>
      <c r="T701" s="1">
        <f t="shared" si="18"/>
        <v>0</v>
      </c>
      <c r="U701" s="112">
        <v>74452.259999999995</v>
      </c>
      <c r="V701" s="1">
        <f>U701-P701-N701-Q701-R701+N701-I702-G702-F702-D701-E701-B701-K702-M701-H702-C701-L701</f>
        <v>-1.7479351299698465E-11</v>
      </c>
    </row>
    <row r="702" spans="1:22" x14ac:dyDescent="0.25">
      <c r="A702" t="s">
        <v>848</v>
      </c>
      <c r="B702" s="48">
        <v>8886.69</v>
      </c>
      <c r="F702" s="112">
        <v>54738.090000000004</v>
      </c>
      <c r="G702" s="112">
        <v>-848.32</v>
      </c>
      <c r="H702" s="112">
        <v>-231.29999999999998</v>
      </c>
      <c r="I702" s="112">
        <v>10.600000000000001</v>
      </c>
      <c r="L702" s="48">
        <v>-0.10999999999512511</v>
      </c>
      <c r="M702" s="48">
        <v>15533.27</v>
      </c>
      <c r="N702" s="48">
        <v>115072.98</v>
      </c>
      <c r="O702" s="3">
        <f t="shared" si="19"/>
        <v>0</v>
      </c>
      <c r="P702" s="48">
        <v>-429.15</v>
      </c>
      <c r="Q702" s="48">
        <v>-374.05</v>
      </c>
      <c r="R702" s="48">
        <v>928.59</v>
      </c>
      <c r="S702" s="48">
        <v>125.39</v>
      </c>
      <c r="T702" s="1">
        <f t="shared" si="18"/>
        <v>0</v>
      </c>
      <c r="U702" s="48">
        <v>115198.37</v>
      </c>
      <c r="V702" s="1">
        <f>U702-P702-N702-Q702-R702+N702-I703-G703-F703-D702-E702-B702-K703-M702-H703-C702-L702</f>
        <v>-2.9132252166164108E-12</v>
      </c>
    </row>
    <row r="703" spans="1:22" x14ac:dyDescent="0.25">
      <c r="A703" t="s">
        <v>849</v>
      </c>
      <c r="B703" s="57">
        <v>14684.89</v>
      </c>
      <c r="E703" s="57">
        <v>26.78</v>
      </c>
      <c r="F703" s="48">
        <v>90906.099999999991</v>
      </c>
      <c r="G703" s="48">
        <v>-1381.66</v>
      </c>
      <c r="H703" s="48">
        <v>-50.3</v>
      </c>
      <c r="I703" s="48">
        <v>1178.99</v>
      </c>
      <c r="L703" s="57">
        <v>-0.53999999999541615</v>
      </c>
      <c r="N703" s="57">
        <v>86182.89</v>
      </c>
      <c r="O703" s="3">
        <f t="shared" si="19"/>
        <v>0</v>
      </c>
      <c r="P703" s="57">
        <v>-301.64</v>
      </c>
      <c r="Q703" s="57">
        <v>-120.17</v>
      </c>
      <c r="S703" s="57">
        <v>-421.81</v>
      </c>
      <c r="T703" s="1">
        <f t="shared" si="18"/>
        <v>0</v>
      </c>
      <c r="U703" s="57">
        <v>85761.08</v>
      </c>
      <c r="V703" s="1">
        <f>U703-P703-N703-Q703-R703+N703-I704-G704-F704-D703-E703-B703-K704-M703-H704-C703-L703</f>
        <v>-4.6558312760680565E-12</v>
      </c>
    </row>
    <row r="704" spans="1:22" x14ac:dyDescent="0.25">
      <c r="A704" t="s">
        <v>850</v>
      </c>
      <c r="B704" s="62">
        <v>10780.36</v>
      </c>
      <c r="F704" s="57">
        <v>72593.759999999995</v>
      </c>
      <c r="G704" s="57">
        <v>-1112.1199999999999</v>
      </c>
      <c r="H704" s="57">
        <v>-9.8800000000000008</v>
      </c>
      <c r="L704" s="62">
        <v>-0.28999999999999998</v>
      </c>
      <c r="O704" s="3">
        <f t="shared" si="19"/>
        <v>-63078.21</v>
      </c>
      <c r="P704" s="62">
        <v>-274.02</v>
      </c>
      <c r="Q704" s="62">
        <v>-125.19</v>
      </c>
      <c r="T704" s="1">
        <f t="shared" si="18"/>
        <v>399.21</v>
      </c>
    </row>
    <row r="705" spans="1:22" x14ac:dyDescent="0.25">
      <c r="A705" t="s">
        <v>851</v>
      </c>
      <c r="B705" s="62">
        <v>18748.009999999998</v>
      </c>
      <c r="F705" s="62">
        <v>53116.75</v>
      </c>
      <c r="G705" s="62">
        <v>-775.42</v>
      </c>
      <c r="H705" s="62">
        <v>-44.87</v>
      </c>
      <c r="I705" s="62">
        <v>1.68</v>
      </c>
      <c r="M705" s="62">
        <v>20636.05</v>
      </c>
      <c r="O705" s="3">
        <f t="shared" si="19"/>
        <v>-39384.06</v>
      </c>
      <c r="P705" s="62">
        <v>-69.75</v>
      </c>
      <c r="Q705" s="62">
        <v>-245.66</v>
      </c>
      <c r="T705" s="1">
        <f t="shared" si="18"/>
        <v>315.40999999999997</v>
      </c>
    </row>
    <row r="706" spans="1:22" x14ac:dyDescent="0.25">
      <c r="A706" t="s">
        <v>852</v>
      </c>
      <c r="B706" s="62">
        <v>11886.839999999998</v>
      </c>
      <c r="L706" s="62">
        <v>-0.41</v>
      </c>
      <c r="O706" s="3">
        <f t="shared" si="19"/>
        <v>-108068.61</v>
      </c>
      <c r="P706" s="62">
        <v>-255.9</v>
      </c>
      <c r="Q706" s="62">
        <v>-249.1</v>
      </c>
      <c r="R706" s="62">
        <v>2490.89</v>
      </c>
      <c r="T706" s="1">
        <f t="shared" si="18"/>
        <v>-1985.8899999999999</v>
      </c>
    </row>
    <row r="707" spans="1:22" x14ac:dyDescent="0.25">
      <c r="A707" t="s">
        <v>853</v>
      </c>
      <c r="B707" s="62">
        <v>13016.31</v>
      </c>
      <c r="F707" s="62">
        <v>97167.05</v>
      </c>
      <c r="G707" s="62">
        <v>-870.9</v>
      </c>
      <c r="H707" s="62">
        <v>-113.97</v>
      </c>
      <c r="L707" s="62">
        <v>-0.32</v>
      </c>
      <c r="N707" s="62">
        <v>272295.33</v>
      </c>
      <c r="O707" s="3">
        <f t="shared" si="19"/>
        <v>210530.88</v>
      </c>
      <c r="P707" s="62">
        <v>-888.8</v>
      </c>
      <c r="Q707" s="62">
        <f>-103.81 -125.12-158.82</f>
        <v>-387.75</v>
      </c>
      <c r="S707" s="62">
        <v>-5.28</v>
      </c>
      <c r="T707" s="1">
        <f t="shared" si="18"/>
        <v>1271.27</v>
      </c>
      <c r="U707" s="62">
        <v>272290.05</v>
      </c>
      <c r="V707" s="3">
        <f>U707-P707-N707-Q707-R707+N707-I708-G708-F708-D707-E707-B707-B704-D704-F705-G705-I705-M706-R706-R705-Q706-Q705-P705-P706-K707-K706-I706-G706-F706-E706-E705-B706-B705-M705-D705-D706-M707-H706-C705-H708-K708-C706-L705-F707-G707-I707-P704-Q704-L704-C704-L706-H705-L707-H707</f>
        <v>-1.5774048733874224E-11</v>
      </c>
    </row>
    <row r="708" spans="1:22" x14ac:dyDescent="0.25">
      <c r="A708" t="s">
        <v>854</v>
      </c>
      <c r="B708" s="99">
        <v>14704.88</v>
      </c>
      <c r="F708" s="62">
        <v>49786.51</v>
      </c>
      <c r="G708" s="62">
        <v>-1041.3</v>
      </c>
      <c r="I708" s="62">
        <v>3.25</v>
      </c>
      <c r="L708" s="99">
        <v>-5.0000000004729372E-2</v>
      </c>
      <c r="N708" s="99">
        <v>77131.039999999994</v>
      </c>
      <c r="O708" s="3">
        <f t="shared" si="19"/>
        <v>0</v>
      </c>
      <c r="P708" s="99">
        <v>-656.59</v>
      </c>
      <c r="Q708" s="99">
        <v>-240.56</v>
      </c>
      <c r="S708" s="99">
        <v>-897.15</v>
      </c>
      <c r="T708" s="1">
        <f t="shared" si="18"/>
        <v>0</v>
      </c>
      <c r="U708" s="99">
        <v>76233.89</v>
      </c>
      <c r="V708" s="1">
        <f>U708-P708-N708-Q708-R708+N708-I709-G709-F709-D708-E708-B708-K709-M708-H709-C708-L708</f>
        <v>0</v>
      </c>
    </row>
    <row r="709" spans="1:22" x14ac:dyDescent="0.25">
      <c r="A709" t="s">
        <v>855</v>
      </c>
      <c r="B709" s="108">
        <v>13461.47</v>
      </c>
      <c r="E709" s="108">
        <v>48.82</v>
      </c>
      <c r="F709" s="99">
        <v>63374.400000000001</v>
      </c>
      <c r="G709" s="99">
        <v>-948.19</v>
      </c>
      <c r="L709" s="108">
        <v>-0.21999999999206921</v>
      </c>
      <c r="N709" s="108">
        <v>176000.85</v>
      </c>
      <c r="O709" s="3">
        <f t="shared" si="19"/>
        <v>0</v>
      </c>
      <c r="P709" s="108">
        <v>-185.92</v>
      </c>
      <c r="Q709" s="108">
        <f>-124.88 -120.13</f>
        <v>-245.01</v>
      </c>
      <c r="S709" s="108">
        <v>-430.93</v>
      </c>
      <c r="T709" s="1">
        <f t="shared" si="18"/>
        <v>0</v>
      </c>
      <c r="U709" s="108">
        <v>175569.92000000001</v>
      </c>
      <c r="V709" s="1">
        <f>U709-P709-N709-Q709-R709+N709-I710-G710-F710-D709-E709-B709-K710-M709-H710-C709-L709</f>
        <v>2.9103830456733704E-11</v>
      </c>
    </row>
    <row r="710" spans="1:22" x14ac:dyDescent="0.25">
      <c r="A710" t="s">
        <v>856</v>
      </c>
      <c r="B710" s="110">
        <v>5539.23</v>
      </c>
      <c r="F710" s="108">
        <v>64803.100000000006</v>
      </c>
      <c r="G710" s="108">
        <v>-1188.92</v>
      </c>
      <c r="I710" s="108">
        <v>98876.599999999991</v>
      </c>
      <c r="L710" s="110">
        <v>-0.15999999999257852</v>
      </c>
      <c r="N710" s="110">
        <v>48376.58</v>
      </c>
      <c r="O710" s="3">
        <f t="shared" si="19"/>
        <v>0</v>
      </c>
      <c r="P710" s="110">
        <v>-574.5</v>
      </c>
      <c r="S710" s="110">
        <v>-574.5</v>
      </c>
      <c r="T710" s="1">
        <f t="shared" si="18"/>
        <v>0</v>
      </c>
      <c r="U710" s="110">
        <v>47802.080000000002</v>
      </c>
      <c r="V710" s="1">
        <f>U710-P710-N710-Q710-R710+N710-I711-G711-F711-D710-E710-B710-K711-M710-H711-C710-L710</f>
        <v>-2.0392576516314875E-12</v>
      </c>
    </row>
    <row r="711" spans="1:22" x14ac:dyDescent="0.25">
      <c r="A711" t="s">
        <v>857</v>
      </c>
      <c r="B711" s="57">
        <v>10249.18</v>
      </c>
      <c r="F711" s="110">
        <v>44375.729999999996</v>
      </c>
      <c r="G711" s="110">
        <v>-1550.03</v>
      </c>
      <c r="H711" s="110">
        <v>-24.509999999999998</v>
      </c>
      <c r="I711" s="110">
        <v>36.32</v>
      </c>
      <c r="L711" s="57">
        <v>-0.15</v>
      </c>
      <c r="O711" s="3">
        <f t="shared" si="19"/>
        <v>-64381.21</v>
      </c>
      <c r="P711" s="57">
        <v>-242.87</v>
      </c>
      <c r="Q711" s="57">
        <v>-124.92</v>
      </c>
      <c r="T711" s="1">
        <f t="shared" si="18"/>
        <v>367.79</v>
      </c>
    </row>
    <row r="712" spans="1:22" x14ac:dyDescent="0.25">
      <c r="A712" t="s">
        <v>858</v>
      </c>
      <c r="B712" s="57">
        <v>5426.54</v>
      </c>
      <c r="F712" s="57">
        <v>55381.77</v>
      </c>
      <c r="G712" s="57">
        <v>-1176.55</v>
      </c>
      <c r="H712" s="57">
        <v>-87.86</v>
      </c>
      <c r="I712" s="57">
        <v>14.82</v>
      </c>
      <c r="M712" s="57">
        <v>21714.19</v>
      </c>
      <c r="O712" s="3">
        <f t="shared" si="19"/>
        <v>-27140.73</v>
      </c>
      <c r="P712" s="57">
        <v>-472.98</v>
      </c>
      <c r="Q712" s="57">
        <v>-124.92</v>
      </c>
      <c r="T712" s="1">
        <f t="shared" si="18"/>
        <v>597.9</v>
      </c>
    </row>
    <row r="713" spans="1:22" x14ac:dyDescent="0.25">
      <c r="A713" t="s">
        <v>859</v>
      </c>
      <c r="B713" s="57">
        <v>2427.3399999999997</v>
      </c>
      <c r="L713" s="57">
        <v>-0.1</v>
      </c>
      <c r="N713" s="57">
        <v>169648.25</v>
      </c>
      <c r="O713" s="3">
        <f t="shared" si="19"/>
        <v>91521.94</v>
      </c>
      <c r="P713" s="57">
        <v>-11.13</v>
      </c>
      <c r="Q713" s="57">
        <v>-248.89</v>
      </c>
      <c r="R713" s="57">
        <v>1941.95</v>
      </c>
      <c r="S713" s="57">
        <v>716.24</v>
      </c>
      <c r="T713" s="1">
        <f t="shared" si="18"/>
        <v>-965.69</v>
      </c>
      <c r="U713" s="57">
        <v>170364.49</v>
      </c>
      <c r="V713" s="3">
        <f>U713-P713-N713-Q713-R713+N713-I714-G714-F714-D713-E713-B713-M712-R712-R711-Q712-Q711-P711-P712-K713-K712-I712-G712-F712-E712-E711-B712-B711-M711-D711-D712-M713-H712-C711-H714-K714-C712-L711-L712-L713</f>
        <v>-2.241051788587356E-11</v>
      </c>
    </row>
    <row r="714" spans="1:22" x14ac:dyDescent="0.25">
      <c r="A714" t="s">
        <v>860</v>
      </c>
      <c r="B714" s="45">
        <v>5825.2</v>
      </c>
      <c r="F714" s="57">
        <v>76523.010000000009</v>
      </c>
      <c r="G714" s="57">
        <v>-859.42</v>
      </c>
      <c r="I714" s="57">
        <v>35.479999999999997</v>
      </c>
      <c r="L714" s="45">
        <v>-0.22</v>
      </c>
      <c r="N714" s="45">
        <v>81206.210000000006</v>
      </c>
      <c r="O714" s="3">
        <f t="shared" si="19"/>
        <v>1.0659279015001744E-11</v>
      </c>
      <c r="P714" s="45">
        <v>-152.06</v>
      </c>
      <c r="Q714" s="45">
        <v>-123.97</v>
      </c>
      <c r="S714" s="45">
        <v>-276.02999999999997</v>
      </c>
      <c r="T714" s="1">
        <f t="shared" si="18"/>
        <v>0</v>
      </c>
      <c r="U714" s="45">
        <v>80930.179999999993</v>
      </c>
      <c r="V714" s="1">
        <f>U714-P714-N714-Q714-R714+N714-I715-G715-F715-D714-E714-B714-K715-M714-H715-C714-L714</f>
        <v>-6.2232163866582368E-12</v>
      </c>
    </row>
    <row r="715" spans="1:22" x14ac:dyDescent="0.25">
      <c r="A715" t="s">
        <v>861</v>
      </c>
      <c r="B715" s="47">
        <v>9504.92</v>
      </c>
      <c r="F715" s="45">
        <v>76163.94</v>
      </c>
      <c r="G715" s="45">
        <v>-832.25</v>
      </c>
      <c r="H715" s="45">
        <v>-23.939999999999998</v>
      </c>
      <c r="I715" s="45">
        <v>73.48</v>
      </c>
      <c r="L715" s="47">
        <v>-0.33000000001084118</v>
      </c>
      <c r="N715" s="47">
        <v>60932.35</v>
      </c>
      <c r="O715" s="3">
        <f t="shared" si="19"/>
        <v>0</v>
      </c>
      <c r="P715" s="47">
        <v>-782.4</v>
      </c>
      <c r="Q715" s="47">
        <f>-124.97 -123.81</f>
        <v>-248.78</v>
      </c>
      <c r="S715" s="47">
        <v>-1031.18</v>
      </c>
      <c r="T715" s="1">
        <f t="shared" si="18"/>
        <v>0</v>
      </c>
      <c r="U715" s="47">
        <v>59901.17</v>
      </c>
      <c r="V715" s="1">
        <f>U715-P715-N715-Q715-R715+N715-I716-G716-F716-D715-E715-B715-K716-M715-H716-C715-L715</f>
        <v>1.7337242752546445E-12</v>
      </c>
    </row>
    <row r="716" spans="1:22" x14ac:dyDescent="0.25">
      <c r="A716" t="s">
        <v>862</v>
      </c>
      <c r="B716" s="62">
        <v>13483.56</v>
      </c>
      <c r="C716" s="62">
        <v>-90.97</v>
      </c>
      <c r="F716" s="47">
        <v>54081.840000000004</v>
      </c>
      <c r="G716" s="47">
        <v>-2491.66</v>
      </c>
      <c r="H716" s="47">
        <v>-162.41999999999999</v>
      </c>
      <c r="L716" s="62">
        <v>-3.9999999982683221E-2</v>
      </c>
      <c r="N716" s="62">
        <v>75067.13</v>
      </c>
      <c r="O716" s="3">
        <f t="shared" si="19"/>
        <v>0</v>
      </c>
      <c r="P716" s="62">
        <v>-194.77</v>
      </c>
      <c r="Q716" s="62">
        <v>-124.95</v>
      </c>
      <c r="S716" s="62">
        <v>-319.72000000000003</v>
      </c>
      <c r="T716" s="1">
        <f t="shared" si="18"/>
        <v>0</v>
      </c>
      <c r="U716" s="62">
        <v>74747.41</v>
      </c>
      <c r="V716" s="1">
        <f>U716-P716-N716-Q716-R716+N716-I717-G717-F717-D716-E716-B716-K717-M716-H717-C716-L716</f>
        <v>-1.6768808563938364E-12</v>
      </c>
    </row>
    <row r="717" spans="1:22" x14ac:dyDescent="0.25">
      <c r="A717" t="s">
        <v>863</v>
      </c>
      <c r="B717" s="38">
        <v>15554.6</v>
      </c>
      <c r="F717" s="62">
        <v>62713.89</v>
      </c>
      <c r="G717" s="62">
        <v>-996.49</v>
      </c>
      <c r="H717" s="62">
        <v>-88.44</v>
      </c>
      <c r="I717" s="62">
        <v>45.62</v>
      </c>
      <c r="L717" s="38">
        <v>-9.9999999747524271E-3</v>
      </c>
      <c r="N717" s="38">
        <v>145979.94</v>
      </c>
      <c r="O717" s="3">
        <f t="shared" si="19"/>
        <v>0</v>
      </c>
      <c r="P717" s="38">
        <v>-282.60000000000002</v>
      </c>
      <c r="Q717" s="38">
        <v>-125.13</v>
      </c>
      <c r="S717" s="38">
        <v>-407.73</v>
      </c>
      <c r="T717" s="1">
        <f t="shared" si="18"/>
        <v>0</v>
      </c>
      <c r="U717" s="38">
        <v>145572.21</v>
      </c>
      <c r="V717" s="1">
        <f>U717-P717-N717-Q717-R717+N717-I718-G718-F718-D717-E717-B717-K718-M717-H718-C717-L717</f>
        <v>2.3305801732931286E-12</v>
      </c>
    </row>
    <row r="718" spans="1:22" x14ac:dyDescent="0.25">
      <c r="A718" t="s">
        <v>864</v>
      </c>
      <c r="B718" s="44">
        <v>10098.18</v>
      </c>
      <c r="D718" s="44">
        <v>90.48</v>
      </c>
      <c r="F718" s="38">
        <v>133402.74</v>
      </c>
      <c r="G718" s="38">
        <v>-2950.8900000000003</v>
      </c>
      <c r="H718" s="38">
        <v>-85.06</v>
      </c>
      <c r="I718" s="38">
        <v>58.56</v>
      </c>
      <c r="L718" s="44">
        <v>-0.12</v>
      </c>
      <c r="O718" s="3">
        <f t="shared" si="19"/>
        <v>-35215.32</v>
      </c>
      <c r="P718" s="44">
        <v>-102.82</v>
      </c>
      <c r="Q718" s="44">
        <v>-726.06</v>
      </c>
      <c r="T718" s="1">
        <f t="shared" si="18"/>
        <v>828.87999999999988</v>
      </c>
    </row>
    <row r="719" spans="1:22" x14ac:dyDescent="0.25">
      <c r="A719" t="s">
        <v>865</v>
      </c>
      <c r="B719" s="44">
        <v>11728.67</v>
      </c>
      <c r="F719" s="44">
        <v>25734.6</v>
      </c>
      <c r="G719" s="44">
        <v>-662.36</v>
      </c>
      <c r="H719" s="44">
        <v>-55.65</v>
      </c>
      <c r="I719" s="44">
        <v>10.19</v>
      </c>
      <c r="M719" s="44">
        <v>20143.77</v>
      </c>
      <c r="O719" s="3">
        <f t="shared" si="19"/>
        <v>-31872.440000000002</v>
      </c>
      <c r="P719" s="44">
        <v>-593.30999999999995</v>
      </c>
      <c r="T719" s="1">
        <f t="shared" si="18"/>
        <v>593.30999999999995</v>
      </c>
    </row>
    <row r="720" spans="1:22" x14ac:dyDescent="0.25">
      <c r="A720" t="s">
        <v>866</v>
      </c>
      <c r="B720" s="44">
        <v>7322.57</v>
      </c>
      <c r="L720" s="44">
        <v>-0.25</v>
      </c>
      <c r="N720" s="44">
        <v>136661.26</v>
      </c>
      <c r="O720" s="3">
        <f t="shared" si="19"/>
        <v>67087.760000000009</v>
      </c>
      <c r="P720" s="44">
        <v>-116.5</v>
      </c>
      <c r="R720" s="44">
        <v>2220.0700000000002</v>
      </c>
      <c r="S720" s="44">
        <v>681.38</v>
      </c>
      <c r="T720" s="1">
        <f t="shared" si="18"/>
        <v>-1422.19</v>
      </c>
      <c r="U720" s="44">
        <v>137342.64000000001</v>
      </c>
      <c r="V720" s="3">
        <f>U720-P720-N720-Q720-R720+N720-I721-G721-F721-D720-E720-B720-M719-R719-R718-Q719-Q718-P718-P719-K720-K719-I719-G719-F719-E719-E718-B719-B718-M718-D718-D719-M720-H719-C718-H721-K721-C719-L718-L719-L720</f>
        <v>-2.6975088829317428E-12</v>
      </c>
    </row>
    <row r="721" spans="1:22" x14ac:dyDescent="0.25">
      <c r="A721" t="s">
        <v>867</v>
      </c>
      <c r="B721" s="44">
        <v>7537.47</v>
      </c>
      <c r="E721" s="44">
        <v>97.22</v>
      </c>
      <c r="F721" s="44">
        <v>64222.57</v>
      </c>
      <c r="G721" s="44">
        <v>-1971.3899999999999</v>
      </c>
      <c r="L721" s="44">
        <v>-0.18</v>
      </c>
      <c r="N721" s="44">
        <v>48215.48</v>
      </c>
      <c r="O721" s="3">
        <f t="shared" si="19"/>
        <v>8.8039020518237976E-12</v>
      </c>
      <c r="P721" s="44">
        <v>-547.11</v>
      </c>
      <c r="Q721" s="44">
        <v>-374.81</v>
      </c>
      <c r="S721" s="44">
        <v>-921.92</v>
      </c>
      <c r="T721" s="1">
        <f t="shared" si="18"/>
        <v>0</v>
      </c>
      <c r="U721" s="44">
        <v>47293.56</v>
      </c>
      <c r="V721" s="1">
        <f>U721-P721-N721-Q721-R721+N721-I722-G722-F722-D721-E721-B721-K722-M721-H722-C721-L721</f>
        <v>1.2401746296575311E-12</v>
      </c>
    </row>
    <row r="722" spans="1:22" x14ac:dyDescent="0.25">
      <c r="A722" t="s">
        <v>868</v>
      </c>
      <c r="B722" s="37">
        <v>6023.75</v>
      </c>
      <c r="E722" s="37">
        <v>45.330000000000005</v>
      </c>
      <c r="F722" s="44">
        <v>40828.6</v>
      </c>
      <c r="G722" s="44">
        <v>-295.08</v>
      </c>
      <c r="H722" s="44">
        <v>-31.930000000000003</v>
      </c>
      <c r="I722" s="44">
        <v>79.38</v>
      </c>
      <c r="L722" s="37">
        <v>-9.0000000009240466E-2</v>
      </c>
      <c r="N722" s="37">
        <v>37494.959999999999</v>
      </c>
      <c r="O722" s="3">
        <f t="shared" ref="O722:O728" si="20">N722-K723-I723-H723-G723-F723-E722-D722-C722-B722-M722-L722</f>
        <v>0</v>
      </c>
      <c r="P722" s="37">
        <v>-297.12</v>
      </c>
      <c r="Q722" s="37">
        <v>-249.82</v>
      </c>
      <c r="S722" s="37">
        <v>-546.94000000000005</v>
      </c>
      <c r="T722" s="1">
        <f t="shared" si="18"/>
        <v>0</v>
      </c>
      <c r="U722" s="37">
        <v>36948.019999999997</v>
      </c>
      <c r="V722" s="1">
        <f>U722-P722-N722-Q722-R722+N722-I723-G723-F723-D722-E722-B722-K723-M722-H723-C722-L722</f>
        <v>2.0392576516314875E-12</v>
      </c>
    </row>
    <row r="723" spans="1:22" x14ac:dyDescent="0.25">
      <c r="A723" t="s">
        <v>869</v>
      </c>
      <c r="B723" s="9">
        <v>3324.64</v>
      </c>
      <c r="F723" s="37">
        <v>32822.550000000003</v>
      </c>
      <c r="G723" s="37">
        <v>-1423.95</v>
      </c>
      <c r="H723" s="37">
        <v>-19.240000000000002</v>
      </c>
      <c r="I723" s="37">
        <v>46.61</v>
      </c>
      <c r="L723" s="9">
        <v>-0.40999999999667125</v>
      </c>
      <c r="N723" s="9">
        <v>39587.08</v>
      </c>
      <c r="O723" s="3">
        <f t="shared" si="20"/>
        <v>0</v>
      </c>
      <c r="P723" s="9">
        <v>-124.55</v>
      </c>
      <c r="Q723" s="9">
        <v>-240.15</v>
      </c>
      <c r="S723" s="9">
        <v>-364.7</v>
      </c>
      <c r="T723" s="1">
        <f t="shared" si="18"/>
        <v>0</v>
      </c>
      <c r="U723" s="9">
        <v>39222.379999999997</v>
      </c>
      <c r="V723" s="1">
        <f>U723-P723-N723-Q723-R723+N723-I724-G724-F724-D723-E723-B723-K724-M723-H724-C723-L723</f>
        <v>0</v>
      </c>
    </row>
    <row r="724" spans="1:22" x14ac:dyDescent="0.25">
      <c r="A724" t="s">
        <v>870</v>
      </c>
      <c r="B724" s="39">
        <v>5700.64</v>
      </c>
      <c r="F724" s="9">
        <v>36911.65</v>
      </c>
      <c r="G724" s="9">
        <v>-661.14</v>
      </c>
      <c r="I724" s="9">
        <v>12.34</v>
      </c>
      <c r="L724" s="39">
        <v>-2.9999999992469384E-2</v>
      </c>
      <c r="N724" s="39">
        <v>61197.440000000002</v>
      </c>
      <c r="O724" s="3">
        <f t="shared" si="20"/>
        <v>0</v>
      </c>
      <c r="P724" s="39">
        <v>-112.07</v>
      </c>
      <c r="Q724" s="39">
        <v>-43.87</v>
      </c>
      <c r="S724" s="39">
        <v>-155.94</v>
      </c>
      <c r="T724" s="1">
        <f t="shared" si="18"/>
        <v>0</v>
      </c>
      <c r="U724" s="39">
        <v>61041.5</v>
      </c>
      <c r="V724" s="1">
        <f>U724-P724-N724-Q724-R724+N724-I725-G725-F725-D724-E724-B724-K725-M724-H725-C724-L724</f>
        <v>0</v>
      </c>
    </row>
    <row r="725" spans="1:22" x14ac:dyDescent="0.25">
      <c r="A725" t="s">
        <v>871</v>
      </c>
      <c r="B725" s="5">
        <v>6508.9800000000005</v>
      </c>
      <c r="C725" s="5">
        <v>-41.66</v>
      </c>
      <c r="E725" s="5">
        <v>8.7399999999999984</v>
      </c>
      <c r="F725" s="39">
        <v>56008.799999999996</v>
      </c>
      <c r="G725" s="39">
        <v>-511.96999999999997</v>
      </c>
      <c r="H725" s="3"/>
      <c r="L725" s="5">
        <v>-0.02</v>
      </c>
      <c r="M725" s="5">
        <v>64515.23</v>
      </c>
      <c r="O725" s="3">
        <f t="shared" si="20"/>
        <v>-104204.26</v>
      </c>
      <c r="P725" s="5">
        <v>-459.39</v>
      </c>
      <c r="Q725" s="5">
        <v>-248.75</v>
      </c>
      <c r="T725" s="1">
        <f t="shared" si="18"/>
        <v>708.14</v>
      </c>
    </row>
    <row r="726" spans="1:22" x14ac:dyDescent="0.25">
      <c r="A726" t="s">
        <v>872</v>
      </c>
      <c r="B726" s="5">
        <v>10360.33</v>
      </c>
      <c r="E726" s="3"/>
      <c r="F726" s="5">
        <v>34671.629999999997</v>
      </c>
      <c r="G726" s="5">
        <v>-512.89</v>
      </c>
      <c r="H726" s="5">
        <v>-951.97</v>
      </c>
      <c r="I726" s="5">
        <v>6.22</v>
      </c>
      <c r="O726" s="3">
        <f t="shared" si="20"/>
        <v>-10360.33</v>
      </c>
      <c r="P726" s="5">
        <v>-367.51</v>
      </c>
      <c r="Q726" s="5">
        <v>-499.68</v>
      </c>
      <c r="R726" s="5">
        <v>12538.35</v>
      </c>
      <c r="T726" s="1">
        <f t="shared" si="18"/>
        <v>-11671.16</v>
      </c>
    </row>
    <row r="727" spans="1:22" x14ac:dyDescent="0.25">
      <c r="A727" t="s">
        <v>873</v>
      </c>
      <c r="B727" s="5">
        <v>7577.19</v>
      </c>
      <c r="E727" s="5">
        <v>25.84</v>
      </c>
      <c r="F727" s="3"/>
      <c r="G727" s="3"/>
      <c r="H727" s="3"/>
      <c r="L727" s="5">
        <v>-0.1</v>
      </c>
      <c r="N727" s="5">
        <v>194251.66</v>
      </c>
      <c r="O727" s="3">
        <f t="shared" si="20"/>
        <v>114564.59000000003</v>
      </c>
      <c r="P727" s="5">
        <v>-113.07</v>
      </c>
      <c r="Q727" s="5">
        <v>-497.46</v>
      </c>
      <c r="S727" s="5">
        <v>10352.49</v>
      </c>
      <c r="T727" s="1">
        <f t="shared" si="18"/>
        <v>10963.019999999999</v>
      </c>
      <c r="U727" s="5">
        <v>204604.15</v>
      </c>
      <c r="V727" s="3">
        <f>U727-P727-N727-Q727-R727+N727-I728-G728-F728-D727-E727-B727-M726-R726-R725-Q726-Q725-P725-P726-K727-K726-I726-G726-F726-E726-E725-B726-B725-M725-D725-D726-M727-H726-C725-H728-K728-C726-L725-L726-L727</f>
        <v>-1.4528031555549603E-11</v>
      </c>
    </row>
    <row r="728" spans="1:22" x14ac:dyDescent="0.25">
      <c r="A728" t="s">
        <v>874</v>
      </c>
      <c r="B728" s="9">
        <v>6912.91</v>
      </c>
      <c r="C728" s="9">
        <v>-312.59999999999997</v>
      </c>
      <c r="D728" s="3"/>
      <c r="E728" s="9">
        <v>186.56</v>
      </c>
      <c r="F728" s="5">
        <v>73325.72</v>
      </c>
      <c r="G728" s="5">
        <v>-1270.67</v>
      </c>
      <c r="H728" s="3"/>
      <c r="I728" s="5">
        <v>29.09</v>
      </c>
      <c r="J728" s="55" t="s">
        <v>1472</v>
      </c>
      <c r="L728" s="9">
        <v>-0.19000000000687578</v>
      </c>
      <c r="N728" s="9">
        <v>72954.84</v>
      </c>
      <c r="O728" s="3">
        <f t="shared" si="20"/>
        <v>0</v>
      </c>
      <c r="P728" s="9">
        <v>-243.26</v>
      </c>
      <c r="Q728" s="9">
        <v>-498.73</v>
      </c>
      <c r="S728" s="9">
        <v>-741.99</v>
      </c>
      <c r="T728" s="1">
        <f t="shared" ref="T728:T791" si="21">S728-R728-Q728-P728</f>
        <v>0</v>
      </c>
      <c r="U728" s="9">
        <v>72212.850000000006</v>
      </c>
      <c r="V728" s="1">
        <f>U728-P728-N728-Q728-R728+N728-I729-G729-F729-D728-E728-B728-K729-M728-H729-C728-L728</f>
        <v>-3.2969182939268649E-12</v>
      </c>
    </row>
    <row r="729" spans="1:22" x14ac:dyDescent="0.25">
      <c r="A729" t="s">
        <v>875</v>
      </c>
      <c r="B729" s="55">
        <v>2156.91</v>
      </c>
      <c r="E729" s="3"/>
      <c r="F729" s="9">
        <v>66764.070000000007</v>
      </c>
      <c r="G729" s="9">
        <v>-426.61</v>
      </c>
      <c r="H729" s="9">
        <v>-169.3</v>
      </c>
      <c r="J729" s="55">
        <v>-29331.97</v>
      </c>
      <c r="L729" s="55">
        <v>-0.04</v>
      </c>
      <c r="N729" s="55">
        <v>36881.410000000003</v>
      </c>
      <c r="O729" s="3">
        <f t="shared" ref="O729:O755" si="22">N729-K730-I730-H730-G730-F730-E729-D729-C729-B729-M729-L729-J729</f>
        <v>0</v>
      </c>
      <c r="P729" s="55">
        <v>-524.71</v>
      </c>
      <c r="Q729" s="55">
        <v>-407.54</v>
      </c>
      <c r="S729" s="55">
        <v>-932.25</v>
      </c>
      <c r="T729" s="1">
        <f t="shared" si="21"/>
        <v>0</v>
      </c>
      <c r="U729" s="55">
        <v>35949.160000000003</v>
      </c>
      <c r="V729" s="1">
        <f>U729-P729-N729-Q729-R729+N729-I730-G730-F730-D729-E729-B729-K730-M729-H730-C729-L729-J729</f>
        <v>0</v>
      </c>
    </row>
    <row r="730" spans="1:22" x14ac:dyDescent="0.25">
      <c r="A730" t="s">
        <v>876</v>
      </c>
      <c r="B730" s="56">
        <v>7113.23</v>
      </c>
      <c r="E730" s="3"/>
      <c r="F730" s="55">
        <v>64286.26</v>
      </c>
      <c r="G730" s="55">
        <v>-400.86</v>
      </c>
      <c r="H730" s="55">
        <v>-29.24</v>
      </c>
      <c r="I730" s="55">
        <v>200.35</v>
      </c>
      <c r="L730" s="56">
        <v>-0.06</v>
      </c>
      <c r="N730" s="56">
        <v>66660.2</v>
      </c>
      <c r="O730" s="3">
        <f t="shared" si="22"/>
        <v>-1.3096745909990659E-12</v>
      </c>
      <c r="P730" s="56">
        <v>-80.25</v>
      </c>
      <c r="Q730" s="56">
        <v>-124.96</v>
      </c>
      <c r="R730" s="56">
        <v>258.52</v>
      </c>
      <c r="S730" s="56">
        <v>53.31</v>
      </c>
      <c r="T730" s="1">
        <f t="shared" si="21"/>
        <v>0</v>
      </c>
      <c r="U730" s="56">
        <v>66713.509999999995</v>
      </c>
      <c r="V730" s="1">
        <f>U730-P730-N730-Q730-R730+N730-I731-G731-F731-D730-E730-B730-K731-M730-H731-C730-L730-J730</f>
        <v>2.7652879985851087E-12</v>
      </c>
    </row>
    <row r="731" spans="1:22" x14ac:dyDescent="0.25">
      <c r="A731" t="s">
        <v>877</v>
      </c>
      <c r="B731" s="6">
        <v>4789.2299999999996</v>
      </c>
      <c r="D731" s="6">
        <v>41.989999999999995</v>
      </c>
      <c r="F731" s="56">
        <v>60099.06</v>
      </c>
      <c r="G731" s="56">
        <v>-785.80000000000007</v>
      </c>
      <c r="H731" s="56">
        <v>-23.73</v>
      </c>
      <c r="K731" s="56">
        <v>257.5</v>
      </c>
      <c r="L731" s="6">
        <v>-7.000000000516593E-2</v>
      </c>
      <c r="N731" s="6">
        <v>74720.17</v>
      </c>
      <c r="O731" s="3">
        <f t="shared" si="22"/>
        <v>0</v>
      </c>
      <c r="P731" s="6">
        <v>-149.62</v>
      </c>
      <c r="Q731" s="6">
        <f>-162.76-83.55</f>
        <v>-246.31</v>
      </c>
      <c r="S731" s="6">
        <v>-395.93</v>
      </c>
      <c r="T731" s="1">
        <f t="shared" si="21"/>
        <v>0</v>
      </c>
      <c r="U731" s="6">
        <v>74324.240000000005</v>
      </c>
      <c r="V731" s="1">
        <f>U731-P731-N731-Q731-R731+N731-I732-G732-F732-D731-E731-B731-K732-M731-H732-C731-L731-J731</f>
        <v>6.9846350925217848E-12</v>
      </c>
    </row>
    <row r="732" spans="1:22" x14ac:dyDescent="0.25">
      <c r="A732" t="s">
        <v>878</v>
      </c>
      <c r="B732" s="53">
        <v>4869.1099999999997</v>
      </c>
      <c r="D732" s="53">
        <v>42.25</v>
      </c>
      <c r="F732" s="6">
        <v>70366.37</v>
      </c>
      <c r="G732" s="6">
        <v>-426.67</v>
      </c>
      <c r="H732" s="6">
        <v>-50.68</v>
      </c>
      <c r="L732" s="53">
        <v>-0.56999999999999995</v>
      </c>
      <c r="M732" s="53">
        <v>17417.47</v>
      </c>
      <c r="O732" s="3">
        <f t="shared" si="22"/>
        <v>-99505.449999999983</v>
      </c>
      <c r="P732" s="53">
        <v>-530.97</v>
      </c>
      <c r="Q732" s="53">
        <v>-22.55</v>
      </c>
      <c r="T732" s="1">
        <f t="shared" si="21"/>
        <v>553.52</v>
      </c>
    </row>
    <row r="733" spans="1:22" x14ac:dyDescent="0.25">
      <c r="A733" t="s">
        <v>879</v>
      </c>
      <c r="B733" s="53">
        <v>17838.809999999998</v>
      </c>
      <c r="F733" s="53">
        <v>78185.259999999995</v>
      </c>
      <c r="G733" s="53">
        <v>-1050.8600000000001</v>
      </c>
      <c r="H733" s="53">
        <v>-4.3099999999999996</v>
      </c>
      <c r="I733" s="53">
        <v>47.1</v>
      </c>
      <c r="M733" s="53">
        <v>47871.15</v>
      </c>
      <c r="O733" s="3">
        <f t="shared" si="22"/>
        <v>-65709.959999999992</v>
      </c>
      <c r="P733" s="53">
        <v>-878.93</v>
      </c>
      <c r="Q733" s="53">
        <v>-273.81</v>
      </c>
      <c r="R733" s="53">
        <v>971.71</v>
      </c>
      <c r="T733" s="1">
        <f t="shared" si="21"/>
        <v>181.02999999999986</v>
      </c>
    </row>
    <row r="734" spans="1:22" x14ac:dyDescent="0.25">
      <c r="A734" t="s">
        <v>880</v>
      </c>
      <c r="B734" s="53">
        <v>16906.62</v>
      </c>
      <c r="L734" s="53">
        <v>-0.24</v>
      </c>
      <c r="N734" s="53">
        <v>341031.39</v>
      </c>
      <c r="O734" s="3">
        <f t="shared" si="22"/>
        <v>165215.41</v>
      </c>
      <c r="Q734" s="53">
        <v>-123.84</v>
      </c>
      <c r="R734" s="53">
        <v>2207.06</v>
      </c>
      <c r="S734" s="53">
        <v>1348.67</v>
      </c>
      <c r="T734" s="1">
        <f t="shared" si="21"/>
        <v>-734.54999999999984</v>
      </c>
      <c r="U734" s="53">
        <v>342380.06</v>
      </c>
      <c r="V734" s="3">
        <f>U734-P734-N734-Q734-R734+N734-I735-G735-F735-D734-E734-B734-M733-R733-R732-Q733-Q732-P732-P733-K734-K733-I733-G733-F733-E733-E732-B733-B732-M732-D732-D733-M734-H733-C732-H735-K735-C733-L732-L733-L734</f>
        <v>1.9208079571342296E-11</v>
      </c>
    </row>
    <row r="735" spans="1:22" x14ac:dyDescent="0.25">
      <c r="A735" t="s">
        <v>881</v>
      </c>
      <c r="B735" s="49">
        <v>16386.07</v>
      </c>
      <c r="E735" s="49">
        <v>62.79</v>
      </c>
      <c r="F735" s="53">
        <v>159934.79</v>
      </c>
      <c r="G735" s="53">
        <v>-1025.1899999999998</v>
      </c>
      <c r="H735" s="3"/>
      <c r="L735" s="49">
        <v>-0.69000000000232831</v>
      </c>
      <c r="N735" s="49">
        <v>94107.96</v>
      </c>
      <c r="O735" s="3">
        <f t="shared" si="22"/>
        <v>0</v>
      </c>
      <c r="P735" s="49">
        <v>-452.09</v>
      </c>
      <c r="Q735" s="49">
        <v>-865.26</v>
      </c>
      <c r="S735" s="49">
        <v>-1317.35</v>
      </c>
      <c r="T735" s="1">
        <f t="shared" si="21"/>
        <v>0</v>
      </c>
      <c r="U735" s="49">
        <v>92790.61</v>
      </c>
      <c r="V735" s="1">
        <f>U735-P735-N735-Q735-R735+N735-I736-G736-F736-D735-E735-B735-K736-M735-H736-C735-L735-J735</f>
        <v>-1.4551915228366852E-11</v>
      </c>
    </row>
    <row r="736" spans="1:22" x14ac:dyDescent="0.25">
      <c r="A736" t="s">
        <v>882</v>
      </c>
      <c r="B736" s="2">
        <v>13062.91</v>
      </c>
      <c r="F736" s="49">
        <v>80340.400000000009</v>
      </c>
      <c r="G736" s="49">
        <v>-2722.5899999999997</v>
      </c>
      <c r="I736" s="49">
        <v>41.98</v>
      </c>
      <c r="L736" s="2">
        <v>-0.53</v>
      </c>
      <c r="N736" s="2">
        <v>82891.929999999993</v>
      </c>
      <c r="O736" s="3">
        <f t="shared" si="22"/>
        <v>-9.7497565576531997E-12</v>
      </c>
      <c r="P736" s="2">
        <v>-60.92</v>
      </c>
      <c r="Q736" s="2">
        <v>-374.74</v>
      </c>
      <c r="S736" s="2">
        <v>-435.66</v>
      </c>
      <c r="T736" s="1">
        <f t="shared" si="21"/>
        <v>0</v>
      </c>
      <c r="U736" s="2">
        <v>82456.27</v>
      </c>
      <c r="V736" s="1">
        <f>U736-P736-N736-Q736-R736+N736-I737-G737-F737-D736-E736-B736-K737-M736-H737-C736-L736-J736</f>
        <v>9.4597663036211088E-12</v>
      </c>
    </row>
    <row r="737" spans="1:22" x14ac:dyDescent="0.25">
      <c r="A737" t="s">
        <v>883</v>
      </c>
      <c r="B737" s="56">
        <v>11594.69</v>
      </c>
      <c r="E737" s="56">
        <v>31.59</v>
      </c>
      <c r="F737" s="2">
        <v>70825.649999999994</v>
      </c>
      <c r="G737" s="2">
        <v>-985.48</v>
      </c>
      <c r="H737" s="2">
        <v>-10.620000000000001</v>
      </c>
      <c r="L737" s="114">
        <v>-0.26</v>
      </c>
      <c r="N737" s="113">
        <v>79372.990000000005</v>
      </c>
      <c r="O737" s="3">
        <f t="shared" si="22"/>
        <v>1.7971624188817259E-11</v>
      </c>
      <c r="P737" s="56">
        <v>-418.97</v>
      </c>
      <c r="Q737" s="56">
        <v>-744.02</v>
      </c>
      <c r="S737" s="56">
        <v>-1162.99</v>
      </c>
      <c r="T737" s="1">
        <f t="shared" si="21"/>
        <v>0</v>
      </c>
      <c r="U737" s="56">
        <v>78210</v>
      </c>
      <c r="V737" s="1">
        <f>U737-P737-N737-Q737-R737+N737-I738-G738-F738-D737-E737-B737-K738-M737-H738-C737-L737-J737</f>
        <v>1.4479306642556367E-11</v>
      </c>
    </row>
    <row r="738" spans="1:22" x14ac:dyDescent="0.25">
      <c r="A738" t="s">
        <v>884</v>
      </c>
      <c r="B738" s="39">
        <v>11336.88</v>
      </c>
      <c r="E738" s="39">
        <v>51.440000000000005</v>
      </c>
      <c r="F738" s="56">
        <v>68416.289999999994</v>
      </c>
      <c r="G738" s="56">
        <v>-646.91</v>
      </c>
      <c r="H738" s="56">
        <v>-22.41</v>
      </c>
      <c r="J738" s="3"/>
      <c r="L738" s="39">
        <v>-0.42</v>
      </c>
      <c r="N738" s="39">
        <v>75141.83</v>
      </c>
      <c r="O738" s="3">
        <f t="shared" si="22"/>
        <v>-5.5297433299017484E-12</v>
      </c>
      <c r="P738" s="39">
        <v>-492.8</v>
      </c>
      <c r="Q738" s="39">
        <v>-446.31</v>
      </c>
      <c r="S738" s="39">
        <v>-939.11</v>
      </c>
      <c r="T738" s="1">
        <f t="shared" si="21"/>
        <v>0</v>
      </c>
      <c r="U738" s="39">
        <v>74202.720000000001</v>
      </c>
      <c r="V738" s="1">
        <f>U738-P738-N738-Q738-R738+N738-I739-G739-F739-D738-E738-B738-K739-M738-H739-C738-L738-J738</f>
        <v>-8.8279383803069322E-13</v>
      </c>
    </row>
    <row r="739" spans="1:22" x14ac:dyDescent="0.25">
      <c r="A739" t="s">
        <v>885</v>
      </c>
      <c r="B739" s="115">
        <v>9282.15</v>
      </c>
      <c r="E739" s="115">
        <v>3.43</v>
      </c>
      <c r="F739" s="39">
        <v>64674.11</v>
      </c>
      <c r="G739" s="39">
        <v>-832.56</v>
      </c>
      <c r="H739" s="39">
        <v>-87.61999999999999</v>
      </c>
      <c r="J739" s="3"/>
      <c r="L739" s="115">
        <v>-0.19</v>
      </c>
      <c r="O739" s="3">
        <f t="shared" si="22"/>
        <v>-77673.409999999974</v>
      </c>
      <c r="P739" s="115">
        <v>-310.82</v>
      </c>
      <c r="Q739" s="115">
        <v>-87.17</v>
      </c>
      <c r="T739" s="1">
        <f t="shared" si="21"/>
        <v>397.99</v>
      </c>
    </row>
    <row r="740" spans="1:22" x14ac:dyDescent="0.25">
      <c r="A740" t="s">
        <v>886</v>
      </c>
      <c r="B740" s="115">
        <v>13192.66</v>
      </c>
      <c r="F740" s="115">
        <v>69847.069999999992</v>
      </c>
      <c r="G740" s="115">
        <v>-1403.74</v>
      </c>
      <c r="H740" s="115">
        <v>-55.309999999999995</v>
      </c>
      <c r="J740" s="3"/>
      <c r="M740" s="115">
        <v>20679.48</v>
      </c>
      <c r="O740" s="3">
        <f t="shared" si="22"/>
        <v>-33872.14</v>
      </c>
      <c r="P740" s="115">
        <v>-443.72</v>
      </c>
      <c r="Q740" s="115">
        <v>-415.32</v>
      </c>
      <c r="R740" s="115">
        <v>2172.19</v>
      </c>
      <c r="T740" s="1">
        <f t="shared" si="21"/>
        <v>-1313.15</v>
      </c>
    </row>
    <row r="741" spans="1:22" x14ac:dyDescent="0.25">
      <c r="A741" t="s">
        <v>887</v>
      </c>
      <c r="B741" s="115">
        <v>6990.12</v>
      </c>
      <c r="J741" s="3"/>
      <c r="L741" s="115">
        <v>-0.09</v>
      </c>
      <c r="N741" s="115">
        <v>230513.99</v>
      </c>
      <c r="O741" s="3">
        <f t="shared" si="22"/>
        <v>111545.55</v>
      </c>
      <c r="P741" s="115">
        <v>-440.56</v>
      </c>
      <c r="Q741" s="115">
        <v>-244.99</v>
      </c>
      <c r="S741" s="115">
        <v>229.61</v>
      </c>
      <c r="T741" s="1">
        <f t="shared" si="21"/>
        <v>915.16000000000008</v>
      </c>
      <c r="U741" s="115">
        <v>230743.6</v>
      </c>
      <c r="V741" s="3">
        <f>U741-P741-N741-Q741-R741+N741-I742-G742-F742-D741-E741-B741-M740-R740-R739-Q740-Q739-P739-P740-K741-K740-I740-G740-F740-E740-E739-B740-B739-M739-D739-D740-M741-H740-C739-H742-K742-C740-L739-L740-L741</f>
        <v>3.8048425521353124E-11</v>
      </c>
    </row>
    <row r="742" spans="1:22" x14ac:dyDescent="0.25">
      <c r="A742" t="s">
        <v>888</v>
      </c>
      <c r="B742" s="34">
        <v>5413.75</v>
      </c>
      <c r="F742" s="115">
        <v>114504.46</v>
      </c>
      <c r="G742" s="115">
        <v>-2536.63</v>
      </c>
      <c r="I742" s="115">
        <v>10.58</v>
      </c>
      <c r="J742" s="3"/>
      <c r="L742" s="34">
        <v>-0.56999999999999995</v>
      </c>
      <c r="N742" s="34">
        <v>66338.22</v>
      </c>
      <c r="O742" s="3">
        <f t="shared" si="22"/>
        <v>2.9098945475425353E-13</v>
      </c>
      <c r="P742" s="34">
        <v>-708.09</v>
      </c>
      <c r="Q742" s="34">
        <v>-123.81</v>
      </c>
      <c r="S742" s="34">
        <v>-831.9</v>
      </c>
      <c r="T742" s="1">
        <f t="shared" si="21"/>
        <v>0</v>
      </c>
      <c r="U742" s="34">
        <v>65506.32</v>
      </c>
      <c r="V742" s="1">
        <f>U742-P742-N742-Q742-R742+N742-I743-G743-F743-D742-E742-B742-K743-M742-H743-C742-L742-J742</f>
        <v>5.5276894173061919E-12</v>
      </c>
    </row>
    <row r="743" spans="1:22" x14ac:dyDescent="0.25">
      <c r="A743" t="s">
        <v>889</v>
      </c>
      <c r="B743" s="99">
        <v>5143.1099999999997</v>
      </c>
      <c r="F743" s="34">
        <v>61011.77</v>
      </c>
      <c r="G743" s="34">
        <v>-742.25</v>
      </c>
      <c r="H743" s="34">
        <v>-63.76</v>
      </c>
      <c r="I743" s="34">
        <v>719.28</v>
      </c>
      <c r="J743" s="3"/>
      <c r="L743" s="99">
        <v>-0.43</v>
      </c>
      <c r="N743" s="99">
        <v>94413.86</v>
      </c>
      <c r="O743" s="3">
        <f t="shared" si="22"/>
        <v>-6.6575078783159825E-12</v>
      </c>
      <c r="P743" s="99">
        <v>-521.91999999999996</v>
      </c>
      <c r="Q743" s="99">
        <v>-1011.74</v>
      </c>
      <c r="S743" s="99">
        <v>-1533.66</v>
      </c>
      <c r="T743" s="1">
        <f t="shared" si="21"/>
        <v>0</v>
      </c>
      <c r="U743" s="99">
        <v>92880.2</v>
      </c>
      <c r="V743" s="1">
        <f>U743-P743-N743-Q743-R743+N743-I744-G744-F744-D743-E743-B743-K744-M743-H744-C743-L743-J743</f>
        <v>-4.895361893630934E-12</v>
      </c>
    </row>
    <row r="744" spans="1:22" x14ac:dyDescent="0.25">
      <c r="A744" t="s">
        <v>890</v>
      </c>
      <c r="B744" s="37">
        <v>6604.08</v>
      </c>
      <c r="D744" s="37">
        <v>90.68</v>
      </c>
      <c r="E744" s="37">
        <v>26.68</v>
      </c>
      <c r="F744" s="99">
        <v>90843.12000000001</v>
      </c>
      <c r="G744" s="99">
        <v>-1384.27</v>
      </c>
      <c r="H744" s="99">
        <v>-187.67000000000002</v>
      </c>
      <c r="J744" s="3"/>
      <c r="L744" s="37">
        <v>-0.20000000000982254</v>
      </c>
      <c r="N744" s="37">
        <v>79248.179999999993</v>
      </c>
      <c r="O744" s="3">
        <f t="shared" si="22"/>
        <v>0</v>
      </c>
      <c r="P744" s="37">
        <v>-533.74</v>
      </c>
      <c r="Q744" s="37">
        <v>-123.82</v>
      </c>
      <c r="S744" s="37">
        <v>-657.56</v>
      </c>
      <c r="T744" s="1">
        <f t="shared" si="21"/>
        <v>0</v>
      </c>
      <c r="U744" s="37">
        <v>78590.62</v>
      </c>
      <c r="V744" s="1">
        <f>U744-P744-N744-Q744-R744+N744-I745-G745-F745-D744-E744-B744-K745-M744-H745-C744-L744-J744</f>
        <v>2.0373036591081473E-11</v>
      </c>
    </row>
    <row r="745" spans="1:22" x14ac:dyDescent="0.25">
      <c r="A745" t="s">
        <v>891</v>
      </c>
      <c r="B745" s="11">
        <v>5012.3899999999994</v>
      </c>
      <c r="E745" s="11">
        <v>2.08</v>
      </c>
      <c r="F745" s="37">
        <v>73668.75</v>
      </c>
      <c r="G745" s="37">
        <v>-1133.1599999999999</v>
      </c>
      <c r="H745" s="37">
        <v>-8.65</v>
      </c>
      <c r="J745" s="3"/>
      <c r="L745" s="11">
        <v>-0.26</v>
      </c>
      <c r="N745" s="11">
        <v>98794.55</v>
      </c>
      <c r="O745" s="3">
        <f t="shared" si="22"/>
        <v>-7.4942274608247317E-12</v>
      </c>
      <c r="P745" s="11">
        <v>-389.37</v>
      </c>
      <c r="Q745" s="11">
        <v>-121.24</v>
      </c>
      <c r="S745" s="11">
        <v>-510.61</v>
      </c>
      <c r="T745" s="1">
        <f t="shared" si="21"/>
        <v>0</v>
      </c>
      <c r="U745" s="11">
        <v>98283.94</v>
      </c>
      <c r="V745" s="1">
        <f>U745-P745-N745-Q745-R745+N745-I746-G746-F746-D745-E745-B745-K746-M745-H746-C745-L745-J745</f>
        <v>-7.4942274608247317E-12</v>
      </c>
    </row>
    <row r="746" spans="1:22" x14ac:dyDescent="0.25">
      <c r="A746" t="s">
        <v>892</v>
      </c>
      <c r="B746" s="57">
        <v>5871.54</v>
      </c>
      <c r="F746" s="11">
        <v>94908.060000000012</v>
      </c>
      <c r="G746" s="11">
        <v>-1127.72</v>
      </c>
      <c r="J746" s="3"/>
      <c r="L746" s="57">
        <v>-0.11</v>
      </c>
      <c r="O746" s="3">
        <f t="shared" si="22"/>
        <v>-74035.01999999999</v>
      </c>
      <c r="P746" s="57">
        <v>-129.54</v>
      </c>
      <c r="Q746" s="57">
        <f>-124.09 -124.97</f>
        <v>-249.06</v>
      </c>
      <c r="T746" s="1">
        <f t="shared" si="21"/>
        <v>378.6</v>
      </c>
    </row>
    <row r="747" spans="1:22" x14ac:dyDescent="0.25">
      <c r="A747" t="s">
        <v>893</v>
      </c>
      <c r="B747" s="57">
        <v>11563.92</v>
      </c>
      <c r="E747" s="57">
        <v>425.23</v>
      </c>
      <c r="F747" s="57">
        <v>68932.09</v>
      </c>
      <c r="G747" s="57">
        <v>-768.5</v>
      </c>
      <c r="J747" s="3"/>
      <c r="M747" s="57">
        <v>19397.78</v>
      </c>
      <c r="O747" s="3">
        <f t="shared" si="22"/>
        <v>-31386.93</v>
      </c>
      <c r="P747" s="57">
        <v>-422.09</v>
      </c>
      <c r="Q747" s="57">
        <v>-588.91999999999996</v>
      </c>
      <c r="R747" s="57">
        <v>1982.36</v>
      </c>
      <c r="T747" s="1">
        <f t="shared" si="21"/>
        <v>-971.35000000000014</v>
      </c>
    </row>
    <row r="748" spans="1:22" x14ac:dyDescent="0.25">
      <c r="A748" t="s">
        <v>894</v>
      </c>
      <c r="B748" s="57">
        <v>3940.6099999999997</v>
      </c>
      <c r="E748" s="57">
        <v>89.289999999999992</v>
      </c>
      <c r="J748" s="3"/>
      <c r="L748" s="57">
        <v>-7.0000000000000007E-2</v>
      </c>
      <c r="N748" s="57">
        <v>271975.78000000003</v>
      </c>
      <c r="O748" s="3">
        <f t="shared" si="22"/>
        <v>105421.95000000001</v>
      </c>
      <c r="P748" s="57">
        <v>-136.88</v>
      </c>
      <c r="Q748" s="57">
        <f>-124.97 -409.53</f>
        <v>-534.5</v>
      </c>
      <c r="S748" s="57">
        <v>-78.63</v>
      </c>
      <c r="T748" s="1">
        <f t="shared" si="21"/>
        <v>592.75</v>
      </c>
      <c r="U748" s="57">
        <v>271897.15000000002</v>
      </c>
      <c r="V748" s="3">
        <f>U748-P748-N748-Q748-R748+N748-I749-G749-F749-D748-E748-B748-M747-R747-R746-Q747-Q746-P746-P747-K748-K747-I747-G747-F747-E747-E746-B747-B746-M746-D746-D747-M748-H747-C746-H749-K749-C747-L746-L747-L748</f>
        <v>-4.8385045969823182E-12</v>
      </c>
    </row>
    <row r="749" spans="1:22" x14ac:dyDescent="0.25">
      <c r="A749" t="s">
        <v>895</v>
      </c>
      <c r="B749" s="82">
        <v>6204.79</v>
      </c>
      <c r="F749" s="57">
        <v>163744.46</v>
      </c>
      <c r="G749" s="57">
        <v>-1277.4100000000001</v>
      </c>
      <c r="I749" s="57">
        <v>56.95</v>
      </c>
      <c r="J749" s="3"/>
      <c r="L749" s="82">
        <v>-0.18000000001393346</v>
      </c>
      <c r="N749" s="82">
        <v>107169.45</v>
      </c>
      <c r="O749" s="3">
        <f t="shared" si="22"/>
        <v>0</v>
      </c>
      <c r="P749" s="82">
        <v>-712.03</v>
      </c>
      <c r="Q749" s="82">
        <v>-124.97</v>
      </c>
      <c r="S749" s="82">
        <v>-837</v>
      </c>
      <c r="T749" s="1">
        <f t="shared" si="21"/>
        <v>0</v>
      </c>
      <c r="U749" s="82">
        <v>106332.45</v>
      </c>
      <c r="V749" s="1">
        <f>U749-P749-N749-Q749-R749+N749-I750-G750-F750-D749-E749-B749-K750-M749-H750-C749-L749-J749</f>
        <v>6.3948846218409017E-12</v>
      </c>
    </row>
    <row r="750" spans="1:22" x14ac:dyDescent="0.25">
      <c r="A750" t="s">
        <v>896</v>
      </c>
      <c r="B750" s="39">
        <v>8506.2199999999993</v>
      </c>
      <c r="E750" s="39">
        <v>11</v>
      </c>
      <c r="F750" s="82">
        <v>107625.61</v>
      </c>
      <c r="G750" s="82">
        <v>-6580.97</v>
      </c>
      <c r="H750" s="82">
        <v>-105.53999999999999</v>
      </c>
      <c r="I750" s="82">
        <v>25.740000000000002</v>
      </c>
      <c r="J750" s="3"/>
      <c r="L750" s="39">
        <v>-8.0000000014479156E-2</v>
      </c>
      <c r="N750" s="39">
        <v>125363.03</v>
      </c>
      <c r="O750" s="3">
        <f t="shared" si="22"/>
        <v>0</v>
      </c>
      <c r="P750" s="39">
        <v>-132.21</v>
      </c>
      <c r="Q750" s="39">
        <v>-123.99</v>
      </c>
      <c r="S750" s="39">
        <v>-256.2</v>
      </c>
      <c r="T750" s="1">
        <f t="shared" si="21"/>
        <v>0</v>
      </c>
      <c r="U750" s="39">
        <v>125106.83</v>
      </c>
      <c r="V750" s="1">
        <f>U750-P750-N750-Q750-R750+N750-I751-G751-F751-D750-E750-B750-K751-M750-H751-C750-L750-J750</f>
        <v>1.4551915228366852E-11</v>
      </c>
    </row>
    <row r="751" spans="1:22" x14ac:dyDescent="0.25">
      <c r="A751" t="s">
        <v>897</v>
      </c>
      <c r="B751" s="33">
        <v>4397.8500000000004</v>
      </c>
      <c r="E751" s="33">
        <v>6.1899999999999995</v>
      </c>
      <c r="F751" s="39">
        <v>117507.55</v>
      </c>
      <c r="G751" s="39">
        <v>-713.65</v>
      </c>
      <c r="I751" s="39">
        <v>51.989999999999995</v>
      </c>
      <c r="J751" s="3"/>
      <c r="L751" s="33">
        <v>-0.33000000000811269</v>
      </c>
      <c r="N751" s="33">
        <v>105194.19</v>
      </c>
      <c r="O751" s="3">
        <f t="shared" si="22"/>
        <v>0</v>
      </c>
      <c r="P751" s="33">
        <v>-180.82</v>
      </c>
      <c r="S751" s="33">
        <v>-180.82</v>
      </c>
      <c r="T751" s="1">
        <f t="shared" si="21"/>
        <v>0</v>
      </c>
      <c r="U751" s="33">
        <v>105013.37</v>
      </c>
      <c r="V751" s="1">
        <f>U751-P751-N751-Q751-R751+N751-I752-G752-F752-D751-E751-B751-K752-M751-H752-C751-L751-J751</f>
        <v>5.2366999625519384E-12</v>
      </c>
    </row>
    <row r="752" spans="1:22" x14ac:dyDescent="0.25">
      <c r="A752" t="s">
        <v>898</v>
      </c>
      <c r="B752" s="56">
        <v>6029.67</v>
      </c>
      <c r="E752" s="56">
        <v>26.79</v>
      </c>
      <c r="F752" s="33">
        <v>101651.92</v>
      </c>
      <c r="G752" s="33">
        <v>-831.93000000000006</v>
      </c>
      <c r="H752" s="33">
        <v>-29.509999999999998</v>
      </c>
      <c r="J752" s="3"/>
      <c r="L752" s="56">
        <v>-8.9999999990141077E-2</v>
      </c>
      <c r="N752" s="56">
        <v>115789.38</v>
      </c>
      <c r="O752" s="3">
        <f t="shared" si="22"/>
        <v>0</v>
      </c>
      <c r="P752" s="56">
        <v>-204.64</v>
      </c>
      <c r="Q752" s="56">
        <v>-734.12</v>
      </c>
      <c r="S752" s="56">
        <v>-938.76</v>
      </c>
      <c r="T752" s="1">
        <f t="shared" si="21"/>
        <v>0</v>
      </c>
      <c r="U752" s="56">
        <v>114850.62</v>
      </c>
      <c r="V752" s="1">
        <f>U752-P752-N752-Q752-R752+N752-I753-G753-F753-D752-E752-B752-K753-M752-H753-C752-L752-J752</f>
        <v>-2.0946799850207753E-11</v>
      </c>
    </row>
    <row r="753" spans="1:22" x14ac:dyDescent="0.25">
      <c r="A753" t="s">
        <v>899</v>
      </c>
      <c r="B753" s="90">
        <v>8418.4</v>
      </c>
      <c r="E753" s="90">
        <v>18.959999999999997</v>
      </c>
      <c r="F753" s="56">
        <v>115293.85</v>
      </c>
      <c r="G753" s="56">
        <v>-5514.6</v>
      </c>
      <c r="H753" s="56">
        <v>-111.21000000000001</v>
      </c>
      <c r="I753" s="56">
        <v>64.97</v>
      </c>
      <c r="J753" s="3"/>
      <c r="L753" s="90">
        <v>-0.08</v>
      </c>
      <c r="O753" s="3">
        <f t="shared" si="22"/>
        <v>-101750.78</v>
      </c>
      <c r="P753" s="90">
        <v>-49.79</v>
      </c>
      <c r="T753" s="1">
        <f t="shared" si="21"/>
        <v>49.79</v>
      </c>
    </row>
    <row r="754" spans="1:22" x14ac:dyDescent="0.25">
      <c r="A754" t="s">
        <v>900</v>
      </c>
      <c r="B754" s="90">
        <v>4838.82</v>
      </c>
      <c r="E754" s="90">
        <v>785.95</v>
      </c>
      <c r="F754" s="90">
        <v>94247.58</v>
      </c>
      <c r="G754" s="90">
        <v>-934.07999999999993</v>
      </c>
      <c r="J754" s="3"/>
      <c r="M754" s="90">
        <v>23826.99</v>
      </c>
      <c r="O754" s="3">
        <f t="shared" si="22"/>
        <v>-29451.760000000002</v>
      </c>
      <c r="P754" s="90">
        <v>-240.9</v>
      </c>
      <c r="T754" s="1">
        <f t="shared" si="21"/>
        <v>240.9</v>
      </c>
    </row>
    <row r="755" spans="1:22" x14ac:dyDescent="0.25">
      <c r="A755" t="s">
        <v>901</v>
      </c>
      <c r="B755" s="90">
        <v>3381.51</v>
      </c>
      <c r="E755" s="90">
        <v>7.16</v>
      </c>
      <c r="J755" s="3"/>
      <c r="L755" s="90">
        <v>-0.12</v>
      </c>
      <c r="N755" s="90">
        <v>335466.25</v>
      </c>
      <c r="O755" s="3">
        <f t="shared" si="22"/>
        <v>131202.54</v>
      </c>
      <c r="P755" s="90">
        <v>-433.87</v>
      </c>
      <c r="Q755" s="90">
        <v>-123.83</v>
      </c>
      <c r="R755" s="90">
        <v>1930.8</v>
      </c>
      <c r="S755" s="90">
        <v>1082.4100000000001</v>
      </c>
      <c r="T755" s="1">
        <f t="shared" si="21"/>
        <v>-290.68999999999983</v>
      </c>
      <c r="U755" s="90">
        <v>336548.66</v>
      </c>
      <c r="V755" s="3">
        <f>U755-P755-N755-Q755-R755+N755-I756-G756-F756-D755-E755-B755-M754-R754-R753-Q754-Q753-P753-P754-K755-K754-I754-G754-F754-E754-E753-B754-B753-M753-D753-D754-M755-H754-C753-H756-K756-C754-L753-L754-L755</f>
        <v>8.3673484807533782E-12</v>
      </c>
    </row>
    <row r="756" spans="1:22" x14ac:dyDescent="0.25">
      <c r="A756" t="s">
        <v>902</v>
      </c>
      <c r="B756" s="6">
        <v>8656.73</v>
      </c>
      <c r="C756" s="6">
        <v>-89.63</v>
      </c>
      <c r="F756" s="90">
        <v>201826.08000000002</v>
      </c>
      <c r="G756" s="90">
        <v>-959.78</v>
      </c>
      <c r="I756" s="90">
        <v>8.86</v>
      </c>
      <c r="J756" s="55" t="s">
        <v>1472</v>
      </c>
      <c r="L756" s="6">
        <v>-0.30999999999221473</v>
      </c>
      <c r="N756" s="6">
        <v>135603.60999999999</v>
      </c>
      <c r="O756" s="3">
        <f>N756-K757-I757-H757-G757-F757-E756-D756-C756-B756-M756-L756</f>
        <v>0</v>
      </c>
      <c r="P756" s="6">
        <v>-613.45000000000005</v>
      </c>
      <c r="Q756" s="6">
        <v>-124.93</v>
      </c>
      <c r="S756" s="6">
        <v>-738.38</v>
      </c>
      <c r="T756" s="1">
        <f t="shared" si="21"/>
        <v>0</v>
      </c>
      <c r="U756" s="6">
        <v>134865.23000000001</v>
      </c>
      <c r="V756" s="1">
        <f>U756-P756-N756-Q756-R756+N756-I757-G757-F757-D756-E756-B756-K757-M756-H757-C756-L756</f>
        <v>1.9412027540965937E-11</v>
      </c>
    </row>
    <row r="757" spans="1:22" x14ac:dyDescent="0.25">
      <c r="A757" t="s">
        <v>903</v>
      </c>
      <c r="B757" s="93">
        <v>5707.85</v>
      </c>
      <c r="C757" s="93">
        <v>-89.84</v>
      </c>
      <c r="E757" s="93">
        <v>65.069999999999993</v>
      </c>
      <c r="F757" s="6">
        <v>127729.62</v>
      </c>
      <c r="G757" s="6">
        <v>-666.63</v>
      </c>
      <c r="H757" s="6">
        <v>-30.479999999999997</v>
      </c>
      <c r="I757" s="6">
        <v>4.3099999999999996</v>
      </c>
      <c r="J757" s="93">
        <v>-50000</v>
      </c>
      <c r="L757" s="93">
        <v>-0.16999999999825377</v>
      </c>
      <c r="N757" s="93">
        <v>89122.73</v>
      </c>
      <c r="O757" s="3">
        <f t="shared" ref="O757:O788" si="23">N757-K758-I758-H758-G758-F758-E757-D757-C757-B757-M757-L757-J757</f>
        <v>0</v>
      </c>
      <c r="P757" s="93">
        <v>-169.34</v>
      </c>
      <c r="Q757" s="93">
        <v>-123.82</v>
      </c>
      <c r="S757" s="93">
        <v>-293.16000000000003</v>
      </c>
      <c r="T757" s="1">
        <f t="shared" si="21"/>
        <v>0</v>
      </c>
      <c r="U757" s="93">
        <v>88829.57</v>
      </c>
      <c r="V757" s="1">
        <f>U757-P757-N757-Q757-R757+N757-I758-G758-F758-D757-E757-B757-K758-M757-H758-C757-L757-J757</f>
        <v>0</v>
      </c>
    </row>
    <row r="758" spans="1:22" x14ac:dyDescent="0.25">
      <c r="A758" t="s">
        <v>904</v>
      </c>
      <c r="B758" s="9">
        <v>6322.34</v>
      </c>
      <c r="C758" s="9">
        <v>-90.04</v>
      </c>
      <c r="F758" s="93">
        <v>135988.9</v>
      </c>
      <c r="G758" s="93">
        <v>-1088.6099999999999</v>
      </c>
      <c r="H758" s="93">
        <v>-1550.0300000000002</v>
      </c>
      <c r="I758" s="93">
        <v>89.56</v>
      </c>
      <c r="J758" s="3"/>
      <c r="L758" s="9">
        <v>-0.10999999999785359</v>
      </c>
      <c r="N758" s="9">
        <v>83333.97</v>
      </c>
      <c r="O758" s="3">
        <f t="shared" si="23"/>
        <v>0</v>
      </c>
      <c r="P758" s="9">
        <v>-968.64</v>
      </c>
      <c r="S758" s="9">
        <v>-968.64</v>
      </c>
      <c r="T758" s="1">
        <f t="shared" si="21"/>
        <v>0</v>
      </c>
      <c r="U758" s="9">
        <v>82365.33</v>
      </c>
      <c r="V758" s="1">
        <f>U758-P758-N758-Q758-R758+N758-I759-G759-F759-D758-E758-B758-K759-M758-H759-C758-L758-J758</f>
        <v>-3.4532376957940869E-12</v>
      </c>
    </row>
    <row r="759" spans="1:22" x14ac:dyDescent="0.25">
      <c r="A759" t="s">
        <v>905</v>
      </c>
      <c r="B759" s="37">
        <v>6967.7300000000005</v>
      </c>
      <c r="E759" s="37">
        <v>3.41</v>
      </c>
      <c r="F759" s="9">
        <v>79946.720000000001</v>
      </c>
      <c r="G759" s="9">
        <v>-2775.7799999999997</v>
      </c>
      <c r="H759" s="9">
        <v>-69.16</v>
      </c>
      <c r="J759" s="3"/>
      <c r="L759" s="37">
        <v>-1.000000001022272E-2</v>
      </c>
      <c r="N759" s="37">
        <v>92987.34</v>
      </c>
      <c r="O759" s="3">
        <f t="shared" si="23"/>
        <v>0</v>
      </c>
      <c r="P759" s="37">
        <v>-583.09</v>
      </c>
      <c r="S759" s="37">
        <v>-583.09</v>
      </c>
      <c r="T759" s="1">
        <f t="shared" si="21"/>
        <v>0</v>
      </c>
      <c r="U759" s="37">
        <v>92404.25</v>
      </c>
      <c r="V759" s="1">
        <f>U759-P759-N759-Q759-R759+N759-I760-G760-F760-D759-E759-B759-K760-M759-H760-C759-L759-J759</f>
        <v>0</v>
      </c>
    </row>
    <row r="760" spans="1:22" x14ac:dyDescent="0.25">
      <c r="A760" t="s">
        <v>906</v>
      </c>
      <c r="B760" s="35">
        <v>8726.41</v>
      </c>
      <c r="F760" s="37">
        <v>88778.760000000009</v>
      </c>
      <c r="G760" s="37">
        <v>-2635.2799999999997</v>
      </c>
      <c r="H760" s="37">
        <v>-144.5</v>
      </c>
      <c r="I760" s="37">
        <v>17.23</v>
      </c>
      <c r="J760" s="3"/>
      <c r="L760" s="35">
        <v>-0.05</v>
      </c>
      <c r="O760" s="3">
        <f t="shared" si="23"/>
        <v>-88651.12000000001</v>
      </c>
      <c r="P760" s="35">
        <v>-1083.53</v>
      </c>
      <c r="Q760" s="35">
        <v>-124.94</v>
      </c>
      <c r="T760" s="1">
        <f t="shared" si="21"/>
        <v>1208.47</v>
      </c>
    </row>
    <row r="761" spans="1:22" x14ac:dyDescent="0.25">
      <c r="A761" t="s">
        <v>907</v>
      </c>
      <c r="B761" s="35">
        <v>6126.76</v>
      </c>
      <c r="E761" s="35">
        <v>10.239999999999998</v>
      </c>
      <c r="F761" s="35">
        <v>81323.66</v>
      </c>
      <c r="G761" s="35">
        <v>-1119.26</v>
      </c>
      <c r="H761" s="35">
        <v>-299.32</v>
      </c>
      <c r="I761" s="35">
        <v>19.68</v>
      </c>
      <c r="J761" s="3"/>
      <c r="M761" s="35">
        <v>41951.29</v>
      </c>
      <c r="O761" s="3">
        <f t="shared" si="23"/>
        <v>-48088.29</v>
      </c>
      <c r="P761" s="35">
        <v>-748.73</v>
      </c>
      <c r="R761" s="35">
        <v>12746.4</v>
      </c>
      <c r="T761" s="1">
        <f t="shared" si="21"/>
        <v>-11997.67</v>
      </c>
    </row>
    <row r="762" spans="1:22" x14ac:dyDescent="0.25">
      <c r="A762" t="s">
        <v>908</v>
      </c>
      <c r="B762" s="35">
        <v>3849.64</v>
      </c>
      <c r="J762" s="3"/>
      <c r="L762" s="35">
        <v>-0.01</v>
      </c>
      <c r="N762" s="35">
        <v>327018.90000000002</v>
      </c>
      <c r="O762" s="3">
        <f t="shared" si="23"/>
        <v>136739.40999999997</v>
      </c>
      <c r="P762" s="35">
        <v>-569.17999999999995</v>
      </c>
      <c r="Q762" s="35">
        <v>-124.94</v>
      </c>
      <c r="S762" s="35">
        <v>10095.08</v>
      </c>
      <c r="T762" s="1">
        <f t="shared" si="21"/>
        <v>10789.2</v>
      </c>
      <c r="U762" s="35">
        <v>337113.98</v>
      </c>
      <c r="V762" s="3">
        <f>U762-P762-N762-Q762-R762+N762-I763-G763-F763-D762-E762-B762-M761-R761-R760-Q761-Q760-P760-P761-K762-K761-I761-G761-F761-E761-E760-B761-B760-M760-D760-D761-M762-H761-C760-H763-K763-C761-L760-L761-L762</f>
        <v>-6.0398403292638569E-11</v>
      </c>
    </row>
    <row r="763" spans="1:22" x14ac:dyDescent="0.25">
      <c r="A763" t="s">
        <v>909</v>
      </c>
      <c r="B763" s="49">
        <v>11329.03</v>
      </c>
      <c r="E763" s="49">
        <v>993.22</v>
      </c>
      <c r="F763" s="35">
        <v>187465.7</v>
      </c>
      <c r="G763" s="35">
        <v>-1131.22</v>
      </c>
      <c r="H763" s="35">
        <v>-174.22</v>
      </c>
      <c r="I763" s="35">
        <v>269.60000000000002</v>
      </c>
      <c r="J763" s="3"/>
      <c r="L763" s="49">
        <v>-0.31999999997788109</v>
      </c>
      <c r="N763" s="49">
        <v>146634.54</v>
      </c>
      <c r="O763" s="3">
        <f t="shared" si="23"/>
        <v>0</v>
      </c>
      <c r="P763" s="49">
        <v>-632.34</v>
      </c>
      <c r="Q763" s="49">
        <v>-123.77</v>
      </c>
      <c r="S763" s="49">
        <v>-756.11</v>
      </c>
      <c r="T763" s="1">
        <f t="shared" si="21"/>
        <v>0</v>
      </c>
      <c r="U763" s="49">
        <v>145878.43</v>
      </c>
      <c r="V763" s="1">
        <f>U763-P763-N763-Q763-R763+N763-I764-G764-F764-D763-E763-B763-K764-M763-H764-C763-L763-J763</f>
        <v>-1.7461587731304462E-11</v>
      </c>
    </row>
    <row r="764" spans="1:22" x14ac:dyDescent="0.25">
      <c r="A764" t="s">
        <v>910</v>
      </c>
      <c r="B764" s="38">
        <v>11524.07</v>
      </c>
      <c r="C764" s="38">
        <v>-188.28</v>
      </c>
      <c r="E764" s="38">
        <v>560.89</v>
      </c>
      <c r="F764" s="49">
        <v>135037.46</v>
      </c>
      <c r="G764" s="49">
        <v>-750.98</v>
      </c>
      <c r="H764" s="49">
        <v>-24.55</v>
      </c>
      <c r="I764" s="49">
        <v>50.68</v>
      </c>
      <c r="J764" s="3"/>
      <c r="L764" s="38">
        <v>-0.31</v>
      </c>
      <c r="M764" s="38">
        <v>17209.830000000002</v>
      </c>
      <c r="N764" s="38">
        <v>178923.85</v>
      </c>
      <c r="O764" s="3">
        <f t="shared" si="23"/>
        <v>9.6042618302760729E-12</v>
      </c>
      <c r="P764" s="38">
        <v>-579.61</v>
      </c>
      <c r="Q764" s="38">
        <v>-120.32</v>
      </c>
      <c r="R764" s="38">
        <v>921.21</v>
      </c>
      <c r="S764" s="38">
        <v>221.28</v>
      </c>
      <c r="T764" s="1">
        <f t="shared" si="21"/>
        <v>0</v>
      </c>
      <c r="U764" s="38">
        <v>179145.13</v>
      </c>
      <c r="V764" s="1">
        <f>U764-P764-N764-Q764-R764+N764-I765-G765-F765-D764-E764-B764-K765-M764-H765-C764-L764-J764</f>
        <v>-1.8334278539811066E-11</v>
      </c>
    </row>
    <row r="765" spans="1:22" x14ac:dyDescent="0.25">
      <c r="A765" t="s">
        <v>911</v>
      </c>
      <c r="B765" s="98">
        <v>17767.39</v>
      </c>
      <c r="C765" s="98">
        <v>-271.56</v>
      </c>
      <c r="F765" s="38">
        <v>151858.10999999999</v>
      </c>
      <c r="G765" s="38">
        <v>-2089.66</v>
      </c>
      <c r="I765" s="38">
        <v>49.2</v>
      </c>
      <c r="J765" s="3"/>
      <c r="L765" s="98">
        <v>-0.28000000003885361</v>
      </c>
      <c r="N765" s="98">
        <v>166938.21</v>
      </c>
      <c r="O765" s="3">
        <f t="shared" si="23"/>
        <v>0</v>
      </c>
      <c r="P765" s="98">
        <v>-597.97</v>
      </c>
      <c r="Q765" s="98">
        <v>-121.18</v>
      </c>
      <c r="S765" s="98">
        <v>-719.15</v>
      </c>
      <c r="T765" s="1">
        <f t="shared" si="21"/>
        <v>0</v>
      </c>
      <c r="U765" s="98">
        <v>166219.06</v>
      </c>
      <c r="V765" s="1">
        <f>U765-P765-N765-Q765-R765+N765-I766-G766-F766-D765-E765-B765-K766-M765-H766-C765-L765-J765</f>
        <v>8.0149220593739301E-12</v>
      </c>
    </row>
    <row r="766" spans="1:22" x14ac:dyDescent="0.25">
      <c r="A766" t="s">
        <v>912</v>
      </c>
      <c r="B766" s="56">
        <v>12253.38</v>
      </c>
      <c r="E766" s="56">
        <v>15.52</v>
      </c>
      <c r="F766" s="98">
        <v>151390.89000000001</v>
      </c>
      <c r="G766" s="98">
        <v>-874.99</v>
      </c>
      <c r="H766" s="98">
        <v>-1073.24</v>
      </c>
      <c r="J766" s="3"/>
      <c r="L766" s="56">
        <v>-0.9500000000170985</v>
      </c>
      <c r="N766" s="56">
        <v>171382.74</v>
      </c>
      <c r="O766" s="3">
        <f t="shared" si="23"/>
        <v>0</v>
      </c>
      <c r="P766" s="56">
        <v>-984.36</v>
      </c>
      <c r="S766" s="56">
        <v>-984.36</v>
      </c>
      <c r="T766" s="1">
        <f t="shared" si="21"/>
        <v>0</v>
      </c>
      <c r="U766" s="56">
        <v>170398.38</v>
      </c>
      <c r="V766" s="1">
        <f>U766-P766-N766-Q766-R766+N766-I767-G767-F767-D766-E766-B766-K767-M766-H767-C766-L766-J766</f>
        <v>3.4674485505092889E-12</v>
      </c>
    </row>
    <row r="767" spans="1:22" x14ac:dyDescent="0.25">
      <c r="A767" t="s">
        <v>913</v>
      </c>
      <c r="B767" s="37">
        <v>11691.41</v>
      </c>
      <c r="E767" s="37">
        <v>505.94</v>
      </c>
      <c r="F767" s="56">
        <v>160830.39000000001</v>
      </c>
      <c r="G767" s="56">
        <v>-1456.4699999999998</v>
      </c>
      <c r="H767" s="56">
        <v>-283.33999999999997</v>
      </c>
      <c r="I767" s="56">
        <v>24.21</v>
      </c>
      <c r="J767" s="3"/>
      <c r="L767" s="37">
        <v>-0.66</v>
      </c>
      <c r="O767" s="3">
        <f t="shared" si="23"/>
        <v>-131751.1</v>
      </c>
      <c r="P767" s="37">
        <v>-407.78</v>
      </c>
      <c r="Q767" s="37">
        <v>-121.17</v>
      </c>
      <c r="T767" s="1">
        <f t="shared" si="21"/>
        <v>528.94999999999993</v>
      </c>
    </row>
    <row r="768" spans="1:22" x14ac:dyDescent="0.25">
      <c r="A768" t="s">
        <v>914</v>
      </c>
      <c r="B768" s="37">
        <v>11980.36</v>
      </c>
      <c r="E768" s="37">
        <v>9.1</v>
      </c>
      <c r="F768" s="37">
        <v>120088.58</v>
      </c>
      <c r="G768" s="37">
        <v>-499.34999999999997</v>
      </c>
      <c r="H768" s="37">
        <v>-34.82</v>
      </c>
      <c r="J768" s="3"/>
      <c r="M768" s="37">
        <v>31120.13</v>
      </c>
      <c r="O768" s="3">
        <f t="shared" si="23"/>
        <v>-43109.590000000004</v>
      </c>
      <c r="P768" s="37">
        <v>-764.24</v>
      </c>
      <c r="Q768" s="37">
        <v>-248.74</v>
      </c>
      <c r="R768" s="37">
        <v>2308.3000000000002</v>
      </c>
      <c r="T768" s="1">
        <f t="shared" si="21"/>
        <v>-1295.3200000000004</v>
      </c>
    </row>
    <row r="769" spans="1:22" x14ac:dyDescent="0.25">
      <c r="A769" t="s">
        <v>915</v>
      </c>
      <c r="B769" s="37">
        <v>12401.49</v>
      </c>
      <c r="E769" s="37">
        <v>52.47</v>
      </c>
      <c r="J769" s="3"/>
      <c r="L769" s="37">
        <v>-0.2</v>
      </c>
      <c r="O769" s="3">
        <f t="shared" si="23"/>
        <v>-117076.77000000002</v>
      </c>
      <c r="P769" s="37">
        <v>-992.55</v>
      </c>
      <c r="Q769" s="37">
        <v>-624.58000000000004</v>
      </c>
      <c r="T769" s="1">
        <f t="shared" si="21"/>
        <v>1617.13</v>
      </c>
    </row>
    <row r="770" spans="1:22" x14ac:dyDescent="0.25">
      <c r="A770" t="s">
        <v>916</v>
      </c>
      <c r="B770" s="37">
        <v>10983.13</v>
      </c>
      <c r="E770" s="37">
        <v>2.79</v>
      </c>
      <c r="F770" s="37">
        <v>105480.16</v>
      </c>
      <c r="G770" s="37">
        <v>-909</v>
      </c>
      <c r="I770" s="37">
        <v>51.85</v>
      </c>
      <c r="J770" s="3"/>
      <c r="N770" s="37">
        <v>363255.26</v>
      </c>
      <c r="O770" s="3">
        <f t="shared" si="23"/>
        <v>291937.46000000002</v>
      </c>
      <c r="Q770" s="37">
        <v>-124.94</v>
      </c>
      <c r="S770" s="37">
        <v>-975.7</v>
      </c>
      <c r="T770" s="1">
        <f t="shared" si="21"/>
        <v>-850.76</v>
      </c>
      <c r="U770" s="37">
        <v>362279.56</v>
      </c>
    </row>
    <row r="771" spans="1:22" x14ac:dyDescent="0.25">
      <c r="A771" t="s">
        <v>917</v>
      </c>
      <c r="B771" s="90">
        <v>9162.7300000000014</v>
      </c>
      <c r="E771" s="90">
        <v>677.64</v>
      </c>
      <c r="F771" s="37">
        <v>61555.39</v>
      </c>
      <c r="G771" s="37">
        <v>-1223.5100000000002</v>
      </c>
      <c r="J771" s="3"/>
      <c r="N771" s="90">
        <v>71415.33</v>
      </c>
      <c r="O771" s="3">
        <f t="shared" si="23"/>
        <v>1.8189894035458565E-12</v>
      </c>
      <c r="P771" s="90">
        <v>-1438.63</v>
      </c>
      <c r="Q771" s="90">
        <v>-124.92</v>
      </c>
      <c r="S771" s="90">
        <v>-1563.55</v>
      </c>
      <c r="T771" s="1">
        <f t="shared" si="21"/>
        <v>0</v>
      </c>
      <c r="U771" s="90">
        <v>69851.78</v>
      </c>
      <c r="V771" s="1">
        <f>U771-P771-N771-Q771-R771+N771-I772-G772-F772-D771-E771-B771-K772-M771-H772-C771-L771-J771</f>
        <v>2.3874235921539366E-12</v>
      </c>
    </row>
    <row r="772" spans="1:22" x14ac:dyDescent="0.25">
      <c r="A772" t="s">
        <v>918</v>
      </c>
      <c r="B772" s="60">
        <v>13201.43</v>
      </c>
      <c r="C772" s="60">
        <v>-89.35</v>
      </c>
      <c r="E772" s="60">
        <v>1636.19</v>
      </c>
      <c r="F772" s="90">
        <v>65380.35</v>
      </c>
      <c r="G772" s="90">
        <v>-2905.75</v>
      </c>
      <c r="H772" s="90">
        <v>-899.64</v>
      </c>
      <c r="J772" s="3"/>
      <c r="L772" s="60">
        <v>-0.04</v>
      </c>
      <c r="N772" s="60">
        <v>106780.78</v>
      </c>
      <c r="O772" s="3">
        <f t="shared" si="23"/>
        <v>-4.5110928881264556E-12</v>
      </c>
      <c r="P772" s="60">
        <v>-1263.76</v>
      </c>
      <c r="Q772" s="60">
        <f>-120.1 -318.09 -124.93</f>
        <v>-563.11999999999989</v>
      </c>
      <c r="S772" s="60">
        <v>-1826.88</v>
      </c>
      <c r="T772" s="1">
        <f t="shared" si="21"/>
        <v>0</v>
      </c>
      <c r="U772" s="60">
        <v>104953.9</v>
      </c>
      <c r="V772" s="1">
        <f>U772-P772-N772-Q772-R772+N772-I773-G773-F773-D772-E772-B772-K773-M772-H773-C772-L772-J772</f>
        <v>-1.7684555209118713E-11</v>
      </c>
    </row>
    <row r="773" spans="1:22" x14ac:dyDescent="0.25">
      <c r="A773" t="s">
        <v>919</v>
      </c>
      <c r="B773" s="32">
        <v>17809.77</v>
      </c>
      <c r="E773" s="32">
        <v>265.04999999999995</v>
      </c>
      <c r="F773" s="60">
        <v>93568.79</v>
      </c>
      <c r="G773" s="60">
        <v>-1479.1999999999998</v>
      </c>
      <c r="H773" s="60">
        <v>-85.17</v>
      </c>
      <c r="I773" s="60">
        <v>28.13</v>
      </c>
      <c r="J773" s="3"/>
      <c r="L773" s="32">
        <v>-0.05</v>
      </c>
      <c r="N773" s="32">
        <v>94883.16</v>
      </c>
      <c r="O773" s="3">
        <f t="shared" si="23"/>
        <v>4.3655773440676171E-12</v>
      </c>
      <c r="P773" s="32">
        <v>-608.01</v>
      </c>
      <c r="S773" s="32">
        <v>-608.01</v>
      </c>
      <c r="T773" s="1">
        <f t="shared" si="21"/>
        <v>0</v>
      </c>
      <c r="U773" s="32">
        <v>94275.15</v>
      </c>
      <c r="V773" s="1">
        <f>U773-P773-N773-Q773-R773+N773-I774-G774-F774-D773-E773-B773-K774-M773-H774-C773-L773-J773</f>
        <v>-1.0186337884299235E-11</v>
      </c>
    </row>
    <row r="774" spans="1:22" x14ac:dyDescent="0.25">
      <c r="A774" t="s">
        <v>920</v>
      </c>
      <c r="B774" s="99">
        <v>7012.96</v>
      </c>
      <c r="C774" s="99">
        <v>-81.77000000000001</v>
      </c>
      <c r="E774" s="99">
        <v>201.75</v>
      </c>
      <c r="F774" s="32">
        <v>78665.289999999994</v>
      </c>
      <c r="G774" s="32">
        <v>-1776.6499999999999</v>
      </c>
      <c r="H774" s="32">
        <v>-80.25</v>
      </c>
      <c r="J774" s="3"/>
      <c r="L774" s="99">
        <v>-0.03</v>
      </c>
      <c r="O774" s="3">
        <f t="shared" si="23"/>
        <v>-67792.97</v>
      </c>
      <c r="P774" s="99">
        <v>-1591.58</v>
      </c>
      <c r="Q774" s="99">
        <v>-123.84</v>
      </c>
      <c r="T774" s="1">
        <f t="shared" si="21"/>
        <v>1715.4199999999998</v>
      </c>
    </row>
    <row r="775" spans="1:22" x14ac:dyDescent="0.25">
      <c r="A775" t="s">
        <v>921</v>
      </c>
      <c r="B775" s="99">
        <v>7815.66</v>
      </c>
      <c r="E775" s="99">
        <v>200.11</v>
      </c>
      <c r="F775" s="99">
        <v>61160.7</v>
      </c>
      <c r="G775" s="99">
        <v>-468.68</v>
      </c>
      <c r="H775" s="99">
        <v>-31.959999999999997</v>
      </c>
      <c r="J775" s="3"/>
      <c r="M775" s="99">
        <v>20714.77</v>
      </c>
      <c r="O775" s="3">
        <f t="shared" si="23"/>
        <v>-28730.54</v>
      </c>
      <c r="P775" s="99">
        <v>-404.65</v>
      </c>
      <c r="Q775" s="99">
        <v>-123.87</v>
      </c>
      <c r="R775" s="99">
        <v>2044.8</v>
      </c>
      <c r="T775" s="1">
        <f t="shared" si="21"/>
        <v>-1516.2799999999997</v>
      </c>
    </row>
    <row r="776" spans="1:22" x14ac:dyDescent="0.25">
      <c r="A776" t="s">
        <v>922</v>
      </c>
      <c r="B776" s="99">
        <v>10213.74</v>
      </c>
      <c r="E776" s="99">
        <v>429.84</v>
      </c>
      <c r="J776" s="3"/>
      <c r="L776" s="99">
        <v>-0.06</v>
      </c>
      <c r="N776" s="99">
        <v>255082.54</v>
      </c>
      <c r="O776" s="3">
        <f t="shared" si="23"/>
        <v>96523.51</v>
      </c>
      <c r="Q776" s="99">
        <f>-124.98 -247.9</f>
        <v>-372.88</v>
      </c>
      <c r="S776" s="99">
        <v>-572.02</v>
      </c>
      <c r="T776" s="1">
        <f t="shared" si="21"/>
        <v>-199.14</v>
      </c>
      <c r="U776" s="99">
        <v>254510.52</v>
      </c>
      <c r="V776" s="3">
        <f>U776-P776-N776-Q776-R776+N776-I777-G777-F777-D776-E776-B776-M775-R775-R774-Q775-Q774-P774-P775-K776-K775-I775-G775-F775-E775-E774-B775-B774-M774-D774-D775-M776-H775-C774-H777-K777-C775-L774-L775-L776</f>
        <v>-3.3647612474041466E-11</v>
      </c>
    </row>
    <row r="777" spans="1:22" x14ac:dyDescent="0.25">
      <c r="A777" t="s">
        <v>923</v>
      </c>
      <c r="B777" s="62">
        <v>10401.450000000001</v>
      </c>
      <c r="C777" s="62">
        <v>-181.46</v>
      </c>
      <c r="F777" s="99">
        <v>149559.82</v>
      </c>
      <c r="G777" s="99">
        <v>-1659.1299999999999</v>
      </c>
      <c r="H777" s="99">
        <v>14.82</v>
      </c>
      <c r="J777" s="3"/>
      <c r="L777" s="62">
        <v>-0.21000000001731678</v>
      </c>
      <c r="N777" s="62">
        <v>85344.62</v>
      </c>
      <c r="O777" s="3">
        <f t="shared" si="23"/>
        <v>0</v>
      </c>
      <c r="P777" s="62">
        <v>-258.37</v>
      </c>
      <c r="Q777" s="62">
        <v>-120.15</v>
      </c>
      <c r="S777" s="62">
        <v>-378.52</v>
      </c>
      <c r="T777" s="1">
        <f t="shared" si="21"/>
        <v>0</v>
      </c>
      <c r="U777" s="62">
        <v>84966.1</v>
      </c>
      <c r="V777" s="1">
        <f>U777-P777-N777-Q777-R777+N777-I778-G778-F778-D777-E777-B777-K778-M777-H778-C777-L777-J777</f>
        <v>-3.780087354243733E-12</v>
      </c>
    </row>
    <row r="778" spans="1:22" x14ac:dyDescent="0.25">
      <c r="A778" t="s">
        <v>924</v>
      </c>
      <c r="B778" s="56">
        <v>10278.210000000001</v>
      </c>
      <c r="E778" s="56">
        <v>467.89</v>
      </c>
      <c r="F778" s="62">
        <v>76413.450000000012</v>
      </c>
      <c r="G778" s="62">
        <v>-1040.4199999999998</v>
      </c>
      <c r="H778" s="62">
        <v>-333.13</v>
      </c>
      <c r="I778" s="62">
        <v>84.94</v>
      </c>
      <c r="J778" s="3"/>
      <c r="L778" s="56">
        <v>-0.05</v>
      </c>
      <c r="N778" s="56">
        <v>104703.1</v>
      </c>
      <c r="O778" s="3">
        <f t="shared" si="23"/>
        <v>2.5465879405217606E-12</v>
      </c>
      <c r="P778" s="56">
        <v>-338.83</v>
      </c>
      <c r="Q778" s="56">
        <v>-244.8</v>
      </c>
      <c r="S778" s="56">
        <v>-583.63</v>
      </c>
      <c r="T778" s="1">
        <f t="shared" si="21"/>
        <v>0</v>
      </c>
      <c r="U778" s="56">
        <v>104119.47</v>
      </c>
      <c r="V778" s="1">
        <f>U778-P778-N778-Q778-R778+N778-I779-G779-F779-D778-E778-B778-K779-M778-H779-C778-L778-J778</f>
        <v>2.1600776722863202E-13</v>
      </c>
    </row>
    <row r="779" spans="1:22" x14ac:dyDescent="0.25">
      <c r="A779" t="s">
        <v>925</v>
      </c>
      <c r="B779" s="5">
        <v>8663.19</v>
      </c>
      <c r="E779" s="5">
        <v>93.76</v>
      </c>
      <c r="F779" s="56">
        <v>96793.39</v>
      </c>
      <c r="G779" s="56">
        <v>-2801.34</v>
      </c>
      <c r="H779" s="56">
        <v>-110.44</v>
      </c>
      <c r="I779" s="56">
        <v>75.44</v>
      </c>
      <c r="J779" s="3"/>
      <c r="L779" s="5">
        <v>-0.01</v>
      </c>
      <c r="N779" s="5">
        <v>102445.55</v>
      </c>
      <c r="O779" s="3">
        <f t="shared" si="23"/>
        <v>1.6007108832871708E-12</v>
      </c>
      <c r="P779" s="5">
        <v>-374.09</v>
      </c>
      <c r="S779" s="5">
        <v>-374.09</v>
      </c>
      <c r="T779" s="1">
        <f t="shared" si="21"/>
        <v>0</v>
      </c>
      <c r="U779" s="5">
        <v>102071.46</v>
      </c>
      <c r="V779" s="1">
        <f>U779-P779-N779-Q779-R779+N779-I780-G780-F780-D779-E779-B779-K780-M779-H780-C779-L779-J779</f>
        <v>5.6934370412653479E-12</v>
      </c>
    </row>
    <row r="780" spans="1:22" x14ac:dyDescent="0.25">
      <c r="A780" t="s">
        <v>926</v>
      </c>
      <c r="B780" s="57">
        <v>17127.93</v>
      </c>
      <c r="E780" s="57">
        <v>736.75</v>
      </c>
      <c r="F780" s="5">
        <v>94978.31</v>
      </c>
      <c r="G780" s="5">
        <v>-1280.96</v>
      </c>
      <c r="H780" s="5">
        <v>-408.48</v>
      </c>
      <c r="I780" s="5">
        <v>399.74</v>
      </c>
      <c r="J780" s="3"/>
      <c r="N780" s="57">
        <v>120864.57</v>
      </c>
      <c r="O780" s="3">
        <f t="shared" si="23"/>
        <v>7.2759576141834259E-12</v>
      </c>
      <c r="P780" s="57">
        <v>-456</v>
      </c>
      <c r="Q780" s="57">
        <v>-124.74</v>
      </c>
      <c r="S780" s="57">
        <v>-580.74</v>
      </c>
      <c r="T780" s="1">
        <f t="shared" si="21"/>
        <v>0</v>
      </c>
      <c r="U780" s="57">
        <v>120283.83</v>
      </c>
      <c r="V780" s="1">
        <f>U780-P780-N780-Q780-R780+N780-I781-G781-F781-D780-E780-B780-K781-M780-H781-C780-L780-J780</f>
        <v>7.8568263006673078E-12</v>
      </c>
    </row>
    <row r="781" spans="1:22" x14ac:dyDescent="0.25">
      <c r="A781" t="s">
        <v>927</v>
      </c>
      <c r="B781" s="35">
        <v>10563.66</v>
      </c>
      <c r="C781" s="35">
        <v>-90.48</v>
      </c>
      <c r="E781" s="35">
        <v>107.25</v>
      </c>
      <c r="F781" s="57">
        <v>104104.93</v>
      </c>
      <c r="G781" s="57">
        <v>-1308.6200000000001</v>
      </c>
      <c r="H781" s="57">
        <v>-13.139999999999999</v>
      </c>
      <c r="I781" s="57">
        <v>216.72</v>
      </c>
      <c r="J781" s="3"/>
      <c r="L781" s="35">
        <v>-0.01</v>
      </c>
      <c r="O781" s="3">
        <f t="shared" si="23"/>
        <v>-131781.22</v>
      </c>
      <c r="P781" s="35">
        <v>-886.83</v>
      </c>
      <c r="Q781" s="35">
        <v>-371.06</v>
      </c>
      <c r="T781" s="1">
        <f t="shared" si="21"/>
        <v>1257.8900000000001</v>
      </c>
    </row>
    <row r="782" spans="1:22" x14ac:dyDescent="0.25">
      <c r="A782" t="s">
        <v>928</v>
      </c>
      <c r="B782" s="35">
        <v>12001.349999999999</v>
      </c>
      <c r="E782" s="35">
        <v>196.94</v>
      </c>
      <c r="F782" s="35">
        <v>121392.44</v>
      </c>
      <c r="G782" s="35">
        <v>-264.74</v>
      </c>
      <c r="H782" s="35">
        <v>-61.7</v>
      </c>
      <c r="I782" s="35">
        <v>134.80000000000001</v>
      </c>
      <c r="J782" s="3"/>
      <c r="M782" s="35">
        <v>22586.27</v>
      </c>
      <c r="O782" s="3">
        <f t="shared" si="23"/>
        <v>-34784.559999999998</v>
      </c>
      <c r="Q782" s="35">
        <v>-243.33</v>
      </c>
      <c r="R782" s="35">
        <v>1188.45</v>
      </c>
      <c r="T782" s="1">
        <f t="shared" si="21"/>
        <v>-945.12</v>
      </c>
    </row>
    <row r="783" spans="1:22" x14ac:dyDescent="0.25">
      <c r="A783" t="s">
        <v>929</v>
      </c>
      <c r="B783" s="35">
        <v>7449.39</v>
      </c>
      <c r="E783" s="35">
        <v>26.8</v>
      </c>
      <c r="J783" s="3"/>
      <c r="N783" s="35">
        <v>363033.8</v>
      </c>
      <c r="O783" s="3">
        <f t="shared" si="23"/>
        <v>166565.77999999997</v>
      </c>
      <c r="P783" s="35">
        <v>-907.88</v>
      </c>
      <c r="Q783" s="35">
        <v>-244.28</v>
      </c>
      <c r="S783" s="35">
        <v>-1464.93</v>
      </c>
      <c r="T783" s="1">
        <f t="shared" si="21"/>
        <v>-312.7700000000001</v>
      </c>
      <c r="U783" s="35">
        <v>361568.87</v>
      </c>
      <c r="V783" s="3">
        <f>U783-P783-N783-Q783-R783+N783-I784-G784-F784-D783-E783-B783-M782-R782-R781-Q782-Q781-P781-P782-K783-K782-I782-G782-F782-E782-E781-B782-B781-M781-D781-D782-M783-H782-C781-H784-K784-C782-L781-L782-L783</f>
        <v>-1.6873400246475434E-11</v>
      </c>
    </row>
    <row r="784" spans="1:22" x14ac:dyDescent="0.25">
      <c r="A784" t="s">
        <v>930</v>
      </c>
      <c r="B784" s="2">
        <v>10062.41</v>
      </c>
      <c r="E784" s="2">
        <v>7.93</v>
      </c>
      <c r="F784" s="35">
        <v>191019.57</v>
      </c>
      <c r="G784" s="35">
        <v>-2095.02</v>
      </c>
      <c r="I784" s="35">
        <v>67.28</v>
      </c>
      <c r="J784" s="3"/>
      <c r="L784" s="2">
        <v>-0.22</v>
      </c>
      <c r="N784" s="2">
        <v>103179.82</v>
      </c>
      <c r="O784" s="3">
        <f t="shared" si="23"/>
        <v>9.7497843132288153E-12</v>
      </c>
      <c r="P784" s="2">
        <v>-521.94000000000005</v>
      </c>
      <c r="Q784" s="2">
        <v>-370.44</v>
      </c>
      <c r="S784" s="2">
        <v>-892.38</v>
      </c>
      <c r="T784" s="1">
        <f t="shared" si="21"/>
        <v>0</v>
      </c>
      <c r="U784" s="2">
        <v>102287.44</v>
      </c>
      <c r="V784" s="1">
        <f>U784-P784-N784-Q784-R784+N784-I785-G785-F785-D784-E784-B784-K785-M784-H785-C784-L784-J784</f>
        <v>1.091507439987538E-11</v>
      </c>
    </row>
    <row r="785" spans="1:22" x14ac:dyDescent="0.25">
      <c r="A785" t="s">
        <v>931</v>
      </c>
      <c r="B785" s="34">
        <v>5717.18</v>
      </c>
      <c r="C785" s="34">
        <v>-92.699999999999989</v>
      </c>
      <c r="E785" s="34">
        <v>74.239999999999995</v>
      </c>
      <c r="F785" s="2">
        <v>94035.09</v>
      </c>
      <c r="G785" s="2">
        <v>-809.16</v>
      </c>
      <c r="H785" s="2">
        <v>-182.03</v>
      </c>
      <c r="I785" s="2">
        <v>65.8</v>
      </c>
      <c r="J785" s="3"/>
      <c r="L785" s="34">
        <v>-0.01</v>
      </c>
      <c r="N785" s="34">
        <v>127753.22</v>
      </c>
      <c r="O785" s="3">
        <f t="shared" si="23"/>
        <v>2.0700099620518664E-11</v>
      </c>
      <c r="P785" s="34">
        <v>-361.29</v>
      </c>
      <c r="Q785" s="34">
        <v>-245.51</v>
      </c>
      <c r="S785" s="34">
        <v>-606.79999999999995</v>
      </c>
      <c r="T785" s="1">
        <f t="shared" si="21"/>
        <v>0</v>
      </c>
      <c r="U785" s="34">
        <v>127146.42</v>
      </c>
      <c r="V785" s="1">
        <f>U785-P785-N785-Q785-R785+N785-I786-G786-F786-D785-E785-B785-K786-M785-H786-C785-L785-J785</f>
        <v>5.0647507021661653E-13</v>
      </c>
    </row>
    <row r="786" spans="1:22" x14ac:dyDescent="0.25">
      <c r="A786" t="s">
        <v>932</v>
      </c>
      <c r="B786" s="13">
        <v>8943.9</v>
      </c>
      <c r="E786" s="13">
        <v>99.2</v>
      </c>
      <c r="F786" s="34">
        <v>123039.26</v>
      </c>
      <c r="G786" s="34">
        <v>-881.74</v>
      </c>
      <c r="H786" s="34">
        <v>-125.10000000000001</v>
      </c>
      <c r="I786" s="34">
        <v>22.09</v>
      </c>
      <c r="J786" s="3"/>
      <c r="L786" s="13">
        <v>-0.04</v>
      </c>
      <c r="N786" s="13">
        <v>116395.88</v>
      </c>
      <c r="O786" s="3">
        <f t="shared" si="23"/>
        <v>1.1859811743786253E-11</v>
      </c>
      <c r="P786" s="13">
        <v>-439.79</v>
      </c>
      <c r="S786" s="13">
        <v>-439.79</v>
      </c>
      <c r="T786" s="1">
        <f t="shared" si="21"/>
        <v>0</v>
      </c>
      <c r="U786" s="13">
        <v>115956.09</v>
      </c>
      <c r="V786" s="1">
        <f>U786-P786-N786-Q786-R786+N786-I787-G787-F787-D786-E786-B786-K787-M786-H787-C786-L786-J786</f>
        <v>-4.4542494692656476E-12</v>
      </c>
    </row>
    <row r="787" spans="1:22" x14ac:dyDescent="0.25">
      <c r="A787" t="s">
        <v>933</v>
      </c>
      <c r="B787" s="110">
        <v>8399.59</v>
      </c>
      <c r="C787" s="110">
        <v>-97.149999999999991</v>
      </c>
      <c r="E787" s="110">
        <v>110.61000000000001</v>
      </c>
      <c r="F787" s="13">
        <v>108960.17</v>
      </c>
      <c r="G787" s="13">
        <v>-1398.52</v>
      </c>
      <c r="H787" s="13">
        <v>-208.82999999999998</v>
      </c>
      <c r="J787" s="3"/>
      <c r="L787" s="110">
        <v>-0.12</v>
      </c>
      <c r="N787" s="110">
        <v>87036.98</v>
      </c>
      <c r="O787" s="3">
        <f t="shared" si="23"/>
        <v>-8.0763173926357013E-12</v>
      </c>
      <c r="P787" s="110">
        <v>-101.49</v>
      </c>
      <c r="Q787" s="110">
        <v>-772.15</v>
      </c>
      <c r="S787" s="110">
        <v>-873.64</v>
      </c>
      <c r="T787" s="1">
        <f t="shared" si="21"/>
        <v>0</v>
      </c>
      <c r="U787" s="110">
        <v>86163.34</v>
      </c>
      <c r="V787" s="1">
        <f>U787-P787-N787-Q787-R787+N787-I788-G788-F788-D787-E787-B787-K788-M787-H788-C787-L787-J787</f>
        <v>-1.0875855771530496E-11</v>
      </c>
    </row>
    <row r="788" spans="1:22" x14ac:dyDescent="0.25">
      <c r="A788" t="s">
        <v>934</v>
      </c>
      <c r="B788" s="115">
        <v>6487.19</v>
      </c>
      <c r="D788" s="115">
        <v>92.71</v>
      </c>
      <c r="E788" s="115">
        <v>170.9</v>
      </c>
      <c r="F788" s="110">
        <v>79179.02</v>
      </c>
      <c r="G788" s="110">
        <v>-401.75</v>
      </c>
      <c r="H788" s="110">
        <v>-180.77</v>
      </c>
      <c r="I788" s="110">
        <v>27.55</v>
      </c>
      <c r="J788" s="3"/>
      <c r="O788" s="3">
        <f t="shared" si="23"/>
        <v>-79450.900000000009</v>
      </c>
      <c r="P788" s="115">
        <v>-988.75</v>
      </c>
      <c r="Q788" s="115">
        <v>-124.57</v>
      </c>
      <c r="T788" s="1">
        <f t="shared" si="21"/>
        <v>1113.32</v>
      </c>
    </row>
    <row r="789" spans="1:22" x14ac:dyDescent="0.25">
      <c r="A789" t="s">
        <v>935</v>
      </c>
      <c r="B789" s="115">
        <v>3621.6800000000003</v>
      </c>
      <c r="E789" s="115">
        <v>178.93</v>
      </c>
      <c r="F789" s="115">
        <v>73753.02</v>
      </c>
      <c r="G789" s="115">
        <v>-582.42999999999995</v>
      </c>
      <c r="H789" s="115">
        <v>-508.46999999999997</v>
      </c>
      <c r="I789" s="115">
        <v>37.979999999999997</v>
      </c>
      <c r="J789" s="3"/>
      <c r="M789" s="115">
        <v>38441.390000000007</v>
      </c>
      <c r="O789" s="3">
        <f t="shared" ref="O789:O820" si="24">N789-K790-I790-H790-G790-F790-E789-D789-C789-B789-M789-L789-J789</f>
        <v>-42242.000000000007</v>
      </c>
      <c r="P789" s="115">
        <v>-947.23</v>
      </c>
      <c r="Q789" s="115">
        <v>-244.13</v>
      </c>
      <c r="R789" s="115">
        <v>16659.04</v>
      </c>
      <c r="T789" s="1">
        <f t="shared" si="21"/>
        <v>-15467.68</v>
      </c>
    </row>
    <row r="790" spans="1:22" x14ac:dyDescent="0.25">
      <c r="A790" t="s">
        <v>936</v>
      </c>
      <c r="B790" s="115">
        <v>3194.69</v>
      </c>
      <c r="E790" s="115">
        <v>373.44</v>
      </c>
      <c r="J790" s="3"/>
      <c r="N790" s="115">
        <v>195854.54</v>
      </c>
      <c r="O790" s="3">
        <f t="shared" si="24"/>
        <v>121692.90000000001</v>
      </c>
      <c r="P790" s="115">
        <v>-492.18</v>
      </c>
      <c r="Q790" s="115">
        <v>-602.37</v>
      </c>
      <c r="S790" s="115">
        <v>13259.81</v>
      </c>
      <c r="T790" s="1">
        <f t="shared" si="21"/>
        <v>14354.36</v>
      </c>
      <c r="U790" s="115">
        <v>209114.35</v>
      </c>
      <c r="V790" s="3">
        <f>U790-P790-N790-Q790-R790+N790-I791-G791-F791-D790-E790-B790-M789-R789-R788-Q789-Q788-P788-P789-K790-K789-I789-G789-F789-E789-E788-B789-B788-M788-D788-D789-M790-H789-C788-H791-K791-C789-L788-L789-L790</f>
        <v>-1.2050804798491299E-11</v>
      </c>
    </row>
    <row r="791" spans="1:22" x14ac:dyDescent="0.25">
      <c r="A791" t="s">
        <v>937</v>
      </c>
      <c r="B791" s="38">
        <v>10504.49</v>
      </c>
      <c r="E791" s="38">
        <v>73.58</v>
      </c>
      <c r="F791" s="115">
        <v>71438.73</v>
      </c>
      <c r="G791" s="115">
        <v>-864.42</v>
      </c>
      <c r="I791" s="115">
        <v>19.200000000000003</v>
      </c>
      <c r="J791" s="3"/>
      <c r="L791" s="38">
        <v>-0.15</v>
      </c>
      <c r="N791" s="38">
        <v>62126.44</v>
      </c>
      <c r="O791" s="3">
        <f t="shared" si="24"/>
        <v>-1.4551970739518083E-12</v>
      </c>
      <c r="P791" s="38">
        <v>-176.74</v>
      </c>
      <c r="Q791" s="38">
        <v>-123.46</v>
      </c>
      <c r="S791" s="38">
        <v>-300.2</v>
      </c>
      <c r="T791" s="1">
        <f t="shared" si="21"/>
        <v>0</v>
      </c>
      <c r="U791" s="38">
        <v>61826.239999999998</v>
      </c>
      <c r="V791" s="1">
        <f>U791-P791-N791-Q791-R791+N791-I792-G792-F792-D791-E791-B791-K792-M791-H792-C791-L791-J791</f>
        <v>-7.2816475071846298E-12</v>
      </c>
    </row>
    <row r="792" spans="1:22" x14ac:dyDescent="0.25">
      <c r="A792" t="s">
        <v>938</v>
      </c>
      <c r="B792" s="37">
        <v>11743.279999999999</v>
      </c>
      <c r="E792" s="37">
        <v>105.44</v>
      </c>
      <c r="F792" s="38">
        <v>56864.880000000005</v>
      </c>
      <c r="G792" s="38">
        <v>-5588.73</v>
      </c>
      <c r="H792" s="38">
        <v>-143.35</v>
      </c>
      <c r="I792" s="38">
        <v>415.71999999999997</v>
      </c>
      <c r="J792" s="3"/>
      <c r="N792" s="37">
        <v>61062.99</v>
      </c>
      <c r="O792" s="3">
        <f t="shared" si="24"/>
        <v>9.0949470177292824E-12</v>
      </c>
      <c r="P792" s="37">
        <v>-575.46</v>
      </c>
      <c r="Q792" s="37">
        <v>-239.24</v>
      </c>
      <c r="S792" s="37">
        <v>-814.7</v>
      </c>
      <c r="T792" s="1">
        <f t="shared" ref="T792:T855" si="25">S792-R792-Q792-P792</f>
        <v>0</v>
      </c>
      <c r="U792" s="37">
        <v>60248.29</v>
      </c>
      <c r="V792" s="1">
        <f>U792-P792-N792-Q792-R792+N792-I793-G793-F793-D792-E792-B792-K793-M792-H793-C792-L792-J792</f>
        <v>5.893507903920181E-12</v>
      </c>
    </row>
    <row r="793" spans="1:22" x14ac:dyDescent="0.25">
      <c r="A793" t="s">
        <v>939</v>
      </c>
      <c r="B793" s="35">
        <v>9751.39</v>
      </c>
      <c r="E793" s="35">
        <v>1107.3300000000002</v>
      </c>
      <c r="F793" s="37">
        <v>50287.079999999994</v>
      </c>
      <c r="G793" s="37">
        <v>-1272.6799999999998</v>
      </c>
      <c r="H793" s="37">
        <v>-0.73</v>
      </c>
      <c r="I793" s="37">
        <v>200.6</v>
      </c>
      <c r="J793" s="3"/>
      <c r="L793" s="35">
        <v>-0.1</v>
      </c>
      <c r="N793" s="35">
        <v>77894.95</v>
      </c>
      <c r="O793" s="3">
        <f t="shared" si="24"/>
        <v>1.0550144091681091E-11</v>
      </c>
      <c r="P793" s="35">
        <v>-554.57000000000005</v>
      </c>
      <c r="S793" s="35">
        <v>-554.57000000000005</v>
      </c>
      <c r="T793" s="1">
        <f t="shared" si="25"/>
        <v>0</v>
      </c>
      <c r="U793" s="35">
        <v>77340.38</v>
      </c>
      <c r="V793" s="1">
        <f>U793-P793-N793-Q793-R793+N793-I794-G794-F794-D793-E793-B793-K794-M793-H794-C793-L793-J793</f>
        <v>2.8590824152630034E-11</v>
      </c>
    </row>
    <row r="794" spans="1:22" x14ac:dyDescent="0.25">
      <c r="A794" t="s">
        <v>940</v>
      </c>
      <c r="B794" s="35">
        <v>10760.79</v>
      </c>
      <c r="E794" s="35">
        <v>431.03</v>
      </c>
      <c r="F794" s="35">
        <v>68876.289999999994</v>
      </c>
      <c r="G794" s="35">
        <v>-1830.8799999999999</v>
      </c>
      <c r="H794" s="35">
        <v>-43.339999999999996</v>
      </c>
      <c r="I794" s="35">
        <v>34.26</v>
      </c>
      <c r="J794" s="3"/>
      <c r="L794" s="35">
        <v>-0.01</v>
      </c>
      <c r="N794" s="35">
        <v>69355.360000000001</v>
      </c>
      <c r="O794" s="3">
        <f t="shared" si="24"/>
        <v>-3.8562573273503986E-12</v>
      </c>
      <c r="P794" s="35">
        <v>-434.9</v>
      </c>
      <c r="S794" s="35">
        <v>-434.9</v>
      </c>
      <c r="T794" s="1">
        <f t="shared" si="25"/>
        <v>0</v>
      </c>
      <c r="U794" s="35">
        <v>68920.460000000006</v>
      </c>
      <c r="V794" s="1">
        <f>U794-P794-N794-Q794-R794+N794-I795-G795-F795-D794-E794-B794-K795-M794-H795-C794-L794-J794</f>
        <v>-3.8562573273503986E-12</v>
      </c>
    </row>
    <row r="795" spans="1:22" x14ac:dyDescent="0.25">
      <c r="A795" t="s">
        <v>941</v>
      </c>
      <c r="B795" s="5">
        <v>32463.119999999999</v>
      </c>
      <c r="C795" s="5">
        <v>-98.68</v>
      </c>
      <c r="E795" s="5">
        <v>391.30999999999995</v>
      </c>
      <c r="F795" s="35">
        <v>58705.69</v>
      </c>
      <c r="G795" s="35">
        <v>-789.01</v>
      </c>
      <c r="I795" s="35">
        <v>246.87</v>
      </c>
      <c r="J795" s="3"/>
      <c r="L795" s="5">
        <v>-0.35</v>
      </c>
      <c r="M795" s="5">
        <v>15236.03</v>
      </c>
      <c r="O795" s="3">
        <f t="shared" si="24"/>
        <v>-101655.84999999999</v>
      </c>
      <c r="P795" s="5">
        <v>-956.48</v>
      </c>
      <c r="Q795" s="5">
        <v>-494.55</v>
      </c>
      <c r="R795" s="5">
        <v>877.48</v>
      </c>
      <c r="T795" s="1">
        <f t="shared" si="25"/>
        <v>573.54999999999995</v>
      </c>
    </row>
    <row r="796" spans="1:22" x14ac:dyDescent="0.25">
      <c r="A796" t="s">
        <v>942</v>
      </c>
      <c r="B796" s="5">
        <v>11362.130000000001</v>
      </c>
      <c r="E796" s="5">
        <v>461.60999999999996</v>
      </c>
      <c r="F796" s="5">
        <v>56768.65</v>
      </c>
      <c r="G796" s="5">
        <v>-3765.62</v>
      </c>
      <c r="H796" s="5">
        <v>-19.61</v>
      </c>
      <c r="I796" s="5">
        <v>681</v>
      </c>
      <c r="J796" s="3"/>
      <c r="M796" s="5">
        <v>23235.42</v>
      </c>
      <c r="O796" s="3">
        <f t="shared" si="24"/>
        <v>-35059.160000000003</v>
      </c>
      <c r="P796" s="5">
        <v>-479.83</v>
      </c>
      <c r="Q796" s="5">
        <v>-120.68</v>
      </c>
      <c r="T796" s="1">
        <f t="shared" si="25"/>
        <v>600.51</v>
      </c>
    </row>
    <row r="797" spans="1:22" x14ac:dyDescent="0.25">
      <c r="A797" t="s">
        <v>943</v>
      </c>
      <c r="B797" s="5">
        <v>14574.06</v>
      </c>
      <c r="E797" s="5">
        <v>41.400000000000006</v>
      </c>
      <c r="J797" s="3"/>
      <c r="L797" s="5">
        <v>-0.11</v>
      </c>
      <c r="N797" s="5">
        <v>214794.54</v>
      </c>
      <c r="O797" s="3">
        <f t="shared" si="24"/>
        <v>136715.01</v>
      </c>
      <c r="P797" s="5">
        <v>-239.17</v>
      </c>
      <c r="Q797" s="5">
        <v>-35.6</v>
      </c>
      <c r="R797" s="5">
        <v>2179.92</v>
      </c>
      <c r="S797" s="5">
        <v>731.09</v>
      </c>
      <c r="T797" s="1">
        <f t="shared" si="25"/>
        <v>-1174.06</v>
      </c>
      <c r="U797" s="5">
        <v>215525.63</v>
      </c>
      <c r="V797" s="3">
        <f>U797-P797-N797-Q797-R797+N797-I798-G798-F798-D797-E797-B797-M796-R796-R795-Q796-Q795-P795-P796-K797-K796-I796-G796-F796-E796-E795-B796-B795-M795-D795-D796-M797-H796-C795-H798-K798-C796-L795-L796-L797</f>
        <v>2.5981897189275571E-11</v>
      </c>
    </row>
    <row r="798" spans="1:22" x14ac:dyDescent="0.25">
      <c r="A798" t="s">
        <v>944</v>
      </c>
      <c r="B798" s="13">
        <v>13301.5</v>
      </c>
      <c r="E798" s="13">
        <v>98.03</v>
      </c>
      <c r="F798" s="5">
        <v>64542.52</v>
      </c>
      <c r="G798" s="5">
        <v>-1425.6</v>
      </c>
      <c r="H798" s="5">
        <v>-9.81</v>
      </c>
      <c r="I798" s="5">
        <v>357.07</v>
      </c>
      <c r="J798" s="3"/>
      <c r="L798" s="13">
        <v>-0.15</v>
      </c>
      <c r="N798" s="13">
        <v>62056.2</v>
      </c>
      <c r="O798" s="3">
        <f t="shared" si="24"/>
        <v>-1.0550144091681091E-11</v>
      </c>
      <c r="P798" s="13">
        <v>-617.5</v>
      </c>
      <c r="Q798" s="13">
        <f>-124.39 -124.44</f>
        <v>-248.82999999999998</v>
      </c>
      <c r="S798" s="13">
        <v>-866.33</v>
      </c>
      <c r="T798" s="1">
        <f t="shared" si="25"/>
        <v>0</v>
      </c>
      <c r="U798" s="13">
        <v>61189.87</v>
      </c>
      <c r="V798" s="1">
        <f>U798-P798-N798-Q798-R798+N798-I799-G799-F799-D798-E798-B798-K799-M798-H799-C798-L798-J798</f>
        <v>-6.2533311862011942E-14</v>
      </c>
    </row>
    <row r="799" spans="1:22" x14ac:dyDescent="0.25">
      <c r="A799" t="s">
        <v>945</v>
      </c>
      <c r="B799" s="82">
        <v>16523.810000000001</v>
      </c>
      <c r="E799" s="82">
        <v>295.62</v>
      </c>
      <c r="F799" s="13">
        <v>50019.76</v>
      </c>
      <c r="G799" s="13">
        <v>-1687.29</v>
      </c>
      <c r="H799" s="13">
        <v>-78.77000000000001</v>
      </c>
      <c r="I799" s="13">
        <v>403.12</v>
      </c>
      <c r="J799" s="3"/>
      <c r="L799" s="82">
        <v>-0.04</v>
      </c>
      <c r="N799" s="82">
        <v>79446.460000000006</v>
      </c>
      <c r="O799" s="3">
        <f t="shared" si="24"/>
        <v>6.4028435331486833E-12</v>
      </c>
      <c r="P799" s="82">
        <v>-151.79</v>
      </c>
      <c r="Q799" s="82">
        <v>-123.3</v>
      </c>
      <c r="S799" s="82">
        <v>-275.08999999999997</v>
      </c>
      <c r="T799" s="1">
        <f t="shared" si="25"/>
        <v>0</v>
      </c>
      <c r="U799" s="82">
        <v>79171.37</v>
      </c>
      <c r="V799" s="1">
        <f>U799-P799-N799-Q799-R799+N799-I800-G800-F800-D799-E799-B799-K800-M799-H800-C799-L799-J799</f>
        <v>-1.0479651868511297E-11</v>
      </c>
    </row>
    <row r="800" spans="1:22" x14ac:dyDescent="0.25">
      <c r="A800" t="s">
        <v>946</v>
      </c>
      <c r="B800" s="116">
        <v>15141.04</v>
      </c>
      <c r="E800" s="116">
        <v>292.29000000000002</v>
      </c>
      <c r="F800" s="82">
        <v>62974.65</v>
      </c>
      <c r="G800" s="82">
        <v>-386.89</v>
      </c>
      <c r="H800" s="82">
        <v>39.31</v>
      </c>
      <c r="J800" s="3"/>
      <c r="N800" s="116">
        <v>80743.62</v>
      </c>
      <c r="O800" s="3">
        <f t="shared" si="24"/>
        <v>1.4551915228366852E-11</v>
      </c>
      <c r="P800" s="116">
        <v>-74.2</v>
      </c>
      <c r="Q800" s="116">
        <f>-124.31 -119.5 -247.53</f>
        <v>-491.34000000000003</v>
      </c>
      <c r="S800" s="116">
        <v>-565.54</v>
      </c>
      <c r="T800" s="1">
        <f t="shared" si="25"/>
        <v>0</v>
      </c>
      <c r="U800" s="116">
        <v>80178.080000000002</v>
      </c>
      <c r="V800" s="1">
        <f>U800-P800-N800-Q800-R800+N800-I801-G801-F801-D800-E800-B800-K801-M800-H801-C800-L800-J800</f>
        <v>1.3372414287005085E-11</v>
      </c>
    </row>
    <row r="801" spans="1:22" x14ac:dyDescent="0.25">
      <c r="A801" t="s">
        <v>947</v>
      </c>
      <c r="B801" s="43">
        <v>11259.6</v>
      </c>
      <c r="F801" s="116">
        <v>66295.329999999987</v>
      </c>
      <c r="G801" s="116">
        <v>-1090.82</v>
      </c>
      <c r="H801" s="116">
        <v>-77.05</v>
      </c>
      <c r="J801" s="3"/>
      <c r="K801" s="116">
        <v>182.83</v>
      </c>
      <c r="L801" s="43">
        <v>-7.0000000000000007E-2</v>
      </c>
      <c r="N801" s="43">
        <v>78188</v>
      </c>
      <c r="O801" s="3">
        <f t="shared" si="24"/>
        <v>-1.5279444376403717E-12</v>
      </c>
      <c r="P801" s="43">
        <v>-1.5</v>
      </c>
      <c r="Q801" s="43">
        <f>-123.36 -6.88 -246.38</f>
        <v>-376.62</v>
      </c>
      <c r="S801" s="43">
        <v>-378.12</v>
      </c>
      <c r="T801" s="1">
        <f t="shared" si="25"/>
        <v>0</v>
      </c>
      <c r="U801" s="43">
        <v>77809.88</v>
      </c>
      <c r="V801" s="1">
        <f>U801-P801-N801-Q801-R801+N801-I802-G802-F802-D801-E801-B801-K802-M801-H802-C801-L801-J801</f>
        <v>-3.2616687128950161E-12</v>
      </c>
    </row>
    <row r="802" spans="1:22" x14ac:dyDescent="0.25">
      <c r="A802" t="s">
        <v>948</v>
      </c>
      <c r="B802" s="48">
        <v>19081.64</v>
      </c>
      <c r="E802" s="48">
        <v>355.94</v>
      </c>
      <c r="F802" s="43">
        <v>73877.820000000007</v>
      </c>
      <c r="G802" s="43">
        <v>-6804.16</v>
      </c>
      <c r="I802" s="43">
        <v>37.64</v>
      </c>
      <c r="J802" s="3"/>
      <c r="K802" s="43">
        <v>-182.83</v>
      </c>
      <c r="O802" s="3">
        <f t="shared" si="24"/>
        <v>-86821.83</v>
      </c>
      <c r="P802" s="48">
        <v>-541.48</v>
      </c>
      <c r="Q802" s="48">
        <v>-123.54</v>
      </c>
      <c r="T802" s="1">
        <f t="shared" si="25"/>
        <v>665.02</v>
      </c>
    </row>
    <row r="803" spans="1:22" x14ac:dyDescent="0.25">
      <c r="A803" t="s">
        <v>949</v>
      </c>
      <c r="B803" s="48">
        <v>17863.57</v>
      </c>
      <c r="E803" s="48">
        <v>90.65</v>
      </c>
      <c r="F803" s="48">
        <v>70934.77</v>
      </c>
      <c r="G803" s="48">
        <v>-3378.0099999999998</v>
      </c>
      <c r="H803" s="48">
        <v>-180.37</v>
      </c>
      <c r="I803" s="48">
        <v>7.86</v>
      </c>
      <c r="J803" s="3"/>
      <c r="L803" s="48">
        <v>-0.03</v>
      </c>
      <c r="O803" s="3">
        <f t="shared" si="24"/>
        <v>-17954.190000000002</v>
      </c>
      <c r="P803" s="48">
        <v>-200.68</v>
      </c>
      <c r="Q803" s="48">
        <v>-248.98</v>
      </c>
      <c r="R803" s="48">
        <v>1980.14</v>
      </c>
      <c r="T803" s="1">
        <f t="shared" si="25"/>
        <v>-1530.48</v>
      </c>
    </row>
    <row r="804" spans="1:22" x14ac:dyDescent="0.25">
      <c r="A804" t="s">
        <v>950</v>
      </c>
      <c r="B804" s="48">
        <v>16196.72</v>
      </c>
      <c r="J804" s="3"/>
      <c r="L804" s="48">
        <v>-0.13</v>
      </c>
      <c r="M804" s="48">
        <v>25522.59</v>
      </c>
      <c r="O804" s="3">
        <f t="shared" si="24"/>
        <v>-112598.48</v>
      </c>
      <c r="P804" s="48">
        <v>-49.36</v>
      </c>
      <c r="Q804" s="48">
        <f>-1109.2-616.85-123.56-123.37-123.37-137.81</f>
        <v>-2234.16</v>
      </c>
      <c r="T804" s="1">
        <f t="shared" si="25"/>
        <v>2283.52</v>
      </c>
    </row>
    <row r="805" spans="1:22" x14ac:dyDescent="0.25">
      <c r="A805" t="s">
        <v>951</v>
      </c>
      <c r="B805" s="48">
        <v>8631.59</v>
      </c>
      <c r="C805" s="48">
        <v>-100.50999999999999</v>
      </c>
      <c r="E805" s="48">
        <v>18</v>
      </c>
      <c r="F805" s="48">
        <v>71628.290000000008</v>
      </c>
      <c r="G805" s="48">
        <v>-748.99</v>
      </c>
      <c r="J805" s="3"/>
      <c r="L805" s="48">
        <v>-0.16</v>
      </c>
      <c r="N805" s="48">
        <v>310777.90000000002</v>
      </c>
      <c r="O805" s="3">
        <f t="shared" si="24"/>
        <v>217374.50000000006</v>
      </c>
      <c r="P805" s="48">
        <v>-17.47</v>
      </c>
      <c r="Q805" s="48">
        <f>-124.51 -123.4 -124.51 -869.51 -369.59</f>
        <v>-1611.52</v>
      </c>
      <c r="R805" s="48">
        <v>3.43</v>
      </c>
      <c r="S805" s="48">
        <v>-3043.62</v>
      </c>
      <c r="T805" s="1">
        <f t="shared" si="25"/>
        <v>-1418.0599999999997</v>
      </c>
      <c r="U805" s="48">
        <v>307734.28000000003</v>
      </c>
    </row>
    <row r="806" spans="1:22" x14ac:dyDescent="0.25">
      <c r="A806" t="s">
        <v>952</v>
      </c>
      <c r="B806" s="39">
        <v>13607.26</v>
      </c>
      <c r="E806" s="39">
        <v>3.63</v>
      </c>
      <c r="F806" s="48">
        <v>86193.04</v>
      </c>
      <c r="G806" s="48">
        <v>-1003.98</v>
      </c>
      <c r="H806" s="48">
        <v>-335.31</v>
      </c>
      <c r="I806" s="48">
        <v>0.73</v>
      </c>
      <c r="J806" s="3"/>
      <c r="N806" s="39">
        <v>85040.22</v>
      </c>
      <c r="O806" s="3">
        <f t="shared" si="24"/>
        <v>0</v>
      </c>
      <c r="P806" s="39">
        <v>-270.8</v>
      </c>
      <c r="Q806" s="39">
        <f>-123.44 -123.28</f>
        <v>-246.72</v>
      </c>
      <c r="S806" s="39">
        <v>-517.52</v>
      </c>
      <c r="T806" s="1">
        <f t="shared" si="25"/>
        <v>0</v>
      </c>
      <c r="U806" s="39">
        <v>84522.7</v>
      </c>
      <c r="V806" s="1">
        <f>U806-P806-N806-Q806-R806+N806-I807-G807-F807-D806-E806-B806-K807-M806-H807-C806-L806-J806</f>
        <v>0</v>
      </c>
    </row>
    <row r="807" spans="1:22" x14ac:dyDescent="0.25">
      <c r="A807" t="s">
        <v>953</v>
      </c>
      <c r="B807" s="57">
        <v>9828.25</v>
      </c>
      <c r="E807" s="57">
        <v>5.2399999999999993</v>
      </c>
      <c r="F807" s="39">
        <v>72604.209999999992</v>
      </c>
      <c r="G807" s="39">
        <v>-1212.3700000000001</v>
      </c>
      <c r="H807" s="39">
        <v>-88.75</v>
      </c>
      <c r="I807" s="39">
        <v>126.24000000000001</v>
      </c>
      <c r="J807" s="3"/>
      <c r="L807" s="57">
        <v>-0.15</v>
      </c>
      <c r="N807" s="57">
        <v>61899.24</v>
      </c>
      <c r="O807" s="3">
        <f t="shared" si="24"/>
        <v>-3.2741864774976648E-12</v>
      </c>
      <c r="P807" s="57">
        <v>-592.71</v>
      </c>
      <c r="Q807" s="57">
        <f>-123.03 -495.75</f>
        <v>-618.78</v>
      </c>
      <c r="S807" s="57">
        <v>-1211.49</v>
      </c>
      <c r="T807" s="1">
        <f t="shared" si="25"/>
        <v>0</v>
      </c>
      <c r="U807" s="57">
        <v>60687.75</v>
      </c>
      <c r="V807" s="1">
        <f>U807-P807-N807-Q807-R807+N807-I808-G808-F808-D807-E807-B807-K808-M807-H808-C807-L807-J807</f>
        <v>-4.155259469840189E-12</v>
      </c>
    </row>
    <row r="808" spans="1:22" x14ac:dyDescent="0.25">
      <c r="A808" t="s">
        <v>954</v>
      </c>
      <c r="B808" s="62">
        <v>17663.599999999999</v>
      </c>
      <c r="C808" s="62">
        <v>-95.7</v>
      </c>
      <c r="E808" s="62">
        <v>5.24</v>
      </c>
      <c r="F808" s="57">
        <v>53451.33</v>
      </c>
      <c r="G808" s="57">
        <v>-1224.71</v>
      </c>
      <c r="H808" s="57">
        <v>-189.79</v>
      </c>
      <c r="I808" s="57">
        <v>29.07</v>
      </c>
      <c r="J808" s="3"/>
      <c r="L808" s="62">
        <v>-0.05</v>
      </c>
      <c r="N808" s="62">
        <v>86573.42</v>
      </c>
      <c r="O808" s="3">
        <f t="shared" si="24"/>
        <v>-2.9103802701158088E-12</v>
      </c>
      <c r="P808" s="62">
        <v>-24.9</v>
      </c>
      <c r="Q808" s="62">
        <f>-124.33 -371.74</f>
        <v>-496.07</v>
      </c>
      <c r="S808" s="62">
        <v>-520.97</v>
      </c>
      <c r="T808" s="1">
        <f t="shared" si="25"/>
        <v>-3.5527136788005009E-14</v>
      </c>
      <c r="U808" s="62">
        <v>86052.45</v>
      </c>
      <c r="V808" s="1">
        <f>U808-P808-N808-Q808-R808+N808-I809-G809-F809-D808-E808-B808-K809-M808-H809-C808-L808-J808</f>
        <v>-8.2962942071773682E-12</v>
      </c>
    </row>
    <row r="809" spans="1:22" x14ac:dyDescent="0.25">
      <c r="A809" t="s">
        <v>955</v>
      </c>
      <c r="B809" s="35">
        <v>11776.369999999999</v>
      </c>
      <c r="C809" s="35">
        <v>-96.2</v>
      </c>
      <c r="E809" s="35">
        <v>9.2899999999999991</v>
      </c>
      <c r="F809" s="62">
        <v>70907.290000000008</v>
      </c>
      <c r="G809" s="62">
        <v>-1877.58</v>
      </c>
      <c r="H809" s="62">
        <v>-29.380000000000003</v>
      </c>
      <c r="J809" s="3"/>
      <c r="L809" s="35">
        <v>-0.26</v>
      </c>
      <c r="O809" s="3">
        <f t="shared" si="24"/>
        <v>-62397.549999999996</v>
      </c>
      <c r="P809" s="35">
        <v>-197.29</v>
      </c>
      <c r="Q809" s="35">
        <v>-372.87</v>
      </c>
      <c r="T809" s="1">
        <f t="shared" si="25"/>
        <v>570.16</v>
      </c>
    </row>
    <row r="810" spans="1:22" x14ac:dyDescent="0.25">
      <c r="A810" t="s">
        <v>956</v>
      </c>
      <c r="B810" s="35">
        <v>14320.55</v>
      </c>
      <c r="D810" s="35">
        <v>11.530000000000001</v>
      </c>
      <c r="E810" s="35">
        <v>2.12</v>
      </c>
      <c r="F810" s="35">
        <v>51365.479999999996</v>
      </c>
      <c r="G810" s="35">
        <v>-383.91</v>
      </c>
      <c r="J810" s="3"/>
      <c r="K810" s="35">
        <v>-273.22000000000003</v>
      </c>
      <c r="M810" s="35">
        <v>20330.29</v>
      </c>
      <c r="O810" s="3">
        <f t="shared" si="24"/>
        <v>-75241.350000000006</v>
      </c>
      <c r="P810" s="35">
        <v>-288.48</v>
      </c>
      <c r="R810" s="35">
        <v>1954.68</v>
      </c>
      <c r="T810" s="1">
        <f t="shared" si="25"/>
        <v>-1666.2</v>
      </c>
    </row>
    <row r="811" spans="1:22" x14ac:dyDescent="0.25">
      <c r="A811" t="s">
        <v>957</v>
      </c>
      <c r="B811" s="35">
        <v>7942.9800000000005</v>
      </c>
      <c r="E811" s="35">
        <v>8.7099999999999991</v>
      </c>
      <c r="F811" s="35">
        <v>40989.530000000006</v>
      </c>
      <c r="G811" s="35">
        <v>-412.67</v>
      </c>
      <c r="J811" s="3"/>
      <c r="N811" s="35">
        <v>184317.83</v>
      </c>
      <c r="O811" s="3">
        <f t="shared" si="24"/>
        <v>137638.89999999997</v>
      </c>
      <c r="P811" s="35">
        <v>-20.02</v>
      </c>
      <c r="Q811" s="35">
        <v>-220.55</v>
      </c>
      <c r="S811" s="35">
        <v>855.47</v>
      </c>
      <c r="T811" s="1">
        <f t="shared" si="25"/>
        <v>1096.04</v>
      </c>
      <c r="U811" s="35">
        <v>185173.3</v>
      </c>
      <c r="V811" s="3">
        <f>U811-P811-N811-Q811-R811+N811-I812-G812-F812-D811-E811-B811-M810-R810-R809-Q810-Q809-P809-P810-K811-K810-I810-G810-F810-E810-E809-B810-B809-M809-D809-D810-M811-H810-C809-H812-K812-C810-L809-L810-L811-F811-G811</f>
        <v>-5.6445514928782359E-11</v>
      </c>
    </row>
    <row r="812" spans="1:22" x14ac:dyDescent="0.25">
      <c r="A812" t="s">
        <v>958</v>
      </c>
      <c r="B812" s="2">
        <v>8148.2699999999995</v>
      </c>
      <c r="C812" s="2">
        <v>-89.08</v>
      </c>
      <c r="E812" s="2">
        <v>5.22</v>
      </c>
      <c r="F812" s="35">
        <v>39288.07</v>
      </c>
      <c r="G812" s="35">
        <v>-560.83000000000004</v>
      </c>
      <c r="J812" s="3"/>
      <c r="N812" s="2">
        <v>45098.63</v>
      </c>
      <c r="O812" s="3">
        <f t="shared" si="24"/>
        <v>-1.0913936421275139E-11</v>
      </c>
      <c r="P812" s="2">
        <v>-260.42</v>
      </c>
      <c r="Q812" s="2">
        <f>-123.28 -370.32</f>
        <v>-493.6</v>
      </c>
      <c r="S812" s="2">
        <v>-754.02</v>
      </c>
      <c r="T812" s="1">
        <f t="shared" si="25"/>
        <v>0</v>
      </c>
      <c r="U812" s="2">
        <v>44344.61</v>
      </c>
      <c r="V812" s="1">
        <f>U812-P812-N812-Q812-R812+N812-I813-G813-F813-D812-E812-B812-K813-M812-H813-C812-L812-J812</f>
        <v>-7.3470118877594359E-12</v>
      </c>
    </row>
    <row r="813" spans="1:22" x14ac:dyDescent="0.25">
      <c r="A813" t="s">
        <v>959</v>
      </c>
      <c r="B813" s="38">
        <v>7790.06</v>
      </c>
      <c r="E813" s="38">
        <v>5.81</v>
      </c>
      <c r="F813" s="2">
        <v>42257</v>
      </c>
      <c r="G813" s="2">
        <v>-5191.42</v>
      </c>
      <c r="H813" s="2">
        <v>-32.340000000000003</v>
      </c>
      <c r="I813" s="2">
        <v>0.98</v>
      </c>
      <c r="J813" s="3"/>
      <c r="K813" s="3"/>
      <c r="L813" s="38">
        <v>-0.04</v>
      </c>
      <c r="N813" s="38">
        <v>45435.43</v>
      </c>
      <c r="O813" s="3">
        <f t="shared" si="24"/>
        <v>9.4587532251111384E-13</v>
      </c>
      <c r="P813" s="38">
        <v>-271.89999999999998</v>
      </c>
      <c r="Q813" s="38">
        <v>-735.94</v>
      </c>
      <c r="S813" s="38">
        <v>-1007.84</v>
      </c>
      <c r="T813" s="1">
        <f t="shared" si="25"/>
        <v>0</v>
      </c>
      <c r="U813" s="38">
        <v>44427.59</v>
      </c>
      <c r="V813" s="1">
        <f>U813-P813-N813-Q813-R813+N813-I814-G814-F814-D813-E813-B813-K814-M813-H814-C813-L813-J813</f>
        <v>8.8903190365030582E-13</v>
      </c>
    </row>
    <row r="814" spans="1:22" x14ac:dyDescent="0.25">
      <c r="A814" t="s">
        <v>960</v>
      </c>
      <c r="B814" s="37">
        <v>6623.13</v>
      </c>
      <c r="C814" s="37">
        <v>-97.85</v>
      </c>
      <c r="E814" s="37">
        <v>42.510000000000005</v>
      </c>
      <c r="F814" s="38">
        <v>39252.49</v>
      </c>
      <c r="G814" s="38">
        <v>-1704.3799999999999</v>
      </c>
      <c r="H814" s="38">
        <v>-273.21999999999997</v>
      </c>
      <c r="I814" s="38">
        <v>91.490000000000009</v>
      </c>
      <c r="J814" s="3"/>
      <c r="K814" s="38">
        <v>273.22000000000003</v>
      </c>
      <c r="L814" s="37">
        <v>-0.06</v>
      </c>
      <c r="N814" s="37">
        <v>58864.57</v>
      </c>
      <c r="O814" s="3">
        <f t="shared" si="24"/>
        <v>-4.0381586963178506E-12</v>
      </c>
      <c r="P814" s="37">
        <v>-44.66</v>
      </c>
      <c r="Q814" s="37">
        <f>-247.25 -121.89</f>
        <v>-369.14</v>
      </c>
      <c r="S814" s="37">
        <v>-413.8</v>
      </c>
      <c r="T814" s="1">
        <f t="shared" si="25"/>
        <v>0</v>
      </c>
      <c r="U814" s="37">
        <v>58450.77</v>
      </c>
      <c r="V814" s="1">
        <f>U814-P814-N814-Q814-R814+N814-I815-G815-F815-D814-E814-B814-K815-M814-H815-C814-L814-J814</f>
        <v>-7.6192940845487556E-12</v>
      </c>
    </row>
    <row r="815" spans="1:22" x14ac:dyDescent="0.25">
      <c r="A815" t="s">
        <v>961</v>
      </c>
      <c r="B815" s="43">
        <v>7952.8099999999995</v>
      </c>
      <c r="C815" s="43">
        <v>-98.11</v>
      </c>
      <c r="E815" s="43">
        <v>8.92</v>
      </c>
      <c r="F815" s="37">
        <v>55883.740000000005</v>
      </c>
      <c r="G815" s="37">
        <v>-3611.22</v>
      </c>
      <c r="H815" s="37">
        <v>-94.22999999999999</v>
      </c>
      <c r="I815" s="37">
        <v>118.55</v>
      </c>
      <c r="J815" s="3"/>
      <c r="L815" s="43">
        <v>-9.999999999308784E-3</v>
      </c>
      <c r="N815" s="43">
        <v>65603.77</v>
      </c>
      <c r="O815" s="3">
        <f t="shared" si="24"/>
        <v>0</v>
      </c>
      <c r="P815" s="43">
        <v>-99.64</v>
      </c>
      <c r="Q815" s="43">
        <f>-618.58 -124.4 -246.57</f>
        <v>-989.55</v>
      </c>
      <c r="S815" s="43">
        <v>-1089.19</v>
      </c>
      <c r="T815" s="1">
        <f t="shared" si="25"/>
        <v>0</v>
      </c>
      <c r="U815" s="43">
        <v>64514.58</v>
      </c>
      <c r="V815" s="1">
        <f>U815-P815-N815-Q815-R815+N815-I816-G816-F816-D815-E815-B815-K816-M815-H816-C815-L815-J815</f>
        <v>2.6574298317427747E-12</v>
      </c>
    </row>
    <row r="816" spans="1:22" x14ac:dyDescent="0.25">
      <c r="A816" t="s">
        <v>962</v>
      </c>
      <c r="B816" s="110">
        <v>6117.62</v>
      </c>
      <c r="E816" s="110">
        <v>17.049999999999997</v>
      </c>
      <c r="F816" s="43">
        <v>65161.89</v>
      </c>
      <c r="G816" s="43">
        <v>-7335.67</v>
      </c>
      <c r="H816" s="43">
        <v>-86.06</v>
      </c>
      <c r="J816" s="3"/>
      <c r="O816" s="3">
        <f t="shared" si="24"/>
        <v>-60078.400000000009</v>
      </c>
      <c r="P816" s="110">
        <v>-820.69</v>
      </c>
      <c r="Q816" s="110">
        <f>-371.57 -124.26 -123.33 -247.6</f>
        <v>-866.76</v>
      </c>
      <c r="T816" s="1">
        <f t="shared" si="25"/>
        <v>1687.45</v>
      </c>
    </row>
    <row r="817" spans="1:22" x14ac:dyDescent="0.25">
      <c r="A817" t="s">
        <v>963</v>
      </c>
      <c r="B817" s="110">
        <v>7307.85</v>
      </c>
      <c r="E817" s="110">
        <v>9.9999999999999978E-2</v>
      </c>
      <c r="F817" s="110">
        <v>55845.020000000004</v>
      </c>
      <c r="G817" s="110">
        <v>-1989.98</v>
      </c>
      <c r="I817" s="110">
        <v>88.69</v>
      </c>
      <c r="J817" s="3"/>
      <c r="M817" s="110">
        <v>18803.84</v>
      </c>
      <c r="O817" s="3">
        <f t="shared" si="24"/>
        <v>-84144.849999999991</v>
      </c>
      <c r="P817" s="110">
        <v>-116.24</v>
      </c>
      <c r="Q817" s="110">
        <f>-124.27 -380.81</f>
        <v>-505.08</v>
      </c>
      <c r="T817" s="1">
        <f t="shared" si="25"/>
        <v>621.31999999999994</v>
      </c>
    </row>
    <row r="818" spans="1:22" x14ac:dyDescent="0.25">
      <c r="A818" t="s">
        <v>964</v>
      </c>
      <c r="B818" s="110">
        <v>6488.7800000000007</v>
      </c>
      <c r="F818" s="110">
        <v>59637.35</v>
      </c>
      <c r="G818" s="110">
        <v>-1604.29</v>
      </c>
      <c r="J818" s="3"/>
      <c r="L818" s="110">
        <v>-0.02</v>
      </c>
      <c r="N818" s="110">
        <v>243109.97</v>
      </c>
      <c r="O818" s="3">
        <f t="shared" si="24"/>
        <v>144223.25</v>
      </c>
      <c r="P818" s="110">
        <v>-136.5</v>
      </c>
      <c r="Q818" s="110">
        <v>-123.26</v>
      </c>
      <c r="R818" s="110">
        <v>1605.02</v>
      </c>
      <c r="S818" s="110">
        <v>-963.51</v>
      </c>
      <c r="T818" s="1">
        <f t="shared" si="25"/>
        <v>-2308.7699999999995</v>
      </c>
      <c r="U818" s="110">
        <v>242146.46</v>
      </c>
      <c r="V818" s="3">
        <f>U818-P818-N818-Q818-R818+N818-I819-G819-F819-D818-E818-B818-M817-R817-R816-Q817-Q816-P816-P817-K818-K817-I817-G817-F817-E817-E816-B817-B816-M816-D816-D817-M818-H817-C816-H819-K819-C817-L816-L817-L818-F818-G818</f>
        <v>-2.2737367544323206E-11</v>
      </c>
    </row>
    <row r="819" spans="1:22" x14ac:dyDescent="0.25">
      <c r="A819" t="s">
        <v>965</v>
      </c>
      <c r="B819" s="5">
        <v>7430.6</v>
      </c>
      <c r="C819" s="5">
        <v>-196.5</v>
      </c>
      <c r="E819" s="5">
        <v>156.68</v>
      </c>
      <c r="F819" s="110">
        <v>93112.92</v>
      </c>
      <c r="G819" s="110">
        <v>-714.96</v>
      </c>
      <c r="J819" s="3"/>
      <c r="L819" s="5">
        <v>-0.01</v>
      </c>
      <c r="M819" s="3"/>
      <c r="N819" s="5">
        <v>61618.720000000001</v>
      </c>
      <c r="O819" s="3">
        <f t="shared" si="24"/>
        <v>1.0695657901016453E-11</v>
      </c>
      <c r="P819" s="5">
        <v>-809.03</v>
      </c>
      <c r="Q819" s="5">
        <v>-123.14</v>
      </c>
      <c r="S819" s="5">
        <v>-932.17</v>
      </c>
      <c r="T819" s="1">
        <f t="shared" si="25"/>
        <v>0</v>
      </c>
      <c r="U819" s="5">
        <v>60686.55</v>
      </c>
      <c r="V819" s="1">
        <f>U819-P819-N819-Q819-R819+N819-I820-G820-F820-D819-E819-B819-K820-M819-H820-C819-L819-J819</f>
        <v>8.3650777277233246E-12</v>
      </c>
    </row>
    <row r="820" spans="1:22" x14ac:dyDescent="0.25">
      <c r="A820" t="s">
        <v>966</v>
      </c>
      <c r="B820" s="57">
        <v>5679.05</v>
      </c>
      <c r="F820" s="5">
        <v>55701.939999999995</v>
      </c>
      <c r="G820" s="5">
        <v>-1415.86</v>
      </c>
      <c r="H820" s="5">
        <v>-128.44</v>
      </c>
      <c r="I820" s="5">
        <v>70.31</v>
      </c>
      <c r="J820" s="3"/>
      <c r="N820" s="57">
        <v>127602.57</v>
      </c>
      <c r="O820" s="3">
        <f t="shared" si="24"/>
        <v>1.7280399333685637E-11</v>
      </c>
      <c r="P820" s="57">
        <v>-843.78</v>
      </c>
      <c r="Q820" s="57">
        <v>-119.38</v>
      </c>
      <c r="S820" s="57">
        <v>-963.16</v>
      </c>
      <c r="T820" s="1">
        <f t="shared" si="25"/>
        <v>0</v>
      </c>
      <c r="U820" s="57">
        <v>126639.41</v>
      </c>
      <c r="V820" s="1">
        <f>U820-P820-N820-Q820-R820+N820-I821-G821-F821-D820-E820-B820-K821-M820-H821-C820-L820-J820</f>
        <v>1.4951595517231908E-11</v>
      </c>
    </row>
    <row r="821" spans="1:22" x14ac:dyDescent="0.25">
      <c r="A821" t="s">
        <v>967</v>
      </c>
      <c r="B821" s="39">
        <v>14925.37</v>
      </c>
      <c r="F821" s="57">
        <v>126982.91</v>
      </c>
      <c r="G821" s="57">
        <v>-5205.5</v>
      </c>
      <c r="H821" s="57">
        <v>-7.9399999999999995</v>
      </c>
      <c r="I821" s="57">
        <v>154.04999999999998</v>
      </c>
      <c r="J821" s="3"/>
      <c r="L821" s="39">
        <v>-0.02</v>
      </c>
      <c r="N821" s="39">
        <v>366087.77</v>
      </c>
      <c r="O821" s="3">
        <f>N821-K822-I822-H822-G822-F822-E821-D821-C821-B821-M821-L821-J821</f>
        <v>-2.4083419286613506E-11</v>
      </c>
      <c r="P821" s="39">
        <f>-559.67</f>
        <v>-559.66999999999996</v>
      </c>
      <c r="Q821" s="39">
        <f>-117.02 -120.59</f>
        <v>-237.61</v>
      </c>
      <c r="S821" s="39">
        <v>-797.28</v>
      </c>
      <c r="T821" s="1">
        <f t="shared" si="25"/>
        <v>0</v>
      </c>
      <c r="U821" s="39">
        <v>365290.49</v>
      </c>
      <c r="V821" s="1">
        <f>U821-P821-N821-Q821-R821+N821-I822-G822-F822-D821-E821-B821-K822-M821-H822-C821-L821-J821</f>
        <v>-6.1330069495157957E-11</v>
      </c>
    </row>
    <row r="822" spans="1:22" x14ac:dyDescent="0.25">
      <c r="A822" t="s">
        <v>968</v>
      </c>
      <c r="B822" s="62">
        <v>11042.93</v>
      </c>
      <c r="E822" s="62">
        <v>27.319999999999997</v>
      </c>
      <c r="F822" s="39">
        <v>353636.95</v>
      </c>
      <c r="G822" s="39">
        <v>-2495.89</v>
      </c>
      <c r="H822" s="39">
        <v>-72.540000000000006</v>
      </c>
      <c r="I822" s="39">
        <v>93.9</v>
      </c>
      <c r="J822" s="3"/>
      <c r="L822" s="62">
        <v>-0.08</v>
      </c>
      <c r="N822" s="62">
        <v>125630.12</v>
      </c>
      <c r="O822" s="3">
        <f>N822-K823-I823-H823-G823-F823-E822-D822-C822-B822-M822-L822-J822</f>
        <v>-1.6298143390436337E-11</v>
      </c>
      <c r="P822" s="62">
        <v>-197.8</v>
      </c>
      <c r="Q822" s="62">
        <v>-365.99</v>
      </c>
      <c r="S822" s="62">
        <v>-563.79</v>
      </c>
      <c r="T822" s="1">
        <f t="shared" si="25"/>
        <v>0</v>
      </c>
      <c r="U822" s="62">
        <v>125066.33</v>
      </c>
      <c r="V822" s="1">
        <f>U822-P822-N822-Q822-R822+N822-I823-G823-F823-D822-E822-B822-K823-M822-H823-C822-L822-J822</f>
        <v>1.1527861998317235E-12</v>
      </c>
    </row>
    <row r="823" spans="1:22" x14ac:dyDescent="0.25">
      <c r="A823" t="s">
        <v>969</v>
      </c>
      <c r="B823" s="5">
        <v>8073.94</v>
      </c>
      <c r="E823" s="5">
        <v>13.14</v>
      </c>
      <c r="F823" s="62">
        <v>115322.44</v>
      </c>
      <c r="G823" s="62">
        <v>-801.01</v>
      </c>
      <c r="H823" s="62">
        <v>-86.199999999999989</v>
      </c>
      <c r="I823" s="62">
        <v>124.72</v>
      </c>
      <c r="J823" s="5" t="s">
        <v>1473</v>
      </c>
      <c r="L823" s="1">
        <v>-0.09</v>
      </c>
      <c r="O823" s="3">
        <f>N823-K824-I824-H824-G824-F824-E823-D823-C823-B823-M823-L823</f>
        <v>-80405.16</v>
      </c>
      <c r="P823" s="5">
        <v>-522.09</v>
      </c>
      <c r="Q823" s="5">
        <f>-368.19 -117.99</f>
        <v>-486.18</v>
      </c>
      <c r="T823" s="1">
        <f t="shared" si="25"/>
        <v>1008.27</v>
      </c>
    </row>
    <row r="824" spans="1:22" x14ac:dyDescent="0.25">
      <c r="A824" t="s">
        <v>970</v>
      </c>
      <c r="B824" s="5">
        <v>10337.32</v>
      </c>
      <c r="E824" s="5">
        <v>83.97</v>
      </c>
      <c r="F824" s="5">
        <v>76009.819999999992</v>
      </c>
      <c r="G824" s="5">
        <v>-3610.01</v>
      </c>
      <c r="H824" s="5">
        <v>-81.64</v>
      </c>
      <c r="J824" s="5">
        <v>79.95</v>
      </c>
      <c r="M824" s="5">
        <v>87333.32</v>
      </c>
      <c r="O824" s="3">
        <f t="shared" ref="O824:O855" si="26">N824-K825-I825-H825-G825-F825-E824-D824-C824-B824-M824-L824-J824</f>
        <v>-139490.37000000002</v>
      </c>
      <c r="P824" s="5">
        <v>-209.75</v>
      </c>
      <c r="Q824" s="5">
        <v>-726.97</v>
      </c>
      <c r="R824" s="5">
        <v>16018.35</v>
      </c>
      <c r="T824" s="1">
        <f t="shared" si="25"/>
        <v>-15081.630000000001</v>
      </c>
    </row>
    <row r="825" spans="1:22" x14ac:dyDescent="0.25">
      <c r="A825" t="s">
        <v>971</v>
      </c>
      <c r="B825" s="5">
        <v>6457.0700000000006</v>
      </c>
      <c r="E825" s="5">
        <v>192.9</v>
      </c>
      <c r="F825" s="5">
        <v>43125.53</v>
      </c>
      <c r="G825" s="5">
        <v>-1469.72</v>
      </c>
      <c r="J825" s="3"/>
      <c r="L825" s="5">
        <v>-0.1</v>
      </c>
      <c r="N825" s="5">
        <v>269616.09000000003</v>
      </c>
      <c r="O825" s="3">
        <f t="shared" si="26"/>
        <v>219895.53000000003</v>
      </c>
      <c r="P825" s="5">
        <v>-231.92</v>
      </c>
      <c r="Q825" s="5">
        <f>-509.2 -148.02</f>
        <v>-657.22</v>
      </c>
      <c r="S825" s="5">
        <v>13184.22</v>
      </c>
      <c r="T825" s="1">
        <f t="shared" si="25"/>
        <v>14073.359999999999</v>
      </c>
      <c r="U825" s="5">
        <v>282800.31</v>
      </c>
      <c r="V825" s="3">
        <f>U825-P825-N825-Q825-R825+N825-I826-G826-F826-D825-E825-B825-M824-R824-R823-Q824-Q823-P823-P824-K825-K824-I824-G824-F824-E824-E823-B824-B823-M823-D823-D824-M825-H824-C823-H826-K826-C824-L823-L824-L825-F825-G825-J824</f>
        <v>-6.2257754507299978E-11</v>
      </c>
    </row>
    <row r="826" spans="1:22" x14ac:dyDescent="0.25">
      <c r="A826" t="s">
        <v>972</v>
      </c>
      <c r="B826" s="43">
        <v>25278.22</v>
      </c>
      <c r="E826" s="43">
        <v>92.72</v>
      </c>
      <c r="F826" s="5">
        <v>44370.990000000005</v>
      </c>
      <c r="G826" s="5">
        <v>-1300.3</v>
      </c>
      <c r="J826" s="3"/>
      <c r="N826" s="43">
        <v>109805.34</v>
      </c>
      <c r="O826" s="3">
        <f t="shared" si="26"/>
        <v>0</v>
      </c>
      <c r="P826" s="43">
        <v>-74.55</v>
      </c>
      <c r="S826" s="43">
        <v>-74.55</v>
      </c>
      <c r="T826" s="1">
        <f t="shared" si="25"/>
        <v>0</v>
      </c>
      <c r="U826" s="43">
        <v>109730.79</v>
      </c>
      <c r="V826" s="1">
        <f>U826-P826-N826-Q826-R826+N826-I827-G827-F827-D826-E826-B826-K827-M826-H827-C826-L826-J826</f>
        <v>-4.0785153032629751E-12</v>
      </c>
    </row>
    <row r="827" spans="1:22" x14ac:dyDescent="0.25">
      <c r="A827" t="s">
        <v>973</v>
      </c>
      <c r="B827" s="102">
        <v>17035.52</v>
      </c>
      <c r="C827" s="102">
        <v>-89.51</v>
      </c>
      <c r="F827" s="43">
        <v>85861.86</v>
      </c>
      <c r="G827" s="43">
        <v>-1358.67</v>
      </c>
      <c r="H827" s="43">
        <v>-69.77</v>
      </c>
      <c r="I827" s="43">
        <v>0.98</v>
      </c>
      <c r="J827" s="3"/>
      <c r="L827" s="102">
        <v>-0.14000000000000001</v>
      </c>
      <c r="N827" s="102">
        <v>78611.41</v>
      </c>
      <c r="O827" s="3">
        <f t="shared" si="26"/>
        <v>5.8208993181096957E-13</v>
      </c>
      <c r="P827" s="102">
        <v>-497.28</v>
      </c>
      <c r="S827" s="102">
        <v>-497.28</v>
      </c>
      <c r="T827" s="1">
        <f t="shared" si="25"/>
        <v>0</v>
      </c>
      <c r="U827" s="102">
        <v>78114.13</v>
      </c>
      <c r="V827" s="1">
        <f>U827-P827-N827-Q827-R827+N827-I828-G828-F828-D827-E827-B827-K828-M827-H828-C827-L827-J827</f>
        <v>2.187916514628796E-12</v>
      </c>
    </row>
    <row r="828" spans="1:22" x14ac:dyDescent="0.25">
      <c r="A828" t="s">
        <v>974</v>
      </c>
      <c r="B828" s="35">
        <v>18666.55</v>
      </c>
      <c r="E828" s="35">
        <v>12.139999999999999</v>
      </c>
      <c r="F828" s="102">
        <v>65049.579999999994</v>
      </c>
      <c r="G828" s="102">
        <v>-2957.79</v>
      </c>
      <c r="H828" s="102">
        <v>-426.25</v>
      </c>
      <c r="J828" s="3"/>
      <c r="N828" s="35">
        <v>94799.03</v>
      </c>
      <c r="O828" s="3">
        <f t="shared" si="26"/>
        <v>3.637978807091713E-12</v>
      </c>
      <c r="P828" s="35">
        <v>-198.64</v>
      </c>
      <c r="Q828" s="35">
        <f>-482.25 -14.34</f>
        <v>-496.59</v>
      </c>
      <c r="S828" s="35">
        <v>-695.23</v>
      </c>
      <c r="T828" s="1">
        <f t="shared" si="25"/>
        <v>0</v>
      </c>
      <c r="U828" s="35">
        <v>94103.8</v>
      </c>
      <c r="V828" s="1">
        <f>U828-P828-N828-Q828-R828+N828-I829-G829-F829-D828-E828-B828-K829-M828-H829-C828-L828-J828</f>
        <v>7.2830630415410269E-13</v>
      </c>
    </row>
    <row r="829" spans="1:22" x14ac:dyDescent="0.25">
      <c r="A829" t="s">
        <v>975</v>
      </c>
      <c r="B829" s="33">
        <v>13092.33</v>
      </c>
      <c r="E829" s="33">
        <v>380.13</v>
      </c>
      <c r="F829" s="35">
        <v>77651.09</v>
      </c>
      <c r="G829" s="35">
        <v>-1908.26</v>
      </c>
      <c r="H829" s="35">
        <v>-10.8</v>
      </c>
      <c r="I829" s="35">
        <v>388.31</v>
      </c>
      <c r="J829" s="3"/>
      <c r="L829" s="33">
        <v>-0.02</v>
      </c>
      <c r="N829" s="33">
        <v>81377.649999999994</v>
      </c>
      <c r="O829" s="3">
        <f t="shared" si="26"/>
        <v>-1.135049346179251E-11</v>
      </c>
      <c r="P829" s="33">
        <v>-694.81</v>
      </c>
      <c r="Q829" s="33">
        <v>-124.15</v>
      </c>
      <c r="S829" s="33">
        <v>-818.96</v>
      </c>
      <c r="T829" s="1">
        <f t="shared" si="25"/>
        <v>0</v>
      </c>
      <c r="U829" s="33">
        <v>80558.69</v>
      </c>
      <c r="V829" s="1">
        <f>U829-P829-N829-Q829-R829+N829-I830-G830-F830-D829-E829-B829-K830-M829-H830-C829-L829-J829</f>
        <v>-6.689333115206253E-12</v>
      </c>
    </row>
    <row r="830" spans="1:22" x14ac:dyDescent="0.25">
      <c r="A830" t="s">
        <v>976</v>
      </c>
      <c r="B830" s="34">
        <v>15460.650000000001</v>
      </c>
      <c r="E830" s="34">
        <v>3.8</v>
      </c>
      <c r="F830" s="33">
        <v>70761.61</v>
      </c>
      <c r="G830" s="33">
        <v>-2499.42</v>
      </c>
      <c r="H830" s="33">
        <v>-396.12</v>
      </c>
      <c r="I830" s="33">
        <v>39.14</v>
      </c>
      <c r="J830" s="3"/>
      <c r="L830" s="34">
        <v>-0.03</v>
      </c>
      <c r="O830" s="3">
        <f t="shared" si="26"/>
        <v>-70803.72</v>
      </c>
      <c r="P830" s="34">
        <v>-634.22</v>
      </c>
      <c r="T830" s="1">
        <f t="shared" si="25"/>
        <v>634.22</v>
      </c>
    </row>
    <row r="831" spans="1:22" x14ac:dyDescent="0.25">
      <c r="A831" t="s">
        <v>977</v>
      </c>
      <c r="B831" s="34">
        <v>14180.75</v>
      </c>
      <c r="F831" s="34">
        <v>57536.020000000004</v>
      </c>
      <c r="G831" s="34">
        <v>-2256.7800000000002</v>
      </c>
      <c r="H831" s="34">
        <v>-61.660000000000004</v>
      </c>
      <c r="I831" s="34">
        <v>121.72</v>
      </c>
      <c r="J831" s="3"/>
      <c r="L831" s="34">
        <v>-0.09</v>
      </c>
      <c r="O831" s="3">
        <f t="shared" si="26"/>
        <v>-77323.209999999992</v>
      </c>
      <c r="P831" s="34">
        <v>-502.83</v>
      </c>
      <c r="T831" s="1">
        <f t="shared" si="25"/>
        <v>502.83</v>
      </c>
    </row>
    <row r="832" spans="1:22" x14ac:dyDescent="0.25">
      <c r="A832" t="s">
        <v>978</v>
      </c>
      <c r="B832" s="34">
        <v>11331.67</v>
      </c>
      <c r="F832" s="34">
        <v>63933.88</v>
      </c>
      <c r="G832" s="34">
        <v>-791.33</v>
      </c>
      <c r="J832" s="3"/>
      <c r="L832" s="34">
        <v>-0.03</v>
      </c>
      <c r="N832" s="34">
        <v>210793.02</v>
      </c>
      <c r="O832" s="3">
        <f t="shared" si="26"/>
        <v>148126.92999999996</v>
      </c>
      <c r="P832" s="34">
        <v>-1005.88</v>
      </c>
      <c r="S832" s="34">
        <v>-2142.9299999999998</v>
      </c>
      <c r="T832" s="1">
        <f t="shared" si="25"/>
        <v>-1137.0499999999997</v>
      </c>
      <c r="U832" s="34">
        <v>208650.09</v>
      </c>
      <c r="V832" s="3">
        <f>U832-P832-N832-Q832-R832+N832-I833-G833-F833-D832-E832-B832-M831-R831-R830-Q831-Q830-P830-P831-K832-K831-I831-G831-F831-E831-E830-B831-B830-M830-D830-D831-M832-H831-C830-H833-K833-C831-L830-L831-L832-F832-G832-J831</f>
        <v>-4.5361048250924796E-11</v>
      </c>
    </row>
    <row r="833" spans="1:22" x14ac:dyDescent="0.25">
      <c r="A833" t="s">
        <v>979</v>
      </c>
      <c r="B833" s="107">
        <v>11272.759999999998</v>
      </c>
      <c r="F833" s="34">
        <v>51895.29</v>
      </c>
      <c r="G833" s="34">
        <v>-560.84</v>
      </c>
      <c r="J833" s="3"/>
      <c r="L833" s="107">
        <v>-0.01</v>
      </c>
      <c r="M833" s="107">
        <v>52110.37</v>
      </c>
      <c r="N833" s="107">
        <v>193443.17</v>
      </c>
      <c r="O833" s="3">
        <f t="shared" si="26"/>
        <v>2.7066562532929161E-11</v>
      </c>
      <c r="P833" s="107">
        <v>-354.92</v>
      </c>
      <c r="Q833" s="107">
        <f>-477.85 -14.34</f>
        <v>-492.19</v>
      </c>
      <c r="R833" s="107">
        <v>2201.66</v>
      </c>
      <c r="S833" s="107">
        <v>1354.55</v>
      </c>
      <c r="T833" s="1">
        <f t="shared" si="25"/>
        <v>0</v>
      </c>
      <c r="U833" s="107">
        <v>194797.72</v>
      </c>
      <c r="V833" s="1">
        <f>U833-P833-N833-Q833-R833+N833-I834-G834-F834-D833-E833-B833-K834-M833-H834-C833-L833-J833</f>
        <v>2.2405402186342904E-11</v>
      </c>
    </row>
    <row r="834" spans="1:22" x14ac:dyDescent="0.25">
      <c r="A834" t="s">
        <v>980</v>
      </c>
      <c r="B834" s="37">
        <v>12411.82</v>
      </c>
      <c r="D834" s="37">
        <v>195.17999999999998</v>
      </c>
      <c r="F834" s="107">
        <v>136478.60999999999</v>
      </c>
      <c r="G834" s="107">
        <v>-6414.9299999999994</v>
      </c>
      <c r="H834" s="107">
        <v>-60.879999999999995</v>
      </c>
      <c r="I834" s="107">
        <v>57.25</v>
      </c>
      <c r="J834" s="3"/>
      <c r="L834" s="37">
        <v>-0.1</v>
      </c>
      <c r="N834" s="37">
        <v>125057.52</v>
      </c>
      <c r="O834" s="3">
        <f t="shared" si="26"/>
        <v>8.7311546881352342E-12</v>
      </c>
      <c r="P834" s="37">
        <v>-617.25</v>
      </c>
      <c r="S834" s="37">
        <v>-617.25</v>
      </c>
      <c r="T834" s="1">
        <f t="shared" si="25"/>
        <v>0</v>
      </c>
      <c r="U834" s="37">
        <v>124440.27</v>
      </c>
      <c r="V834" s="1">
        <f>U834-P834-N834-Q834-R834+N834-I835-G835-F835-D834-E834-B834-K835-M834-H835-C834-L834-J834</f>
        <v>8.7311546881352342E-12</v>
      </c>
    </row>
    <row r="835" spans="1:22" x14ac:dyDescent="0.25">
      <c r="A835" t="s">
        <v>981</v>
      </c>
      <c r="B835" s="89">
        <v>4084.88</v>
      </c>
      <c r="F835" s="37">
        <v>113643.54999999999</v>
      </c>
      <c r="G835" s="37">
        <v>-1210.8900000000001</v>
      </c>
      <c r="I835" s="37">
        <v>17.96</v>
      </c>
      <c r="J835" s="3"/>
      <c r="L835" s="89">
        <v>-0.05</v>
      </c>
      <c r="O835" s="3">
        <f t="shared" si="26"/>
        <v>-95352.33</v>
      </c>
      <c r="P835" s="89">
        <v>-932.58</v>
      </c>
      <c r="Q835" s="89">
        <f>-119.43 -241.06</f>
        <v>-360.49</v>
      </c>
      <c r="T835" s="1">
        <f t="shared" si="25"/>
        <v>1293.0700000000002</v>
      </c>
    </row>
    <row r="836" spans="1:22" x14ac:dyDescent="0.25">
      <c r="A836" t="s">
        <v>982</v>
      </c>
      <c r="B836" s="89">
        <v>9236.869999999999</v>
      </c>
      <c r="E836" s="89">
        <v>44.77</v>
      </c>
      <c r="F836" s="89">
        <v>94561.8</v>
      </c>
      <c r="G836" s="89">
        <v>-3364.45</v>
      </c>
      <c r="H836" s="89">
        <v>-42.279999999999994</v>
      </c>
      <c r="I836" s="89">
        <v>112.43</v>
      </c>
      <c r="J836" s="3"/>
      <c r="L836" s="89">
        <v>-0.03</v>
      </c>
      <c r="N836" s="89">
        <v>203024.92</v>
      </c>
      <c r="O836" s="3">
        <f t="shared" si="26"/>
        <v>95352.33</v>
      </c>
      <c r="P836" s="89">
        <v>-825.69</v>
      </c>
      <c r="Q836" s="89">
        <f>-496.68 -3.73 -123.14 -22.52</f>
        <v>-646.07000000000005</v>
      </c>
      <c r="S836" s="89">
        <v>-2764.83</v>
      </c>
      <c r="T836" s="1">
        <f t="shared" si="25"/>
        <v>-1293.0699999999997</v>
      </c>
      <c r="U836" s="89">
        <v>200260.09</v>
      </c>
    </row>
    <row r="837" spans="1:22" x14ac:dyDescent="0.25">
      <c r="A837" t="s">
        <v>983</v>
      </c>
      <c r="B837" s="93">
        <v>7598.81</v>
      </c>
      <c r="E837" s="89"/>
      <c r="F837" s="89">
        <v>100472.01999999999</v>
      </c>
      <c r="G837" s="89">
        <v>-1924.0500000000002</v>
      </c>
      <c r="H837" s="89">
        <v>-156.99</v>
      </c>
      <c r="J837" s="3"/>
      <c r="L837" s="93">
        <v>-0.14000000000000001</v>
      </c>
      <c r="O837" s="3">
        <f t="shared" si="26"/>
        <v>-76797.040000000008</v>
      </c>
      <c r="P837" s="93">
        <v>-597.19000000000005</v>
      </c>
      <c r="Q837" s="93">
        <f>-369.29 -119.36 -123.08</f>
        <v>-611.73</v>
      </c>
      <c r="T837" s="1">
        <f t="shared" si="25"/>
        <v>1208.92</v>
      </c>
    </row>
    <row r="838" spans="1:22" x14ac:dyDescent="0.25">
      <c r="A838" t="s">
        <v>984</v>
      </c>
      <c r="B838" s="93">
        <v>10005.68</v>
      </c>
      <c r="E838" s="93">
        <v>6.46</v>
      </c>
      <c r="F838" s="93">
        <v>71363.38</v>
      </c>
      <c r="G838" s="93">
        <v>-1467.23</v>
      </c>
      <c r="H838" s="93">
        <v>-736.6</v>
      </c>
      <c r="I838" s="93">
        <v>38.82</v>
      </c>
      <c r="J838" s="3"/>
      <c r="L838" s="93">
        <v>-0.01</v>
      </c>
      <c r="M838" s="93">
        <v>23102.54</v>
      </c>
      <c r="O838" s="3">
        <f t="shared" si="26"/>
        <v>-76550.05</v>
      </c>
      <c r="P838" s="93">
        <v>-143.41</v>
      </c>
      <c r="Q838" s="93">
        <v>-485.32</v>
      </c>
      <c r="T838" s="1">
        <f t="shared" si="25"/>
        <v>628.73</v>
      </c>
    </row>
    <row r="839" spans="1:22" x14ac:dyDescent="0.25">
      <c r="A839" t="s">
        <v>985</v>
      </c>
      <c r="B839" s="93">
        <v>4718.3900000000003</v>
      </c>
      <c r="E839" s="93">
        <v>39.099999999999994</v>
      </c>
      <c r="F839" s="93">
        <v>43864.160000000003</v>
      </c>
      <c r="G839" s="93">
        <v>-428.78000000000003</v>
      </c>
      <c r="J839" s="3"/>
      <c r="N839" s="93">
        <v>213560.84</v>
      </c>
      <c r="O839" s="3">
        <f t="shared" si="26"/>
        <v>153347.09</v>
      </c>
      <c r="P839" s="93">
        <v>-459.67</v>
      </c>
      <c r="Q839" s="93">
        <v>-119.44</v>
      </c>
      <c r="R839" s="93">
        <v>2060.4499999999998</v>
      </c>
      <c r="S839" s="93">
        <v>-356.31</v>
      </c>
      <c r="T839" s="1">
        <f t="shared" si="25"/>
        <v>-1837.6499999999996</v>
      </c>
      <c r="U839" s="93">
        <v>213204.53</v>
      </c>
      <c r="V839" s="3">
        <f>U839-P839-N839-Q839-R839+N839-I840-G840-F840-D839-E839-B839-M838-R838-R837-Q838-Q837-P837-P838-K839-K838-I838-G838-F838-E838-E837-B838-B837-M837-D837-D838-M839-H838-C837-H840-K840-C838-L837-L838-L839-F839-G839-J838</f>
        <v>-1.3358203432289883E-11</v>
      </c>
    </row>
    <row r="840" spans="1:22" x14ac:dyDescent="0.25">
      <c r="A840" t="s">
        <v>986</v>
      </c>
      <c r="B840" s="49">
        <v>7799.0599999999995</v>
      </c>
      <c r="C840" s="49">
        <v>-744.53</v>
      </c>
      <c r="F840" s="93">
        <v>58102.590000000004</v>
      </c>
      <c r="G840" s="93">
        <v>-3200.35</v>
      </c>
      <c r="I840" s="93">
        <v>554.0200000000001</v>
      </c>
      <c r="J840" s="3"/>
      <c r="N840" s="49">
        <v>62232.4</v>
      </c>
      <c r="O840" s="3">
        <f t="shared" si="26"/>
        <v>-9.0949470177292824E-13</v>
      </c>
      <c r="P840" s="49">
        <v>-736.2</v>
      </c>
      <c r="Q840" s="49">
        <f>-368.77 -130.84</f>
        <v>-499.61</v>
      </c>
      <c r="S840" s="49">
        <v>-1235.81</v>
      </c>
      <c r="T840" s="1">
        <f t="shared" si="25"/>
        <v>0</v>
      </c>
      <c r="U840" s="49">
        <v>60996.59</v>
      </c>
      <c r="V840" s="1">
        <f>U840-P840-N840-Q840-R840+N840-I841-G841-F841-D840-E840-B840-K841-M840-H841-C840-L840-J840</f>
        <v>-1.1823431123048067E-11</v>
      </c>
    </row>
    <row r="841" spans="1:22" x14ac:dyDescent="0.25">
      <c r="A841" t="s">
        <v>987</v>
      </c>
      <c r="B841" s="57">
        <v>4814.62</v>
      </c>
      <c r="E841" s="57">
        <v>952.24</v>
      </c>
      <c r="F841" s="49">
        <v>63402.05</v>
      </c>
      <c r="G841" s="49">
        <v>-7999.1</v>
      </c>
      <c r="H841" s="49">
        <v>-266.58999999999997</v>
      </c>
      <c r="I841" s="49">
        <v>41.51</v>
      </c>
      <c r="J841" s="3"/>
      <c r="N841" s="57">
        <v>84037.93</v>
      </c>
      <c r="O841" s="3">
        <f t="shared" si="26"/>
        <v>-1.3642420526593924E-11</v>
      </c>
      <c r="P841" s="57">
        <v>-61.75</v>
      </c>
      <c r="Q841" s="57">
        <v>-123.17</v>
      </c>
      <c r="S841" s="57">
        <v>-184.92</v>
      </c>
      <c r="T841" s="1">
        <f t="shared" si="25"/>
        <v>0</v>
      </c>
      <c r="U841" s="57">
        <v>83853.009999999995</v>
      </c>
      <c r="V841" s="1">
        <f>U841-P841-N841-Q841-R841+N841-I842-G842-F842-D841-E841-B841-K842-M841-H842-C841-L841-J841</f>
        <v>-1.3642420526593924E-11</v>
      </c>
    </row>
    <row r="842" spans="1:22" x14ac:dyDescent="0.25">
      <c r="A842" t="s">
        <v>988</v>
      </c>
      <c r="B842" s="45">
        <v>10302.75</v>
      </c>
      <c r="E842" s="45">
        <v>18.34</v>
      </c>
      <c r="F842" s="57">
        <v>86579.94</v>
      </c>
      <c r="G842" s="57">
        <v>-8702.3700000000008</v>
      </c>
      <c r="H842" s="57">
        <v>-5.25</v>
      </c>
      <c r="I842" s="57">
        <v>398.75</v>
      </c>
      <c r="J842" s="3"/>
      <c r="N842" s="45">
        <v>64310.94</v>
      </c>
      <c r="O842" s="3">
        <f t="shared" si="26"/>
        <v>-3.637978807091713E-12</v>
      </c>
      <c r="P842" s="45">
        <v>-235.44</v>
      </c>
      <c r="Q842" s="45">
        <f>-119.36 -123.05</f>
        <v>-242.41</v>
      </c>
      <c r="S842" s="45">
        <v>-477.85</v>
      </c>
      <c r="T842" s="1">
        <f t="shared" si="25"/>
        <v>0</v>
      </c>
      <c r="U842" s="45">
        <v>63833.09</v>
      </c>
      <c r="V842" s="1">
        <f>U842-P842-N842-Q842-R842+N842-I843-G843-F843-D842-E842-B842-K843-M842-H843-C842-L842-J842</f>
        <v>6.2527760746888816E-12</v>
      </c>
    </row>
    <row r="843" spans="1:22" x14ac:dyDescent="0.25">
      <c r="A843" t="s">
        <v>989</v>
      </c>
      <c r="B843" s="13">
        <v>9049.4699999999993</v>
      </c>
      <c r="F843" s="45">
        <v>58202.399999999994</v>
      </c>
      <c r="G843" s="45">
        <v>-4189.3999999999996</v>
      </c>
      <c r="H843" s="45">
        <v>-110.63</v>
      </c>
      <c r="I843" s="45">
        <v>87.48</v>
      </c>
      <c r="J843" s="3"/>
      <c r="N843" s="13">
        <v>66197.22</v>
      </c>
      <c r="O843" s="3">
        <f t="shared" si="26"/>
        <v>9.0949470177292824E-12</v>
      </c>
      <c r="P843" s="13">
        <v>-405.8</v>
      </c>
      <c r="Q843" s="13">
        <f>-988.77 -124.24 -123.24</f>
        <v>-1236.25</v>
      </c>
      <c r="S843" s="13">
        <v>-1642.05</v>
      </c>
      <c r="T843" s="1">
        <f t="shared" si="25"/>
        <v>0</v>
      </c>
      <c r="U843" s="13">
        <v>64555.17</v>
      </c>
      <c r="V843" s="1">
        <f>U843-P843-N843-Q843-R843+N843-I844-G844-F844-D843-E843-B843-K844-M843-H844-C843-L843-J843</f>
        <v>5.6274984672199935E-12</v>
      </c>
    </row>
    <row r="844" spans="1:22" x14ac:dyDescent="0.25">
      <c r="A844" t="s">
        <v>990</v>
      </c>
      <c r="B844" s="33">
        <v>8955.25</v>
      </c>
      <c r="F844" s="13">
        <v>58443.909999999996</v>
      </c>
      <c r="G844" s="13">
        <v>-1028.44</v>
      </c>
      <c r="H844" s="13">
        <v>-275.66000000000003</v>
      </c>
      <c r="I844" s="13">
        <v>7.9399999999999995</v>
      </c>
      <c r="J844" s="3"/>
      <c r="O844" s="3">
        <f t="shared" si="26"/>
        <v>-61322.82</v>
      </c>
      <c r="P844" s="33">
        <v>-542.35</v>
      </c>
      <c r="Q844" s="33">
        <f>-363.7 -268.56</f>
        <v>-632.26</v>
      </c>
      <c r="T844" s="1">
        <f t="shared" si="25"/>
        <v>1174.6100000000001</v>
      </c>
    </row>
    <row r="845" spans="1:22" x14ac:dyDescent="0.25">
      <c r="A845" t="s">
        <v>991</v>
      </c>
      <c r="B845" s="33">
        <v>17161.7</v>
      </c>
      <c r="F845" s="33">
        <v>53602.47</v>
      </c>
      <c r="G845" s="33">
        <v>-1328.64</v>
      </c>
      <c r="H845" s="33">
        <v>-0.49</v>
      </c>
      <c r="I845" s="33">
        <v>94.22999999999999</v>
      </c>
      <c r="J845" s="3"/>
      <c r="M845" s="33">
        <v>20466.810000000001</v>
      </c>
      <c r="O845" s="3">
        <f t="shared" si="26"/>
        <v>-187092.92</v>
      </c>
      <c r="P845" s="33">
        <v>-786.99</v>
      </c>
      <c r="Q845" s="33">
        <v>-73.489999999999995</v>
      </c>
      <c r="R845" s="33">
        <v>1981.99</v>
      </c>
      <c r="T845" s="1">
        <f t="shared" si="25"/>
        <v>-1121.51</v>
      </c>
    </row>
    <row r="846" spans="1:22" x14ac:dyDescent="0.25">
      <c r="A846" t="s">
        <v>992</v>
      </c>
      <c r="B846" s="33">
        <v>3822.48</v>
      </c>
      <c r="F846" s="33">
        <v>149827.95000000001</v>
      </c>
      <c r="G846" s="33">
        <v>-363.53999999999996</v>
      </c>
      <c r="J846" s="3"/>
      <c r="N846" s="33">
        <v>371180.11</v>
      </c>
      <c r="O846" s="3">
        <f t="shared" si="26"/>
        <v>248415.73999999996</v>
      </c>
      <c r="P846" s="33">
        <v>-299.95999999999998</v>
      </c>
      <c r="Q846" s="33">
        <f>-123.16 -204.97 -248.53 -59.27</f>
        <v>-635.92999999999995</v>
      </c>
      <c r="S846" s="33">
        <v>-988.99</v>
      </c>
      <c r="T846" s="1">
        <f t="shared" si="25"/>
        <v>-53.10000000000008</v>
      </c>
      <c r="U846" s="33">
        <v>370191.12</v>
      </c>
      <c r="V846" s="3">
        <f>U846-P846-N846-Q846-R846+N846-I847-G847-F847-D846-E846-B846-M845-R845-R844-Q845-Q844-P844-P845-K846-K845-I845-G845-F845-E845-E844-B845-B844-M844-D844-D845-M846-H845-C844-H847-K847-C845-L844-L845-L846-F846-G846-J845</f>
        <v>-3.7289282772690058E-11</v>
      </c>
    </row>
    <row r="847" spans="1:22" x14ac:dyDescent="0.25">
      <c r="A847" t="s">
        <v>993</v>
      </c>
      <c r="B847" s="56">
        <v>5459.7300000000005</v>
      </c>
      <c r="C847" s="56">
        <v>-9.2199999999999989</v>
      </c>
      <c r="E847" s="56">
        <v>226.01</v>
      </c>
      <c r="F847" s="33">
        <v>120556.49</v>
      </c>
      <c r="G847" s="33">
        <v>-1614.6</v>
      </c>
      <c r="J847" s="3"/>
      <c r="N847" s="56">
        <v>156317.06</v>
      </c>
      <c r="O847" s="3">
        <f t="shared" si="26"/>
        <v>-4.0017766878008842E-11</v>
      </c>
      <c r="P847" s="56">
        <v>-1231.06</v>
      </c>
      <c r="Q847" s="56">
        <v>-156.18</v>
      </c>
      <c r="S847" s="56">
        <v>-1387.24</v>
      </c>
      <c r="T847" s="1">
        <f t="shared" si="25"/>
        <v>0</v>
      </c>
      <c r="U847" s="56">
        <v>154929.82</v>
      </c>
      <c r="V847" s="1">
        <f>U847-P847-N847-Q847-R847+N847-I848-G848-F848-D847-E847-B847-K848-M847-H848-C847-L847-J847</f>
        <v>-3.0960123353906965E-11</v>
      </c>
    </row>
    <row r="848" spans="1:22" x14ac:dyDescent="0.25">
      <c r="A848" t="s">
        <v>994</v>
      </c>
      <c r="B848" s="49">
        <v>3186.71</v>
      </c>
      <c r="F848" s="56">
        <v>154274.98000000001</v>
      </c>
      <c r="G848" s="56">
        <v>-3650.58</v>
      </c>
      <c r="H848" s="56">
        <v>-0.99</v>
      </c>
      <c r="I848" s="56">
        <v>17.13</v>
      </c>
      <c r="J848" s="49">
        <v>0.95</v>
      </c>
      <c r="N848" s="49">
        <v>74167.42</v>
      </c>
      <c r="O848" s="3">
        <f t="shared" si="26"/>
        <v>-1.1095790952708739E-11</v>
      </c>
      <c r="P848" s="49">
        <v>-715.38</v>
      </c>
      <c r="Q848" s="49">
        <f>-119.47 -28.57</f>
        <v>-148.04</v>
      </c>
      <c r="R848" s="49">
        <v>1.36</v>
      </c>
      <c r="S848" s="49">
        <v>-862.06</v>
      </c>
      <c r="T848" s="1">
        <f t="shared" si="25"/>
        <v>0</v>
      </c>
      <c r="U848" s="49">
        <v>73305.36</v>
      </c>
      <c r="V848" s="1">
        <f>U848-P848-N848-Q848-R848+N848-I849-G849-F849-D848-E848-B848-K849-M848-H849-C848-L848-J848</f>
        <v>-1.6325385487903077E-11</v>
      </c>
    </row>
    <row r="849" spans="1:22" x14ac:dyDescent="0.25">
      <c r="A849" t="s">
        <v>995</v>
      </c>
      <c r="B849" s="67">
        <v>8868.4</v>
      </c>
      <c r="F849" s="49">
        <v>72021.87000000001</v>
      </c>
      <c r="G849" s="49">
        <v>-939.12</v>
      </c>
      <c r="H849" s="49">
        <v>-102.99000000000001</v>
      </c>
      <c r="J849" s="3"/>
      <c r="O849" s="3">
        <f t="shared" si="26"/>
        <v>-178036.54</v>
      </c>
      <c r="P849" s="67">
        <v>-74.05</v>
      </c>
      <c r="Q849" s="67">
        <f>-370.26 -124.13</f>
        <v>-494.39</v>
      </c>
      <c r="T849" s="1">
        <f t="shared" si="25"/>
        <v>568.43999999999994</v>
      </c>
    </row>
    <row r="850" spans="1:22" x14ac:dyDescent="0.25">
      <c r="A850" t="s">
        <v>996</v>
      </c>
      <c r="B850" s="67">
        <v>6970.5</v>
      </c>
      <c r="E850" s="67">
        <v>60.910000000000004</v>
      </c>
      <c r="F850" s="67">
        <v>170501.07</v>
      </c>
      <c r="G850" s="67">
        <v>-1395.84</v>
      </c>
      <c r="H850" s="67">
        <v>-40.08</v>
      </c>
      <c r="I850" s="67">
        <v>102.99000000000001</v>
      </c>
      <c r="J850" s="3"/>
      <c r="N850" s="67">
        <v>239214.72</v>
      </c>
      <c r="O850" s="3">
        <f t="shared" si="26"/>
        <v>178036.53999999998</v>
      </c>
      <c r="P850" s="67">
        <v>-703.35</v>
      </c>
      <c r="Q850" s="67">
        <f>-246.58 -120.52 -4.86 -124.29</f>
        <v>-496.25000000000006</v>
      </c>
      <c r="S850" s="67">
        <v>-1768.04</v>
      </c>
      <c r="T850" s="1">
        <f t="shared" si="25"/>
        <v>-568.43999999999994</v>
      </c>
      <c r="U850" s="67">
        <v>237446.68</v>
      </c>
    </row>
    <row r="851" spans="1:22" x14ac:dyDescent="0.25">
      <c r="A851" t="s">
        <v>997</v>
      </c>
      <c r="B851" s="99">
        <v>6323.99</v>
      </c>
      <c r="E851" s="99">
        <v>61.45</v>
      </c>
      <c r="F851" s="67">
        <v>55735.040000000001</v>
      </c>
      <c r="G851" s="67">
        <v>-923.74</v>
      </c>
      <c r="H851" s="67">
        <v>-668.25</v>
      </c>
      <c r="I851" s="67">
        <v>3.7199999999999998</v>
      </c>
      <c r="J851" s="3"/>
      <c r="O851" s="3">
        <f t="shared" si="26"/>
        <v>-75621.59</v>
      </c>
      <c r="P851" s="99">
        <v>-1056.27</v>
      </c>
      <c r="Q851" s="99">
        <f>-248.42 -246.6</f>
        <v>-495.02</v>
      </c>
      <c r="T851" s="1">
        <f t="shared" si="25"/>
        <v>1551.29</v>
      </c>
    </row>
    <row r="852" spans="1:22" x14ac:dyDescent="0.25">
      <c r="A852" t="s">
        <v>998</v>
      </c>
      <c r="B852" s="99">
        <v>9098.0499999999993</v>
      </c>
      <c r="E852" s="99">
        <v>88.53</v>
      </c>
      <c r="F852" s="99">
        <v>70403.58</v>
      </c>
      <c r="G852" s="99">
        <v>-1084.2600000000002</v>
      </c>
      <c r="H852" s="99">
        <v>-83.17</v>
      </c>
      <c r="J852" s="3"/>
      <c r="M852" s="99">
        <v>44169.4</v>
      </c>
      <c r="O852" s="3">
        <f t="shared" si="26"/>
        <v>-108862.26000000001</v>
      </c>
      <c r="P852" s="99">
        <v>-291.2</v>
      </c>
      <c r="Q852" s="99">
        <v>-124.24</v>
      </c>
      <c r="R852" s="99">
        <v>124.49</v>
      </c>
      <c r="T852" s="1">
        <f t="shared" si="25"/>
        <v>290.95</v>
      </c>
    </row>
    <row r="853" spans="1:22" x14ac:dyDescent="0.25">
      <c r="A853" t="s">
        <v>999</v>
      </c>
      <c r="B853" s="99">
        <v>9095.9700000000012</v>
      </c>
      <c r="F853" s="99">
        <v>58470.2</v>
      </c>
      <c r="G853" s="99">
        <v>-2963.92</v>
      </c>
      <c r="J853" s="3"/>
      <c r="N853" s="99">
        <v>272238.96000000002</v>
      </c>
      <c r="O853" s="3">
        <f t="shared" si="26"/>
        <v>184483.85000000006</v>
      </c>
      <c r="P853" s="99">
        <v>-270.93</v>
      </c>
      <c r="Q853" s="99">
        <v>-192.48</v>
      </c>
      <c r="R853" s="99">
        <v>14999.42</v>
      </c>
      <c r="S853" s="99">
        <v>12693.77</v>
      </c>
      <c r="T853" s="1">
        <f t="shared" si="25"/>
        <v>-1842.2399999999996</v>
      </c>
      <c r="U853" s="99">
        <v>284932.73</v>
      </c>
      <c r="V853" s="3">
        <f>U853-P853-N853-Q853-R853+N853-I854-G854-F854-D853-E853-B853-M852-R852-R851-Q852-Q851-P851-P852-K853-K852-I852-G852-F852-E852-E851-B852-B851-M851-D851-D852-M853-H852-C851-H854-K854-C852-L851-L852-L853-F853-G853-J852</f>
        <v>2.3646862246096134E-11</v>
      </c>
    </row>
    <row r="854" spans="1:22" x14ac:dyDescent="0.25">
      <c r="A854" t="s">
        <v>1000</v>
      </c>
      <c r="B854" s="2">
        <v>6850.43</v>
      </c>
      <c r="E854" s="2">
        <v>85.83</v>
      </c>
      <c r="F854" s="99">
        <v>82030.11</v>
      </c>
      <c r="G854" s="99">
        <v>-3401.96</v>
      </c>
      <c r="I854" s="99">
        <v>30.99</v>
      </c>
      <c r="J854" s="3"/>
      <c r="N854" s="2">
        <v>87574.51</v>
      </c>
      <c r="O854" s="3">
        <f t="shared" si="26"/>
        <v>-2.0008883439004421E-11</v>
      </c>
      <c r="P854" s="2">
        <v>-111.42</v>
      </c>
      <c r="Q854" s="2">
        <v>-124.24</v>
      </c>
      <c r="S854" s="2">
        <v>-235.66</v>
      </c>
      <c r="T854" s="1">
        <f t="shared" si="25"/>
        <v>0</v>
      </c>
      <c r="U854" s="2">
        <v>87338.85</v>
      </c>
      <c r="V854" s="1">
        <f>U854-P854-N854-Q854-R854+N854-I855-G855-F855-D854-E854-B854-K855-M854-H855-C854-L854-J854</f>
        <v>-8.3630879998963792E-12</v>
      </c>
    </row>
    <row r="855" spans="1:22" x14ac:dyDescent="0.25">
      <c r="A855" t="s">
        <v>1001</v>
      </c>
      <c r="B855" s="43">
        <v>4951.8600000000006</v>
      </c>
      <c r="C855" s="43">
        <v>-95.13000000000001</v>
      </c>
      <c r="F855" s="2">
        <v>91593.840000000011</v>
      </c>
      <c r="G855" s="2">
        <v>-10931.36</v>
      </c>
      <c r="H855" s="2">
        <v>-47.550000000000004</v>
      </c>
      <c r="I855" s="2">
        <v>23.32</v>
      </c>
      <c r="J855" s="3"/>
      <c r="M855" s="43">
        <v>16003.32</v>
      </c>
      <c r="N855" s="43">
        <v>110326.68</v>
      </c>
      <c r="O855" s="3">
        <f t="shared" si="26"/>
        <v>-1.0913936421275139E-11</v>
      </c>
      <c r="P855" s="43">
        <v>-185.17</v>
      </c>
      <c r="Q855" s="43">
        <v>-139.69999999999999</v>
      </c>
      <c r="R855" s="43">
        <v>1052.6300000000001</v>
      </c>
      <c r="S855" s="43">
        <v>727.76</v>
      </c>
      <c r="T855" s="1">
        <f t="shared" si="25"/>
        <v>0</v>
      </c>
      <c r="U855" s="43">
        <v>111054.44</v>
      </c>
      <c r="V855" s="1">
        <f>U855-P855-N855-Q855-R855+N855-I856-G856-F856-D855-E855-B855-K856-M855-H856-C855-L855-J855</f>
        <v>6.7217342802905478E-12</v>
      </c>
    </row>
    <row r="856" spans="1:22" x14ac:dyDescent="0.25">
      <c r="A856" t="s">
        <v>1002</v>
      </c>
      <c r="B856" s="93">
        <v>9008.26</v>
      </c>
      <c r="E856" s="93">
        <v>241.60999999999999</v>
      </c>
      <c r="F856" s="43">
        <v>92632.38</v>
      </c>
      <c r="G856" s="43">
        <v>-2403.02</v>
      </c>
      <c r="H856" s="43">
        <v>-762.73</v>
      </c>
      <c r="J856" s="3"/>
      <c r="N856" s="93">
        <v>64951.040000000001</v>
      </c>
      <c r="O856" s="3">
        <f t="shared" ref="O856:O887" si="27">N856-K857-I857-H857-G857-F857-E856-D856-C856-B856-M856-L856-J856</f>
        <v>1.8189894035458565E-12</v>
      </c>
      <c r="P856" s="93">
        <v>-99.27</v>
      </c>
      <c r="S856" s="93">
        <v>-99.27</v>
      </c>
      <c r="T856" s="1">
        <f t="shared" ref="T856:T919" si="28">S856-R856-Q856-P856</f>
        <v>0</v>
      </c>
      <c r="U856" s="93">
        <v>64851.77</v>
      </c>
      <c r="V856" s="1">
        <f>U856-P856-N856-Q856-R856+N856-I857-G857-F857-D856-E856-B856-K857-M856-H857-C856-L856-J856</f>
        <v>-3.637978807091713E-12</v>
      </c>
    </row>
    <row r="857" spans="1:22" x14ac:dyDescent="0.25">
      <c r="A857" t="s">
        <v>1003</v>
      </c>
      <c r="B857" s="37">
        <v>9733.51</v>
      </c>
      <c r="E857" s="37">
        <v>14.41</v>
      </c>
      <c r="F857" s="93">
        <v>57296.49</v>
      </c>
      <c r="G857" s="93">
        <v>-1185.3699999999999</v>
      </c>
      <c r="H857" s="93">
        <v>-992.46</v>
      </c>
      <c r="I857" s="93">
        <v>582.51</v>
      </c>
      <c r="J857" s="3"/>
      <c r="N857" s="37">
        <v>76858.22</v>
      </c>
      <c r="O857" s="3">
        <f t="shared" si="27"/>
        <v>1.2732925824820995E-11</v>
      </c>
      <c r="P857" s="37">
        <v>-140.56</v>
      </c>
      <c r="Q857" s="37">
        <v>-124.05</v>
      </c>
      <c r="S857" s="37">
        <v>-264.61</v>
      </c>
      <c r="T857" s="1">
        <f t="shared" si="28"/>
        <v>0</v>
      </c>
      <c r="U857" s="37">
        <v>76593.61</v>
      </c>
      <c r="V857" s="1">
        <f>U857-P857-N857-Q857-R857+N857-I858-G858-F858-D857-E857-B857-K858-M857-H858-C857-L857-J857</f>
        <v>1.2732925824820995E-11</v>
      </c>
    </row>
    <row r="858" spans="1:22" x14ac:dyDescent="0.25">
      <c r="A858" t="s">
        <v>1004</v>
      </c>
      <c r="B858" s="6">
        <v>10782.97</v>
      </c>
      <c r="F858" s="37">
        <v>79882.209999999992</v>
      </c>
      <c r="G858" s="37">
        <v>-12771.91</v>
      </c>
      <c r="J858" s="3"/>
      <c r="O858" s="3">
        <f t="shared" si="27"/>
        <v>-61546.15</v>
      </c>
      <c r="P858" s="6">
        <v>-138.55000000000001</v>
      </c>
      <c r="Q858" s="6">
        <v>-372.71</v>
      </c>
      <c r="T858" s="1">
        <f t="shared" si="28"/>
        <v>511.26</v>
      </c>
    </row>
    <row r="859" spans="1:22" x14ac:dyDescent="0.25">
      <c r="A859" t="s">
        <v>1005</v>
      </c>
      <c r="B859" s="6">
        <v>7133.21</v>
      </c>
      <c r="F859" s="6">
        <v>52780.17</v>
      </c>
      <c r="G859" s="6">
        <v>-2004.82</v>
      </c>
      <c r="H859" s="6">
        <v>-12.17</v>
      </c>
      <c r="J859" s="3"/>
      <c r="M859" s="6">
        <v>25373.15</v>
      </c>
      <c r="O859" s="3">
        <f t="shared" si="27"/>
        <v>-83904.68</v>
      </c>
      <c r="P859" s="6">
        <v>-867.91</v>
      </c>
      <c r="Q859" s="6">
        <v>-11.85</v>
      </c>
      <c r="T859" s="1">
        <f t="shared" si="28"/>
        <v>879.76</v>
      </c>
    </row>
    <row r="860" spans="1:22" x14ac:dyDescent="0.25">
      <c r="A860" t="s">
        <v>1006</v>
      </c>
      <c r="B860" s="6">
        <v>4084.0699999999997</v>
      </c>
      <c r="F860" s="6">
        <v>54584.3</v>
      </c>
      <c r="G860" s="6">
        <v>-3185.98</v>
      </c>
      <c r="J860" s="3"/>
      <c r="N860" s="6">
        <v>222009.43</v>
      </c>
      <c r="O860" s="3">
        <f t="shared" si="27"/>
        <v>145450.82999999996</v>
      </c>
      <c r="P860" s="6">
        <v>-106.61</v>
      </c>
      <c r="Q860" s="6">
        <v>-119.44</v>
      </c>
      <c r="R860" s="6">
        <v>2381.75</v>
      </c>
      <c r="S860" s="6">
        <v>764.68</v>
      </c>
      <c r="T860" s="1">
        <f t="shared" si="28"/>
        <v>-1391.0200000000002</v>
      </c>
      <c r="U860" s="6">
        <v>222774.11</v>
      </c>
      <c r="V860" s="3">
        <f>U860-P860-N860-Q860-R860+N860-I861-G861-F861-D860-E860-B860-M859-R859-R858-Q859-Q858-P858-P859-K860-K859-I859-G859-F859-E859-E858-B859-B858-M858-D858-D859-M860-H859-C858-H861-K861-C859-L858-L859-L860-F860-G860-J859</f>
        <v>-3.2287061912938952E-11</v>
      </c>
    </row>
    <row r="861" spans="1:22" x14ac:dyDescent="0.25">
      <c r="A861" t="s">
        <v>1007</v>
      </c>
      <c r="B861" s="5">
        <v>6999.11</v>
      </c>
      <c r="C861" s="5">
        <v>-1015.1999999999999</v>
      </c>
      <c r="E861" s="5">
        <v>8.35</v>
      </c>
      <c r="F861" s="6">
        <v>79410.52</v>
      </c>
      <c r="G861" s="6">
        <v>-6945.08</v>
      </c>
      <c r="I861" s="6">
        <v>9.09</v>
      </c>
      <c r="J861" s="3"/>
      <c r="N861" s="5">
        <v>52055.11</v>
      </c>
      <c r="O861" s="3">
        <f t="shared" si="27"/>
        <v>1.8189894035458565E-12</v>
      </c>
      <c r="P861" s="5">
        <v>-465.53</v>
      </c>
      <c r="Q861" s="5">
        <f>-14.22 -14.34</f>
        <v>-28.560000000000002</v>
      </c>
      <c r="S861" s="5">
        <v>-494.09</v>
      </c>
      <c r="T861" s="1">
        <f t="shared" si="28"/>
        <v>0</v>
      </c>
      <c r="U861" s="5">
        <v>51561.02</v>
      </c>
      <c r="V861" s="1">
        <f>U861-P861-N861-Q861-R861+N861-I862-G862-F862-D861-E861-B861-K862-M861-H862-C861-L861-J861</f>
        <v>-7.617018127348274E-12</v>
      </c>
    </row>
    <row r="862" spans="1:22" x14ac:dyDescent="0.25">
      <c r="A862" t="s">
        <v>1008</v>
      </c>
      <c r="B862" s="43">
        <v>7405.13</v>
      </c>
      <c r="E862" s="43">
        <v>17.86</v>
      </c>
      <c r="F862" s="5">
        <v>51281.79</v>
      </c>
      <c r="G862" s="5">
        <v>-3969.54</v>
      </c>
      <c r="H862" s="5">
        <v>-1296.94</v>
      </c>
      <c r="I862" s="5">
        <v>47.54</v>
      </c>
      <c r="J862" s="3"/>
      <c r="N862" s="43">
        <v>81877.02</v>
      </c>
      <c r="O862" s="3">
        <f t="shared" si="27"/>
        <v>5.4569682106375694E-12</v>
      </c>
      <c r="P862" s="43">
        <v>-200.57</v>
      </c>
      <c r="S862" s="43">
        <v>-200.57</v>
      </c>
      <c r="T862" s="1">
        <f t="shared" si="28"/>
        <v>0</v>
      </c>
      <c r="U862" s="43">
        <v>81676.45</v>
      </c>
      <c r="V862" s="1">
        <f>U862-P862-N862-Q862-R862+N862-I863-G863-F863-D862-E862-B862-K863-M862-H863-C862-L862-J862</f>
        <v>3.1263880373444408E-12</v>
      </c>
    </row>
    <row r="863" spans="1:22" x14ac:dyDescent="0.25">
      <c r="A863" t="s">
        <v>1009</v>
      </c>
      <c r="B863" s="53">
        <v>6620.54</v>
      </c>
      <c r="E863" s="53">
        <v>2.1300000000000003</v>
      </c>
      <c r="F863" s="43">
        <v>75875.740000000005</v>
      </c>
      <c r="G863" s="43">
        <v>-992.41</v>
      </c>
      <c r="H863" s="43">
        <v>-446.94</v>
      </c>
      <c r="I863" s="43">
        <v>17.64</v>
      </c>
      <c r="J863" s="3"/>
      <c r="N863" s="53">
        <v>101115.01</v>
      </c>
      <c r="O863" s="3">
        <f t="shared" si="27"/>
        <v>-1.6370904631912708E-11</v>
      </c>
      <c r="P863" s="53">
        <v>-540.66</v>
      </c>
      <c r="S863" s="53">
        <v>-540.66</v>
      </c>
      <c r="T863" s="1">
        <f t="shared" si="28"/>
        <v>0</v>
      </c>
      <c r="U863" s="53">
        <v>100574.35</v>
      </c>
      <c r="V863" s="1">
        <f>U863-P863-N863-Q863-R863+N863-I864-G864-F864-D863-E863-B863-K864-M863-H864-C863-L863-J863</f>
        <v>1.0942358130705543E-12</v>
      </c>
    </row>
    <row r="864" spans="1:22" x14ac:dyDescent="0.25">
      <c r="A864" t="s">
        <v>1010</v>
      </c>
      <c r="B864" s="82">
        <v>3791.8799999999997</v>
      </c>
      <c r="C864" s="82">
        <v>-95.25</v>
      </c>
      <c r="D864" s="82">
        <v>738.96</v>
      </c>
      <c r="F864" s="53">
        <v>94938.23000000001</v>
      </c>
      <c r="G864" s="53">
        <v>-404.87</v>
      </c>
      <c r="H864" s="53">
        <v>-42.95</v>
      </c>
      <c r="I864" s="53">
        <v>1.93</v>
      </c>
      <c r="J864" s="3"/>
      <c r="N864" s="82">
        <v>67576.7</v>
      </c>
      <c r="O864" s="3">
        <f t="shared" si="27"/>
        <v>4.0927261579781771E-12</v>
      </c>
      <c r="P864" s="82">
        <v>-131.18</v>
      </c>
      <c r="Q864" s="82">
        <v>-24.82</v>
      </c>
      <c r="S864" s="82">
        <v>-156</v>
      </c>
      <c r="T864" s="1">
        <f t="shared" si="28"/>
        <v>0</v>
      </c>
      <c r="U864" s="82">
        <v>67420.7</v>
      </c>
      <c r="V864" s="1">
        <f>U864-P864-N864-Q864-R864+N864-I865-G865-F865-D864-E864-B864-K865-M864-H865-C864-L864-J864</f>
        <v>2.8421709430404007E-14</v>
      </c>
    </row>
    <row r="865" spans="1:22" x14ac:dyDescent="0.25">
      <c r="A865" t="s">
        <v>1011</v>
      </c>
      <c r="B865" s="47">
        <v>5476.66</v>
      </c>
      <c r="F865" s="82">
        <v>65478.93</v>
      </c>
      <c r="G865" s="82">
        <v>-2267</v>
      </c>
      <c r="H865" s="82">
        <v>-176.77</v>
      </c>
      <c r="I865" s="82">
        <v>105.94999999999999</v>
      </c>
      <c r="J865" s="3"/>
      <c r="O865" s="3">
        <f t="shared" si="27"/>
        <v>-61810.44</v>
      </c>
      <c r="P865" s="47">
        <v>-294.83999999999997</v>
      </c>
      <c r="Q865" s="47">
        <v>-14.19</v>
      </c>
      <c r="T865" s="1">
        <f t="shared" si="28"/>
        <v>309.02999999999997</v>
      </c>
    </row>
    <row r="866" spans="1:22" x14ac:dyDescent="0.25">
      <c r="A866" t="s">
        <v>1012</v>
      </c>
      <c r="B866" s="47">
        <v>5553.95</v>
      </c>
      <c r="F866" s="47">
        <v>56795.01</v>
      </c>
      <c r="G866" s="47">
        <v>-391.29</v>
      </c>
      <c r="H866" s="47">
        <v>-191.17000000000002</v>
      </c>
      <c r="I866" s="47">
        <v>121.22999999999999</v>
      </c>
      <c r="J866" s="3"/>
      <c r="M866" s="47">
        <v>19268.169999999998</v>
      </c>
      <c r="O866" s="3">
        <f t="shared" si="27"/>
        <v>-91908.67</v>
      </c>
      <c r="P866" s="47">
        <v>-320.04000000000002</v>
      </c>
      <c r="Q866" s="47">
        <v>-26.03</v>
      </c>
      <c r="R866" s="47">
        <v>2337.54</v>
      </c>
      <c r="T866" s="1">
        <f t="shared" si="28"/>
        <v>-1991.4699999999998</v>
      </c>
    </row>
    <row r="867" spans="1:22" x14ac:dyDescent="0.25">
      <c r="A867" t="s">
        <v>1013</v>
      </c>
      <c r="B867" s="47">
        <v>2009.89</v>
      </c>
      <c r="E867" s="47">
        <v>623.01</v>
      </c>
      <c r="F867" s="47">
        <v>69811.75</v>
      </c>
      <c r="G867" s="47">
        <v>-2725.2000000000003</v>
      </c>
      <c r="J867" s="3"/>
      <c r="N867" s="47">
        <v>202869.54</v>
      </c>
      <c r="O867" s="3">
        <f t="shared" si="27"/>
        <v>153719.10999999999</v>
      </c>
      <c r="P867" s="47">
        <v>-298.38</v>
      </c>
      <c r="S867" s="47">
        <v>1384.06</v>
      </c>
      <c r="T867" s="1">
        <f t="shared" si="28"/>
        <v>1682.44</v>
      </c>
      <c r="U867" s="47">
        <v>204253.6</v>
      </c>
      <c r="V867" s="3">
        <f>U867-P867-N867-Q867-R867+N867-I868-G868-F868-D867-E867-B867-M866-R866-R865-Q866-Q865-P865-P866-K867-K866-I866-G866-F866-E866-E865-B866-B865-M865-D865-D866-M867-H866-C865-H868-K868-C866-L865-L866-L867-F867-G867-J866</f>
        <v>-1.1368683772161603E-11</v>
      </c>
    </row>
    <row r="868" spans="1:22" x14ac:dyDescent="0.25">
      <c r="A868" t="s">
        <v>1014</v>
      </c>
      <c r="B868" s="37">
        <v>5475.8700000000008</v>
      </c>
      <c r="D868" s="37">
        <v>95.29</v>
      </c>
      <c r="F868" s="47">
        <v>48598.3</v>
      </c>
      <c r="G868" s="47">
        <v>-2148.98</v>
      </c>
      <c r="I868" s="47">
        <v>68.210000000000008</v>
      </c>
      <c r="J868" s="3"/>
      <c r="N868" s="37">
        <v>63160.57</v>
      </c>
      <c r="O868" s="3">
        <f t="shared" si="27"/>
        <v>-4.5474735088646412E-12</v>
      </c>
      <c r="P868" s="37">
        <v>-387</v>
      </c>
      <c r="Q868" s="37">
        <v>-119.22</v>
      </c>
      <c r="S868" s="37">
        <v>-506.22</v>
      </c>
      <c r="T868" s="1">
        <f t="shared" si="28"/>
        <v>0</v>
      </c>
      <c r="U868" s="37">
        <v>62654.35</v>
      </c>
      <c r="V868" s="1">
        <f>U868-P868-N868-Q868-R868+N868-I869-G869-F869-D868-E868-B868-K869-M868-H869-C868-L868-J868</f>
        <v>-4.2632564145606011E-12</v>
      </c>
    </row>
    <row r="869" spans="1:22" x14ac:dyDescent="0.25">
      <c r="A869" t="s">
        <v>1015</v>
      </c>
      <c r="B869" s="9">
        <v>4638.22</v>
      </c>
      <c r="F869" s="37">
        <v>59093.420000000006</v>
      </c>
      <c r="G869" s="37">
        <v>-1506.23</v>
      </c>
      <c r="H869" s="37">
        <v>-81.819999999999993</v>
      </c>
      <c r="I869" s="37">
        <v>84.04</v>
      </c>
      <c r="J869" s="3"/>
      <c r="N869" s="9">
        <v>72999.38</v>
      </c>
      <c r="O869" s="3">
        <f t="shared" si="27"/>
        <v>9.0949470177292824E-13</v>
      </c>
      <c r="P869" s="9">
        <v>-2205.17</v>
      </c>
      <c r="S869" s="9">
        <v>-2205.17</v>
      </c>
      <c r="T869" s="1">
        <f t="shared" si="28"/>
        <v>0</v>
      </c>
      <c r="U869" s="9">
        <v>70794.210000000006</v>
      </c>
      <c r="V869" s="1">
        <f>U869-P869-N869-Q869-R869+N869-I870-G870-F870-D869-E869-B869-K870-M869-H870-C869-L869-J869</f>
        <v>9.0949470177292824E-13</v>
      </c>
    </row>
    <row r="870" spans="1:22" x14ac:dyDescent="0.25">
      <c r="A870" t="s">
        <v>1016</v>
      </c>
      <c r="B870" s="107">
        <v>4655.25</v>
      </c>
      <c r="E870" s="107">
        <v>79.739999999999995</v>
      </c>
      <c r="F870" s="9">
        <v>69267.94</v>
      </c>
      <c r="G870" s="9">
        <v>-998.27</v>
      </c>
      <c r="I870" s="9">
        <v>91.490000000000009</v>
      </c>
      <c r="J870" s="3"/>
      <c r="N870" s="107">
        <v>92169.46</v>
      </c>
      <c r="O870" s="3">
        <f t="shared" si="27"/>
        <v>-9.0949470177292824E-12</v>
      </c>
      <c r="P870" s="107">
        <v>-548.4</v>
      </c>
      <c r="S870" s="107">
        <v>-548.4</v>
      </c>
      <c r="T870" s="1">
        <f t="shared" si="28"/>
        <v>0</v>
      </c>
      <c r="U870" s="107">
        <v>91621.06</v>
      </c>
      <c r="V870" s="1">
        <f>U870-P870-N870-Q870-R870+N870-I871-G871-F871-D870-E870-B870-K871-M870-H871-C870-L870-J870</f>
        <v>-1.8985701899509877E-11</v>
      </c>
    </row>
    <row r="871" spans="1:22" x14ac:dyDescent="0.25">
      <c r="A871" t="s">
        <v>1017</v>
      </c>
      <c r="B871" s="57">
        <v>6811</v>
      </c>
      <c r="F871" s="107">
        <v>88146.23000000001</v>
      </c>
      <c r="G871" s="107">
        <v>-424.14</v>
      </c>
      <c r="H871" s="107">
        <v>-287.62</v>
      </c>
      <c r="J871" s="3"/>
      <c r="N871" s="57">
        <v>64413.09</v>
      </c>
      <c r="O871" s="3">
        <f t="shared" si="27"/>
        <v>0</v>
      </c>
      <c r="P871" s="57">
        <v>-529.87</v>
      </c>
      <c r="Q871" s="57">
        <v>-108.94</v>
      </c>
      <c r="S871" s="57">
        <v>-638.80999999999995</v>
      </c>
      <c r="T871" s="1">
        <f t="shared" si="28"/>
        <v>0</v>
      </c>
      <c r="U871" s="57">
        <v>63774.28</v>
      </c>
      <c r="V871" s="1">
        <f>U871-P871-N871-Q871-R871+N871-I872-G872-F872-D871-E871-B871-K872-M871-H872-C871-L871-J871</f>
        <v>7.2759576141834259E-12</v>
      </c>
    </row>
    <row r="872" spans="1:22" x14ac:dyDescent="0.25">
      <c r="A872" t="s">
        <v>1018</v>
      </c>
      <c r="B872" s="38">
        <v>4109.08</v>
      </c>
      <c r="F872" s="57">
        <v>58531.35</v>
      </c>
      <c r="G872" s="57">
        <v>-929.26</v>
      </c>
      <c r="J872" s="3"/>
      <c r="O872" s="3">
        <f t="shared" si="27"/>
        <v>-54071.19</v>
      </c>
      <c r="P872" s="38">
        <v>-362.17</v>
      </c>
      <c r="T872" s="1">
        <f t="shared" si="28"/>
        <v>362.17</v>
      </c>
    </row>
    <row r="873" spans="1:22" x14ac:dyDescent="0.25">
      <c r="A873" t="s">
        <v>1019</v>
      </c>
      <c r="B873" s="38">
        <v>2796.45</v>
      </c>
      <c r="F873" s="38">
        <v>51695.040000000001</v>
      </c>
      <c r="G873" s="38">
        <v>-1788.76</v>
      </c>
      <c r="H873" s="38">
        <v>-94.75</v>
      </c>
      <c r="I873" s="38">
        <v>150.57999999999998</v>
      </c>
      <c r="J873" s="3"/>
      <c r="M873" s="38">
        <v>20098.75</v>
      </c>
      <c r="O873" s="3">
        <f t="shared" si="27"/>
        <v>-44423.64</v>
      </c>
      <c r="P873" s="38">
        <v>-1146.92</v>
      </c>
      <c r="R873" s="38">
        <v>2043.82</v>
      </c>
      <c r="T873" s="1">
        <f t="shared" si="28"/>
        <v>-896.89999999999986</v>
      </c>
    </row>
    <row r="874" spans="1:22" x14ac:dyDescent="0.25">
      <c r="A874" t="s">
        <v>1020</v>
      </c>
      <c r="B874" s="38">
        <v>1945.35</v>
      </c>
      <c r="F874" s="38">
        <v>22197.789999999997</v>
      </c>
      <c r="G874" s="38">
        <v>-669.35</v>
      </c>
      <c r="J874" s="3"/>
      <c r="N874" s="38">
        <v>128164.74</v>
      </c>
      <c r="O874" s="3">
        <f t="shared" si="27"/>
        <v>98494.83</v>
      </c>
      <c r="P874" s="38">
        <v>-339.47</v>
      </c>
      <c r="Q874" s="38">
        <f>-25.07 -49.86 -28.65</f>
        <v>-103.58000000000001</v>
      </c>
      <c r="S874" s="38">
        <v>91.68</v>
      </c>
      <c r="T874" s="1">
        <f t="shared" si="28"/>
        <v>534.73</v>
      </c>
      <c r="U874" s="38">
        <v>128256.42</v>
      </c>
      <c r="V874" s="3">
        <f>U874-P874-N874-Q874-R874+N874-I875-G875-F875-D874-E874-B874-M873-R873-R872-Q873-Q872-P872-P873-K874-K873-I873-G873-F873-E873-E872-B873-B872-M872-D872-D873-M874-H873-C872-H875-K875-C873-L872-L873-L874-F874-G874-J873</f>
        <v>-1.6711965145077556E-11</v>
      </c>
    </row>
    <row r="875" spans="1:22" x14ac:dyDescent="0.25">
      <c r="A875" t="s">
        <v>1021</v>
      </c>
      <c r="B875" s="62">
        <v>6584.04</v>
      </c>
      <c r="E875" s="62">
        <v>275.76</v>
      </c>
      <c r="F875" s="38">
        <v>27975.350000000002</v>
      </c>
      <c r="G875" s="38">
        <v>-280.19</v>
      </c>
      <c r="I875" s="38">
        <v>29.4</v>
      </c>
      <c r="J875" s="3"/>
      <c r="N875" s="62">
        <v>59755.82</v>
      </c>
      <c r="O875" s="3">
        <f t="shared" si="27"/>
        <v>2.7284841053187847E-12</v>
      </c>
      <c r="P875" s="62">
        <v>-359.74</v>
      </c>
      <c r="Q875" s="62">
        <v>-119.42</v>
      </c>
      <c r="S875" s="62">
        <v>-479.16</v>
      </c>
      <c r="T875" s="1">
        <f t="shared" si="28"/>
        <v>0</v>
      </c>
      <c r="U875" s="62">
        <v>59276.66</v>
      </c>
      <c r="V875" s="1">
        <f>U875-P875-N875-Q875-R875+N875-I876-G876-F876-D875-E875-B875-K876-M875-H876-C875-L875-J875</f>
        <v>-4.6895820560166612E-13</v>
      </c>
    </row>
    <row r="876" spans="1:22" x14ac:dyDescent="0.25">
      <c r="A876" t="s">
        <v>1022</v>
      </c>
      <c r="B876" s="2">
        <v>8512.19</v>
      </c>
      <c r="F876" s="62">
        <v>54736.18</v>
      </c>
      <c r="G876" s="62">
        <v>-1843.04</v>
      </c>
      <c r="H876" s="62">
        <v>-127.73</v>
      </c>
      <c r="I876" s="62">
        <v>130.61000000000001</v>
      </c>
      <c r="J876" s="3"/>
      <c r="N876" s="2">
        <v>79091.77</v>
      </c>
      <c r="O876" s="3">
        <f t="shared" si="27"/>
        <v>1.8189894035458565E-12</v>
      </c>
      <c r="P876" s="2">
        <v>-1635.72</v>
      </c>
      <c r="Q876" s="2">
        <f>-119.22 -11.94 -35.5 -14.19</f>
        <v>-180.85</v>
      </c>
      <c r="S876" s="2">
        <v>-1816.57</v>
      </c>
      <c r="T876" s="1">
        <f t="shared" si="28"/>
        <v>0</v>
      </c>
      <c r="U876" s="2">
        <v>77275.199999999997</v>
      </c>
      <c r="V876" s="1">
        <f>U876-P876-N876-Q876-R876+N876-I877-G877-F877-D876-E876-B876-K877-M876-H877-C876-L876-J876</f>
        <v>1.8189894035458565E-12</v>
      </c>
    </row>
    <row r="877" spans="1:22" x14ac:dyDescent="0.25">
      <c r="A877" t="s">
        <v>1023</v>
      </c>
      <c r="B877" s="37">
        <v>6686.81</v>
      </c>
      <c r="F877" s="2">
        <v>73168.12</v>
      </c>
      <c r="G877" s="2">
        <v>-2509.36</v>
      </c>
      <c r="H877" s="2">
        <v>-142</v>
      </c>
      <c r="I877" s="2">
        <v>62.82</v>
      </c>
      <c r="J877" s="3"/>
      <c r="N877" s="37">
        <v>68041.25</v>
      </c>
      <c r="O877" s="3">
        <f t="shared" si="27"/>
        <v>-1.0004441719502211E-11</v>
      </c>
      <c r="P877" s="37">
        <v>-522.54999999999995</v>
      </c>
      <c r="Q877" s="37">
        <f>-40.26 -31.05</f>
        <v>-71.31</v>
      </c>
      <c r="S877" s="37">
        <v>-593.86</v>
      </c>
      <c r="T877" s="1">
        <f t="shared" si="28"/>
        <v>0</v>
      </c>
      <c r="U877" s="37">
        <v>67447.39</v>
      </c>
      <c r="V877" s="1">
        <f>U877-P877-N877-Q877-R877+N877-I878-G878-F878-D877-E877-B877-K878-M877-H878-C877-L877-J877</f>
        <v>-1.2327916465437738E-11</v>
      </c>
    </row>
    <row r="878" spans="1:22" x14ac:dyDescent="0.25">
      <c r="A878" t="s">
        <v>1024</v>
      </c>
      <c r="B878" s="39">
        <v>6800.86</v>
      </c>
      <c r="E878" s="39">
        <v>62.269999999999996</v>
      </c>
      <c r="F878" s="37">
        <v>62306.920000000006</v>
      </c>
      <c r="G878" s="37">
        <v>-917.29000000000008</v>
      </c>
      <c r="H878" s="37">
        <v>-35.190000000000005</v>
      </c>
      <c r="J878" s="3"/>
      <c r="N878" s="39">
        <v>86531.47</v>
      </c>
      <c r="O878" s="3">
        <f t="shared" si="27"/>
        <v>-1.0004441719502211E-11</v>
      </c>
      <c r="P878" s="39">
        <v>-745.4</v>
      </c>
      <c r="S878" s="39">
        <v>-745.4</v>
      </c>
      <c r="T878" s="1">
        <f t="shared" si="28"/>
        <v>0</v>
      </c>
      <c r="U878" s="39">
        <v>85786.07</v>
      </c>
      <c r="V878" s="1">
        <f>U878-P878-N878-Q878-R878+N878-I879-G879-F879-D878-E878-B878-K879-M878-H879-C878-L878-J878</f>
        <v>-1.1745271422114456E-11</v>
      </c>
    </row>
    <row r="879" spans="1:22" x14ac:dyDescent="0.25">
      <c r="A879" t="s">
        <v>1025</v>
      </c>
      <c r="B879" s="6">
        <v>6136.37</v>
      </c>
      <c r="F879" s="39">
        <v>80264.060000000012</v>
      </c>
      <c r="G879" s="39">
        <v>-715.53</v>
      </c>
      <c r="H879" s="39">
        <v>-56.080000000000005</v>
      </c>
      <c r="I879" s="39">
        <v>175.89</v>
      </c>
      <c r="J879" s="3"/>
      <c r="O879" s="3">
        <f t="shared" si="27"/>
        <v>-62731.470000000008</v>
      </c>
      <c r="P879" s="6">
        <v>-461.29</v>
      </c>
      <c r="T879" s="1">
        <f t="shared" si="28"/>
        <v>461.29</v>
      </c>
    </row>
    <row r="880" spans="1:22" x14ac:dyDescent="0.25">
      <c r="A880" t="s">
        <v>1026</v>
      </c>
      <c r="B880" s="6">
        <v>3960.35</v>
      </c>
      <c r="F880" s="6">
        <v>59446.520000000004</v>
      </c>
      <c r="G880" s="6">
        <v>-2851.42</v>
      </c>
      <c r="J880" s="3"/>
      <c r="M880" s="6">
        <v>39198.239999999998</v>
      </c>
      <c r="O880" s="3">
        <f t="shared" si="27"/>
        <v>-81714.64</v>
      </c>
      <c r="P880" s="6">
        <v>-0.5</v>
      </c>
      <c r="Q880" s="6">
        <v>-357.61</v>
      </c>
      <c r="T880" s="1">
        <f t="shared" si="28"/>
        <v>358.11</v>
      </c>
    </row>
    <row r="881" spans="1:22" x14ac:dyDescent="0.25">
      <c r="A881" t="s">
        <v>1027</v>
      </c>
      <c r="B881" s="6">
        <v>4738.3900000000003</v>
      </c>
      <c r="F881" s="6">
        <v>39109.69</v>
      </c>
      <c r="G881" s="6">
        <v>-553.64</v>
      </c>
      <c r="J881" s="3"/>
      <c r="N881" s="6">
        <v>191852.96</v>
      </c>
      <c r="O881" s="3">
        <f t="shared" si="27"/>
        <v>144446.10999999999</v>
      </c>
      <c r="P881" s="6">
        <v>-480.9</v>
      </c>
      <c r="Q881" s="6">
        <v>-11.85</v>
      </c>
      <c r="R881" s="6">
        <v>18634.78</v>
      </c>
      <c r="S881" s="6">
        <v>17322.63</v>
      </c>
      <c r="T881" s="1">
        <f t="shared" si="28"/>
        <v>-819.39999999999793</v>
      </c>
      <c r="U881" s="6">
        <v>209175.59</v>
      </c>
      <c r="V881" s="3">
        <f>U881-P881-N881-Q881-R881+N881-I882-G882-F882-D881-E881-B881-M880-R880-R879-Q880-Q879-P879-P880-K881-K880-I880-G880-F880-E880-E879-B880-B879-M879-D879-D880-M881-H880-C879-H882-K882-C880-L879-L880-L881-F881-G881-J880</f>
        <v>-1.3983481039758772E-11</v>
      </c>
    </row>
    <row r="882" spans="1:22" x14ac:dyDescent="0.25">
      <c r="A882" t="s">
        <v>1028</v>
      </c>
      <c r="B882" s="13">
        <v>6535.71</v>
      </c>
      <c r="E882" s="13">
        <v>13.26</v>
      </c>
      <c r="F882" s="6">
        <v>42921.380000000005</v>
      </c>
      <c r="G882" s="6">
        <v>-252.92000000000002</v>
      </c>
      <c r="J882" s="3"/>
      <c r="N882" s="13">
        <v>59699.34</v>
      </c>
      <c r="O882" s="3">
        <f t="shared" si="27"/>
        <v>9.0949470177292824E-13</v>
      </c>
      <c r="P882" s="13">
        <v>-726.22</v>
      </c>
      <c r="S882" s="13">
        <v>-726.22</v>
      </c>
      <c r="T882" s="1">
        <f t="shared" si="28"/>
        <v>0</v>
      </c>
      <c r="U882" s="13">
        <v>58973.120000000003</v>
      </c>
      <c r="V882" s="1">
        <f>U882-P882-N882-Q882-R882+N882-I883-G883-F883-D882-E882-B882-K883-M882-H883-C882-L882-J882</f>
        <v>9.0949470177292824E-13</v>
      </c>
    </row>
    <row r="883" spans="1:22" x14ac:dyDescent="0.25">
      <c r="A883" t="s">
        <v>1029</v>
      </c>
      <c r="B883" s="9">
        <v>5231.63</v>
      </c>
      <c r="F883" s="13">
        <v>66022.39</v>
      </c>
      <c r="G883" s="13">
        <v>-12925.27</v>
      </c>
      <c r="I883" s="13">
        <v>53.25</v>
      </c>
      <c r="J883" s="3"/>
      <c r="N883" s="9">
        <v>68401.75</v>
      </c>
      <c r="O883" s="3">
        <f t="shared" si="27"/>
        <v>-2.7284841053187847E-12</v>
      </c>
      <c r="P883" s="9">
        <f>-618.66</f>
        <v>-618.66</v>
      </c>
      <c r="Q883" s="9">
        <v>-139.22999999999999</v>
      </c>
      <c r="S883" s="9">
        <v>-757.89</v>
      </c>
      <c r="T883" s="1">
        <f t="shared" si="28"/>
        <v>0</v>
      </c>
      <c r="U883" s="9">
        <v>67643.86</v>
      </c>
      <c r="V883" s="1">
        <f>U883-P883-N883-Q883-R883+N883-I884-G884-F884-D883-E883-B883-K884-M883-H884-C883-L883-J883</f>
        <v>-2.7284841053187847E-12</v>
      </c>
    </row>
    <row r="884" spans="1:22" x14ac:dyDescent="0.25">
      <c r="A884" t="s">
        <v>1030</v>
      </c>
      <c r="B884" s="82">
        <v>5803.72</v>
      </c>
      <c r="E884" s="9">
        <v>152.43</v>
      </c>
      <c r="F884" s="9">
        <v>64269.82</v>
      </c>
      <c r="G884" s="9">
        <v>-1099.7</v>
      </c>
      <c r="J884" s="3"/>
      <c r="N884" s="82">
        <v>77171.38</v>
      </c>
      <c r="O884" s="3">
        <f t="shared" si="27"/>
        <v>-6.3664629124104977E-12</v>
      </c>
      <c r="P884" s="82">
        <v>-197.06</v>
      </c>
      <c r="S884" s="82">
        <v>-197.06</v>
      </c>
      <c r="T884" s="1">
        <f t="shared" si="28"/>
        <v>0</v>
      </c>
      <c r="U884" s="82">
        <v>76974.320000000007</v>
      </c>
      <c r="V884" s="1">
        <f>U884-P884-N884-Q884-R884+N884-I885-G885-F885-D884-E884-B884-K885-M884-H885-C884-L884-J884</f>
        <v>-6.3664629124104977E-12</v>
      </c>
    </row>
    <row r="885" spans="1:22" x14ac:dyDescent="0.25">
      <c r="A885" t="s">
        <v>1031</v>
      </c>
      <c r="B885" s="6">
        <v>7339.49</v>
      </c>
      <c r="F885" s="82">
        <v>72514.790000000008</v>
      </c>
      <c r="G885" s="82">
        <v>-1170.56</v>
      </c>
      <c r="H885" s="82">
        <v>-129</v>
      </c>
      <c r="J885" s="3"/>
      <c r="N885" s="6">
        <v>74320.83</v>
      </c>
      <c r="O885" s="3">
        <f t="shared" si="27"/>
        <v>5.4569682106375694E-12</v>
      </c>
      <c r="P885" s="6">
        <v>-221.63</v>
      </c>
      <c r="Q885" s="6">
        <v>-238.43</v>
      </c>
      <c r="S885" s="6">
        <v>-460.06</v>
      </c>
      <c r="T885" s="1">
        <f t="shared" si="28"/>
        <v>0</v>
      </c>
      <c r="U885" s="6">
        <v>73860.77</v>
      </c>
      <c r="V885" s="1">
        <f>U885-P885-N885-Q885-R885+N885-I886-G886-F886-D885-E885-B885-K886-M885-H886-C885-L885-J885</f>
        <v>2.2737367544323206E-12</v>
      </c>
    </row>
    <row r="886" spans="1:22" x14ac:dyDescent="0.25">
      <c r="A886" t="s">
        <v>1032</v>
      </c>
      <c r="B886" s="98">
        <v>6517.7300000000005</v>
      </c>
      <c r="F886" s="6">
        <v>71199.199999999997</v>
      </c>
      <c r="G886" s="6">
        <v>-198.45</v>
      </c>
      <c r="H886" s="6">
        <v>-4019.4100000000003</v>
      </c>
      <c r="J886" s="3"/>
      <c r="O886" s="3">
        <f t="shared" si="27"/>
        <v>-81598.12999999999</v>
      </c>
      <c r="P886" s="98">
        <v>-719.68</v>
      </c>
      <c r="T886" s="1">
        <f t="shared" si="28"/>
        <v>719.68</v>
      </c>
    </row>
    <row r="887" spans="1:22" x14ac:dyDescent="0.25">
      <c r="A887" t="s">
        <v>1033</v>
      </c>
      <c r="B887" s="98">
        <v>5480.02</v>
      </c>
      <c r="F887" s="98">
        <v>75411.64</v>
      </c>
      <c r="G887" s="98">
        <v>-316.06</v>
      </c>
      <c r="H887" s="98">
        <v>-15.18</v>
      </c>
      <c r="J887" s="3"/>
      <c r="M887" s="98">
        <v>14152.48</v>
      </c>
      <c r="O887" s="3">
        <f t="shared" si="27"/>
        <v>-54258.489999999991</v>
      </c>
      <c r="P887" s="98">
        <v>-348.69</v>
      </c>
      <c r="R887" s="98">
        <v>1039.8499999999999</v>
      </c>
      <c r="T887" s="1">
        <f t="shared" si="28"/>
        <v>-691.15999999999985</v>
      </c>
    </row>
    <row r="888" spans="1:22" x14ac:dyDescent="0.25">
      <c r="A888" t="s">
        <v>1034</v>
      </c>
      <c r="B888" s="98">
        <v>3968.82</v>
      </c>
      <c r="E888" s="98">
        <v>13.36</v>
      </c>
      <c r="F888" s="98">
        <v>34752.400000000001</v>
      </c>
      <c r="G888" s="98">
        <v>-126.41000000000001</v>
      </c>
      <c r="J888" s="3"/>
      <c r="M888" s="98">
        <v>21565.68</v>
      </c>
      <c r="N888" s="98">
        <v>202956.3</v>
      </c>
      <c r="O888" s="3">
        <f t="shared" ref="O888:O919" si="29">N888-K889-I889-H889-G889-F889-E888-D888-C888-B888-M888-L888-J888</f>
        <v>135856.62</v>
      </c>
      <c r="P888" s="98">
        <v>-241.7</v>
      </c>
      <c r="Q888" s="98">
        <v>-32.65</v>
      </c>
      <c r="R888" s="98">
        <v>2129.19</v>
      </c>
      <c r="S888" s="98">
        <v>1826.32</v>
      </c>
      <c r="T888" s="1">
        <f t="shared" si="28"/>
        <v>-28.520000000000152</v>
      </c>
      <c r="U888" s="98">
        <v>204782.62</v>
      </c>
      <c r="V888" s="3">
        <f>U888-P888-N888-Q888-R888+N888-I889-G889-F889-D888-E888-B888-M887-R887-R886-Q887-Q886-P886-P887-K888-K887-I887-G887-F887-E887-E886-B887-B886-M886-D886-D887-M888-H887-C886-H889-K889-C887-L886-L887-L888-F888-G888-J887</f>
        <v>-3.2585489861958195E-11</v>
      </c>
    </row>
    <row r="889" spans="1:22" x14ac:dyDescent="0.25">
      <c r="A889" t="s">
        <v>1035</v>
      </c>
      <c r="B889" s="57">
        <v>6645.26</v>
      </c>
      <c r="F889" s="98">
        <v>43754.21</v>
      </c>
      <c r="G889" s="98">
        <v>-2359.4</v>
      </c>
      <c r="I889" s="98">
        <v>157.01000000000002</v>
      </c>
      <c r="J889" s="3"/>
      <c r="N889" s="57">
        <v>56363.74</v>
      </c>
      <c r="O889" s="3">
        <f t="shared" si="29"/>
        <v>1.8189894035458565E-12</v>
      </c>
      <c r="P889" s="57">
        <v>-312.51</v>
      </c>
      <c r="S889" s="57">
        <v>-312.51</v>
      </c>
      <c r="T889" s="1">
        <f t="shared" si="28"/>
        <v>0</v>
      </c>
      <c r="U889" s="57">
        <v>56051.23</v>
      </c>
      <c r="V889" s="1">
        <f>U889-P889-N889-Q889-R889+N889-I890-G890-F890-D889-E889-B889-K890-M889-H890-C889-L889-J889</f>
        <v>9.0949470177292824E-12</v>
      </c>
    </row>
    <row r="890" spans="1:22" x14ac:dyDescent="0.25">
      <c r="A890" t="s">
        <v>1036</v>
      </c>
      <c r="B890" s="8">
        <v>8009.42</v>
      </c>
      <c r="F890" s="57">
        <v>52695.71</v>
      </c>
      <c r="G890" s="57">
        <v>-2977.23</v>
      </c>
      <c r="J890" s="3"/>
      <c r="N890" s="8">
        <v>50180.42</v>
      </c>
      <c r="O890" s="3">
        <f t="shared" si="29"/>
        <v>5.4569682106375694E-12</v>
      </c>
      <c r="P890" s="8">
        <v>-645.85</v>
      </c>
      <c r="Q890" s="8">
        <v>-11.66</v>
      </c>
      <c r="S890" s="8">
        <v>-657.51</v>
      </c>
      <c r="T890" s="1">
        <f t="shared" si="28"/>
        <v>0</v>
      </c>
      <c r="U890" s="8">
        <v>49522.91</v>
      </c>
      <c r="V890" s="1">
        <f>U890-P890-N890-Q890-R890+N890-I891-G891-F891-D890-E890-B890-K891-M890-H891-C890-L890-J890</f>
        <v>4.8743231673142873E-12</v>
      </c>
    </row>
    <row r="891" spans="1:22" x14ac:dyDescent="0.25">
      <c r="A891" t="s">
        <v>1037</v>
      </c>
      <c r="B891" s="49">
        <v>8666.89</v>
      </c>
      <c r="E891" s="49">
        <v>79.489999999999995</v>
      </c>
      <c r="F891" s="8">
        <v>61644.12</v>
      </c>
      <c r="G891" s="8">
        <v>-19487.800000000003</v>
      </c>
      <c r="H891" s="8">
        <v>-81.36</v>
      </c>
      <c r="I891" s="8">
        <v>96.04</v>
      </c>
      <c r="J891" s="3"/>
      <c r="N891" s="49">
        <v>66795.55</v>
      </c>
      <c r="O891" s="3">
        <f t="shared" si="29"/>
        <v>2.0008883439004421E-11</v>
      </c>
      <c r="P891" s="49">
        <v>-287.16000000000003</v>
      </c>
      <c r="Q891" s="49">
        <v>-115.57</v>
      </c>
      <c r="S891" s="49">
        <v>-402.73</v>
      </c>
      <c r="T891" s="1">
        <f t="shared" si="28"/>
        <v>0</v>
      </c>
      <c r="U891" s="49">
        <v>66392.820000000007</v>
      </c>
      <c r="V891" s="1">
        <f>U891-P891-N891-Q891-R891+N891-I892-G892-F892-D891-E891-B891-K892-M891-H892-C891-L891-J891</f>
        <v>2.7569058147491887E-11</v>
      </c>
    </row>
    <row r="892" spans="1:22" x14ac:dyDescent="0.25">
      <c r="A892" t="s">
        <v>1038</v>
      </c>
      <c r="B892" s="5">
        <v>5830.2300000000005</v>
      </c>
      <c r="F892" s="49">
        <v>62405.03</v>
      </c>
      <c r="G892" s="49">
        <v>-3927.21</v>
      </c>
      <c r="H892" s="49">
        <v>-477.82</v>
      </c>
      <c r="I892" s="49">
        <v>49.17</v>
      </c>
      <c r="J892" s="3"/>
      <c r="N892" s="5">
        <v>67708.77</v>
      </c>
      <c r="O892" s="3">
        <f t="shared" si="29"/>
        <v>-4.5474735088646412E-12</v>
      </c>
      <c r="P892" s="5">
        <v>-428.34</v>
      </c>
      <c r="S892" s="5">
        <v>-428.34</v>
      </c>
      <c r="T892" s="1">
        <f t="shared" si="28"/>
        <v>0</v>
      </c>
      <c r="U892" s="5">
        <v>67280.429999999993</v>
      </c>
      <c r="V892" s="1">
        <f>U892-P892-N892-Q892-R892+N892-I893-G893-F893-D892-E892-B892-K893-M892-H893-C892-L892-J892</f>
        <v>-1.3187673175707459E-11</v>
      </c>
    </row>
    <row r="893" spans="1:22" x14ac:dyDescent="0.25">
      <c r="A893" t="s">
        <v>1039</v>
      </c>
      <c r="B893" s="55">
        <v>6938.95</v>
      </c>
      <c r="E893" s="55">
        <v>352.39</v>
      </c>
      <c r="F893" s="5">
        <v>68712.25</v>
      </c>
      <c r="G893" s="5">
        <v>-5190.5599999999995</v>
      </c>
      <c r="H893" s="5">
        <v>-1643.15</v>
      </c>
      <c r="J893"/>
      <c r="O893" s="3">
        <f t="shared" si="29"/>
        <v>-99771.64999999998</v>
      </c>
      <c r="P893" s="55">
        <v>-361.16</v>
      </c>
      <c r="T893" s="1">
        <f t="shared" si="28"/>
        <v>361.16</v>
      </c>
    </row>
    <row r="894" spans="1:22" x14ac:dyDescent="0.25">
      <c r="A894" t="s">
        <v>1040</v>
      </c>
      <c r="B894" s="55">
        <v>6746.5700000000006</v>
      </c>
      <c r="E894" s="3"/>
      <c r="F894" s="55">
        <v>91642.799999999988</v>
      </c>
      <c r="G894" s="55">
        <v>-640.4</v>
      </c>
      <c r="H894" s="55">
        <v>-131.22</v>
      </c>
      <c r="I894" s="55">
        <v>1609.1299999999999</v>
      </c>
      <c r="J894" s="3"/>
      <c r="M894" s="55">
        <v>22070.23</v>
      </c>
      <c r="O894" s="3">
        <f t="shared" si="29"/>
        <v>-71959.53</v>
      </c>
      <c r="P894" s="55">
        <v>-556.79999999999995</v>
      </c>
      <c r="Q894" s="55">
        <v>-119.95</v>
      </c>
      <c r="R894" s="55">
        <v>1927.24</v>
      </c>
      <c r="T894" s="1">
        <f t="shared" si="28"/>
        <v>-1250.49</v>
      </c>
    </row>
    <row r="895" spans="1:22" x14ac:dyDescent="0.25">
      <c r="A895" t="s">
        <v>1041</v>
      </c>
      <c r="B895" s="55">
        <v>2388.96</v>
      </c>
      <c r="E895" s="55">
        <v>24.98</v>
      </c>
      <c r="F895" s="55">
        <v>45211.37</v>
      </c>
      <c r="G895" s="55">
        <v>-2068.64</v>
      </c>
      <c r="H895" s="3"/>
      <c r="I895" s="3"/>
      <c r="J895" s="3"/>
      <c r="M895" s="3"/>
      <c r="N895" s="55">
        <v>270901.34000000003</v>
      </c>
      <c r="O895" s="3">
        <f t="shared" si="29"/>
        <v>171731.18000000002</v>
      </c>
      <c r="P895" s="55">
        <v>-32.340000000000003</v>
      </c>
      <c r="S895" s="55">
        <v>856.99</v>
      </c>
      <c r="T895" s="1">
        <f t="shared" si="28"/>
        <v>889.33</v>
      </c>
      <c r="U895" s="55">
        <v>271758.33</v>
      </c>
      <c r="V895" s="3">
        <f>U895-P895-N895-Q895-R895+N895-I896-G896-F896-D895-E895-B895-M894-R894-R893-Q894-Q893-P893-P894-K895-K894-I894-G894-F894-E894-E893-B894-B893-M893-D893-D894-M895-H894-C893-H896-K896-C894-L893-L894-L895-F895-G895-J894</f>
        <v>5.1386450650170445E-11</v>
      </c>
    </row>
    <row r="896" spans="1:22" x14ac:dyDescent="0.25">
      <c r="A896" t="s">
        <v>1042</v>
      </c>
      <c r="B896" s="48">
        <v>9147.69</v>
      </c>
      <c r="F896" s="55">
        <v>98346.72</v>
      </c>
      <c r="G896" s="55">
        <v>-1527.85</v>
      </c>
      <c r="H896" s="55">
        <v>-200.87</v>
      </c>
      <c r="I896" s="55">
        <v>138.22</v>
      </c>
      <c r="J896" s="3"/>
      <c r="N896" s="48">
        <v>70484.460000000006</v>
      </c>
      <c r="O896" s="3">
        <f t="shared" si="29"/>
        <v>1.8189894035458565E-12</v>
      </c>
      <c r="P896" s="48">
        <v>-253.56</v>
      </c>
      <c r="S896" s="48">
        <v>-253.56</v>
      </c>
      <c r="T896" s="1">
        <f t="shared" si="28"/>
        <v>0</v>
      </c>
      <c r="U896" s="48">
        <v>70230.899999999994</v>
      </c>
      <c r="V896" s="1">
        <f>U896-P896-N896-Q896-R896+N896-I897-G897-F897-D896-E896-B896-K897-M896-H897-C896-L896-J896</f>
        <v>-8.6615159489156213E-12</v>
      </c>
    </row>
    <row r="897" spans="1:22" x14ac:dyDescent="0.25">
      <c r="A897" t="s">
        <v>1043</v>
      </c>
      <c r="B897" s="38">
        <v>6888.27</v>
      </c>
      <c r="E897" s="38">
        <v>34.39</v>
      </c>
      <c r="F897" s="48">
        <v>64196.39</v>
      </c>
      <c r="G897" s="48">
        <v>-2836.7</v>
      </c>
      <c r="H897" s="48">
        <v>-59.23</v>
      </c>
      <c r="I897" s="48">
        <v>36.309999999999995</v>
      </c>
      <c r="J897" s="3"/>
      <c r="N897" s="38">
        <v>92616.58</v>
      </c>
      <c r="O897" s="3">
        <f t="shared" si="29"/>
        <v>-1.1823431123048067E-11</v>
      </c>
      <c r="P897" s="38">
        <v>-353.2</v>
      </c>
      <c r="S897" s="38">
        <v>-353.2</v>
      </c>
      <c r="T897" s="1">
        <f t="shared" si="28"/>
        <v>0</v>
      </c>
      <c r="U897" s="38">
        <v>92263.38</v>
      </c>
      <c r="V897" s="1">
        <f>U897-P897-N897-Q897-R897+N897-I898-G898-F898-D897-E897-B897-K898-M897-H898-C897-L897-J897</f>
        <v>-7.1622707764618099E-12</v>
      </c>
    </row>
    <row r="898" spans="1:22" x14ac:dyDescent="0.25">
      <c r="A898" t="s">
        <v>1044</v>
      </c>
      <c r="B898" s="37">
        <v>4560.9799999999996</v>
      </c>
      <c r="E898" s="37">
        <v>297.83999999999997</v>
      </c>
      <c r="F898" s="38">
        <v>86866.64</v>
      </c>
      <c r="G898" s="38">
        <v>-1074.8399999999999</v>
      </c>
      <c r="H898" s="38">
        <v>-199.37</v>
      </c>
      <c r="I898" s="38">
        <v>101.49</v>
      </c>
      <c r="J898" s="3"/>
      <c r="N898" s="37">
        <v>121132.1</v>
      </c>
      <c r="O898" s="3">
        <f t="shared" si="29"/>
        <v>7.2759576141834259E-12</v>
      </c>
      <c r="P898" s="37">
        <v>-269.72000000000003</v>
      </c>
      <c r="S898" s="37">
        <v>-269.72000000000003</v>
      </c>
      <c r="T898" s="1">
        <f t="shared" si="28"/>
        <v>0</v>
      </c>
      <c r="U898" s="37">
        <v>120862.38</v>
      </c>
      <c r="V898" s="1">
        <f>U898-P898-N898-Q898-R898+N898-I899-G899-F899-D898-E898-B898-K899-M898-H899-C898-L898-J898</f>
        <v>7.8443918027915061E-12</v>
      </c>
    </row>
    <row r="899" spans="1:22" x14ac:dyDescent="0.25">
      <c r="A899" t="s">
        <v>1045</v>
      </c>
      <c r="B899" s="7">
        <v>4130.76</v>
      </c>
      <c r="E899" s="7">
        <v>17.240000000000002</v>
      </c>
      <c r="F899" s="37">
        <v>120644.08</v>
      </c>
      <c r="G899" s="37">
        <v>-3906.74</v>
      </c>
      <c r="H899" s="37">
        <v>-477.39</v>
      </c>
      <c r="I899" s="37">
        <v>13.33</v>
      </c>
      <c r="J899" s="3"/>
      <c r="N899" s="7">
        <v>102038.32</v>
      </c>
      <c r="O899" s="3">
        <f t="shared" si="29"/>
        <v>0</v>
      </c>
      <c r="T899" s="1">
        <f t="shared" si="28"/>
        <v>0</v>
      </c>
      <c r="U899" s="7">
        <v>102038.32</v>
      </c>
      <c r="V899" s="1">
        <f>U899-P899-N899-Q899-R899+N899-I900-G900-F900-D899-E899-B899-K900-M899-H900-C899-L899-J899</f>
        <v>6.4090954765561037E-12</v>
      </c>
    </row>
    <row r="900" spans="1:22" x14ac:dyDescent="0.25">
      <c r="A900" t="s">
        <v>1046</v>
      </c>
      <c r="B900" s="34">
        <v>9714.9699999999993</v>
      </c>
      <c r="C900" s="34">
        <v>-193.5</v>
      </c>
      <c r="E900" s="34">
        <v>8.7000000000000011</v>
      </c>
      <c r="F900" s="7">
        <v>100989.34</v>
      </c>
      <c r="G900" s="7">
        <v>-3601.6200000000003</v>
      </c>
      <c r="H900" s="7">
        <v>-106.54</v>
      </c>
      <c r="I900" s="7">
        <v>609.14</v>
      </c>
      <c r="J900" s="3"/>
      <c r="O900" s="3">
        <f t="shared" si="29"/>
        <v>-86739.41</v>
      </c>
      <c r="P900" s="34">
        <v>-135.51</v>
      </c>
      <c r="Q900" s="34">
        <v>-53.58</v>
      </c>
      <c r="T900" s="1">
        <f t="shared" si="28"/>
        <v>189.08999999999997</v>
      </c>
    </row>
    <row r="901" spans="1:22" x14ac:dyDescent="0.25">
      <c r="A901" t="s">
        <v>1047</v>
      </c>
      <c r="B901" s="34">
        <v>2501.21</v>
      </c>
      <c r="C901" s="34">
        <v>-691.42</v>
      </c>
      <c r="D901" s="34">
        <v>1047.48</v>
      </c>
      <c r="F901" s="34">
        <v>78719.180000000008</v>
      </c>
      <c r="G901" s="34">
        <v>-1445.24</v>
      </c>
      <c r="H901" s="34">
        <v>-64.7</v>
      </c>
      <c r="J901" s="3"/>
      <c r="M901" s="34">
        <v>23003.89</v>
      </c>
      <c r="O901" s="3">
        <f t="shared" si="29"/>
        <v>-101300.92</v>
      </c>
      <c r="P901" s="34">
        <v>-139.01</v>
      </c>
      <c r="Q901" s="34">
        <v>-14.28</v>
      </c>
      <c r="T901" s="1">
        <f t="shared" si="28"/>
        <v>153.29</v>
      </c>
    </row>
    <row r="902" spans="1:22" x14ac:dyDescent="0.25">
      <c r="A902" t="s">
        <v>1048</v>
      </c>
      <c r="B902" s="34">
        <v>1314.93</v>
      </c>
      <c r="F902" s="34">
        <v>76689.12999999999</v>
      </c>
      <c r="G902" s="34">
        <v>-1236.6000000000001</v>
      </c>
      <c r="H902" s="34">
        <v>-12.77</v>
      </c>
      <c r="J902" s="3"/>
      <c r="O902" s="3">
        <f t="shared" si="29"/>
        <v>-17705.77</v>
      </c>
      <c r="P902" s="34">
        <v>-12.39</v>
      </c>
      <c r="R902" s="34">
        <v>1668.6</v>
      </c>
      <c r="T902" s="1">
        <f t="shared" si="28"/>
        <v>-1656.2099999999998</v>
      </c>
    </row>
    <row r="903" spans="1:22" x14ac:dyDescent="0.25">
      <c r="A903" t="s">
        <v>1049</v>
      </c>
      <c r="B903" s="34">
        <v>4414.38</v>
      </c>
      <c r="F903" s="34">
        <v>16564.84</v>
      </c>
      <c r="G903" s="34">
        <v>-373.21999999999997</v>
      </c>
      <c r="I903" s="34">
        <v>199.22</v>
      </c>
      <c r="J903" s="3"/>
      <c r="N903" s="34">
        <v>264157.46000000002</v>
      </c>
      <c r="O903" s="3">
        <f t="shared" si="29"/>
        <v>205746.09999999998</v>
      </c>
      <c r="P903" s="34">
        <v>-49.46</v>
      </c>
      <c r="S903" s="34">
        <v>1264.3699999999999</v>
      </c>
      <c r="T903" s="1">
        <f t="shared" si="28"/>
        <v>1313.83</v>
      </c>
      <c r="U903" s="34">
        <v>265421.83</v>
      </c>
    </row>
    <row r="904" spans="1:22" x14ac:dyDescent="0.25">
      <c r="A904" t="s">
        <v>1050</v>
      </c>
      <c r="B904" s="56">
        <v>9246.82</v>
      </c>
      <c r="F904" s="34">
        <v>68983.820000000007</v>
      </c>
      <c r="G904" s="34">
        <v>-15146.88</v>
      </c>
      <c r="H904" s="34">
        <v>-28.16</v>
      </c>
      <c r="I904" s="34">
        <v>188.2</v>
      </c>
      <c r="J904" s="3"/>
      <c r="N904" s="56">
        <v>123284.3</v>
      </c>
      <c r="O904" s="3">
        <f t="shared" si="29"/>
        <v>7.2759576141834259E-12</v>
      </c>
      <c r="P904" s="56">
        <v>-73.53</v>
      </c>
      <c r="Q904" s="56">
        <f>-239.04 -118.94</f>
        <v>-357.98</v>
      </c>
      <c r="S904" s="56">
        <v>-431.51</v>
      </c>
      <c r="T904" s="1">
        <f t="shared" si="28"/>
        <v>0</v>
      </c>
      <c r="U904" s="56">
        <v>122852.79</v>
      </c>
      <c r="V904" s="1">
        <f>U904-P904-N904-Q904-R904+N904-I905-G905-F905-D904-E904-B904-K905-M904-H905-C904-L904-J904</f>
        <v>-2.9110047705671604E-13</v>
      </c>
    </row>
    <row r="905" spans="1:22" x14ac:dyDescent="0.25">
      <c r="A905" t="s">
        <v>1051</v>
      </c>
      <c r="B905" s="39">
        <v>5953.75</v>
      </c>
      <c r="F905" s="56">
        <v>115817.54</v>
      </c>
      <c r="G905" s="56">
        <v>-1807.69</v>
      </c>
      <c r="H905" s="56">
        <v>-1.93</v>
      </c>
      <c r="I905" s="56">
        <v>29.56</v>
      </c>
      <c r="J905" s="3"/>
      <c r="N905" s="39">
        <v>108270.48</v>
      </c>
      <c r="O905" s="3">
        <f t="shared" si="29"/>
        <v>-1.4551915228366852E-11</v>
      </c>
      <c r="P905" s="39">
        <v>-222.18</v>
      </c>
      <c r="Q905" s="39">
        <v>-238.9</v>
      </c>
      <c r="S905" s="39">
        <v>-461.08</v>
      </c>
      <c r="T905" s="1">
        <f t="shared" si="28"/>
        <v>0</v>
      </c>
      <c r="U905" s="39">
        <v>107809.4</v>
      </c>
      <c r="V905" s="1">
        <f>U905-P905-N905-Q905-R905+N905-I906-G906-F906-D905-E905-B905-K906-M905-H906-C905-L905-J905</f>
        <v>-3.0268010320355643E-11</v>
      </c>
    </row>
    <row r="906" spans="1:22" x14ac:dyDescent="0.25">
      <c r="A906" t="s">
        <v>1052</v>
      </c>
      <c r="B906" s="2">
        <v>5405.16</v>
      </c>
      <c r="F906" s="39">
        <v>103911.04000000001</v>
      </c>
      <c r="G906" s="39">
        <v>-1727.53</v>
      </c>
      <c r="H906" s="39">
        <v>-0.72</v>
      </c>
      <c r="I906" s="39">
        <v>133.94</v>
      </c>
      <c r="J906" s="3"/>
      <c r="N906" s="2">
        <v>99548.78</v>
      </c>
      <c r="O906" s="3">
        <f t="shared" si="29"/>
        <v>-1.0913936421275139E-11</v>
      </c>
      <c r="P906" s="2">
        <v>-406.32</v>
      </c>
      <c r="Q906" s="2">
        <v>-118.89</v>
      </c>
      <c r="S906" s="2">
        <v>-525.21</v>
      </c>
      <c r="T906" s="1">
        <f t="shared" si="28"/>
        <v>0</v>
      </c>
      <c r="U906" s="2">
        <v>99023.57</v>
      </c>
      <c r="V906" s="1">
        <f>U906-P906-N906-Q906-R906+N906-I907-G907-F907-D906-E906-B906-K907-M906-H907-C906-L906-J906</f>
        <v>9.4573238129669335E-12</v>
      </c>
    </row>
    <row r="907" spans="1:22" x14ac:dyDescent="0.25">
      <c r="A907" t="s">
        <v>1053</v>
      </c>
      <c r="B907" s="44">
        <v>5044.4800000000005</v>
      </c>
      <c r="F907" s="2">
        <v>95823.63</v>
      </c>
      <c r="G907" s="2">
        <v>-1638.36</v>
      </c>
      <c r="H907" s="2">
        <v>-41.65</v>
      </c>
      <c r="J907" s="3"/>
      <c r="O907" s="3">
        <f t="shared" si="29"/>
        <v>-104932.84</v>
      </c>
      <c r="P907" s="44">
        <v>-274.02999999999997</v>
      </c>
      <c r="T907" s="1">
        <f t="shared" si="28"/>
        <v>274.02999999999997</v>
      </c>
    </row>
    <row r="908" spans="1:22" x14ac:dyDescent="0.25">
      <c r="A908" t="s">
        <v>1054</v>
      </c>
      <c r="B908" s="44">
        <v>7817.8</v>
      </c>
      <c r="F908" s="44">
        <v>103106.89</v>
      </c>
      <c r="G908" s="44">
        <v>-3195.44</v>
      </c>
      <c r="H908" s="44">
        <v>-23.09</v>
      </c>
      <c r="J908" s="3"/>
      <c r="M908" s="44">
        <v>27691.360000000001</v>
      </c>
      <c r="O908" s="3">
        <f t="shared" si="29"/>
        <v>-109927.20000000001</v>
      </c>
      <c r="P908" s="44">
        <v>-224.89</v>
      </c>
      <c r="Q908" s="44">
        <v>-58.94</v>
      </c>
      <c r="R908" s="44">
        <v>1564.33</v>
      </c>
      <c r="T908" s="1">
        <f t="shared" si="28"/>
        <v>-1280.5</v>
      </c>
    </row>
    <row r="909" spans="1:22" x14ac:dyDescent="0.25">
      <c r="A909" t="s">
        <v>1055</v>
      </c>
      <c r="B909" s="44">
        <v>1447.89</v>
      </c>
      <c r="F909" s="44">
        <v>75233.47</v>
      </c>
      <c r="G909" s="44">
        <v>-815.43000000000006</v>
      </c>
      <c r="J909" s="3"/>
      <c r="N909" s="44">
        <v>263445.65000000002</v>
      </c>
      <c r="O909" s="3">
        <f t="shared" si="29"/>
        <v>214860.04</v>
      </c>
      <c r="P909" s="44">
        <v>-334.5</v>
      </c>
      <c r="Q909" s="44">
        <v>-237.63</v>
      </c>
      <c r="S909" s="44">
        <v>434.34</v>
      </c>
      <c r="T909" s="1">
        <f t="shared" si="28"/>
        <v>1006.47</v>
      </c>
      <c r="U909" s="44">
        <v>263879.99</v>
      </c>
      <c r="V909" s="3">
        <f>U909-P909-N909-Q909-R909+N909-I910-G910-F910-D909-E909-B909-M908-R908-R907-Q908-Q907-P907-P908-K909-K908-I908-G908-F908-E908-E907-B908-B907-M907-D907-D908-M909-H908-C907-H910-K910-C908-L907-L908-L909-F909-G909-J908</f>
        <v>-7.503331289626658E-12</v>
      </c>
    </row>
    <row r="910" spans="1:22" x14ac:dyDescent="0.25">
      <c r="A910" t="s">
        <v>1056</v>
      </c>
      <c r="B910" s="43">
        <v>4180.0599999999995</v>
      </c>
      <c r="F910" s="44">
        <v>48190.98</v>
      </c>
      <c r="G910" s="44">
        <v>-1053.26</v>
      </c>
      <c r="J910" s="3"/>
      <c r="N910" s="43">
        <v>69255.259999999995</v>
      </c>
      <c r="O910" s="3">
        <f t="shared" si="29"/>
        <v>-1.8189894035458565E-12</v>
      </c>
      <c r="P910" s="43">
        <v>-331.27</v>
      </c>
      <c r="S910" s="43">
        <v>-331.27</v>
      </c>
      <c r="T910" s="1">
        <f t="shared" si="28"/>
        <v>0</v>
      </c>
      <c r="U910" s="43">
        <v>68923.990000000005</v>
      </c>
      <c r="V910" s="1">
        <f>U910-P910-N910-Q910-R910+N910-I911-G911-F911-D910-E910-B910-K911-M910-H911-C910-L910-J910</f>
        <v>1.2732925824820995E-11</v>
      </c>
    </row>
    <row r="911" spans="1:22" x14ac:dyDescent="0.25">
      <c r="A911" t="s">
        <v>1057</v>
      </c>
      <c r="B911" s="6">
        <v>5413.31</v>
      </c>
      <c r="F911" s="43">
        <v>66389.7</v>
      </c>
      <c r="G911" s="43">
        <v>-1359.03</v>
      </c>
      <c r="H911" s="43">
        <v>-47.25</v>
      </c>
      <c r="I911" s="43">
        <v>91.78</v>
      </c>
      <c r="J911" s="3"/>
      <c r="N911" s="6">
        <v>74374.41</v>
      </c>
      <c r="O911" s="3">
        <f t="shared" si="29"/>
        <v>-2.7284841053187847E-12</v>
      </c>
      <c r="P911" s="6">
        <v>-152.4</v>
      </c>
      <c r="S911" s="6">
        <v>-152.4</v>
      </c>
      <c r="T911" s="1">
        <f t="shared" si="28"/>
        <v>0</v>
      </c>
      <c r="U911" s="6">
        <v>74222.009999999995</v>
      </c>
      <c r="V911" s="1">
        <f>U911-P911-N911-Q911-R911+N911-I912-G912-F912-D911-E911-B911-K912-M911-H912-C911-L911-J911</f>
        <v>-1.0288658813806251E-11</v>
      </c>
    </row>
    <row r="912" spans="1:22" x14ac:dyDescent="0.25">
      <c r="A912" t="s">
        <v>1058</v>
      </c>
      <c r="B912" s="47">
        <v>5735.8300000000008</v>
      </c>
      <c r="F912" s="6">
        <v>72752.56</v>
      </c>
      <c r="G912" s="6">
        <v>-3471.56</v>
      </c>
      <c r="H912" s="6">
        <v>-418.43</v>
      </c>
      <c r="I912" s="6">
        <v>98.53</v>
      </c>
      <c r="J912" s="3"/>
      <c r="N912" s="47">
        <v>78272.83</v>
      </c>
      <c r="O912" s="3">
        <f t="shared" si="29"/>
        <v>-1.3642420526593924E-11</v>
      </c>
      <c r="P912" s="47">
        <v>-196.51</v>
      </c>
      <c r="S912" s="47">
        <v>-196.51</v>
      </c>
      <c r="T912" s="1">
        <f t="shared" si="28"/>
        <v>0</v>
      </c>
      <c r="U912" s="47">
        <v>78076.320000000007</v>
      </c>
      <c r="V912" s="1">
        <f>U912-P912-N912-Q912-R912+N912-I913-G913-F913-D912-E912-B912-K913-M912-H913-C912-L912-J912</f>
        <v>-1.7134738072854816E-11</v>
      </c>
    </row>
    <row r="913" spans="1:22" x14ac:dyDescent="0.25">
      <c r="A913" t="s">
        <v>1059</v>
      </c>
      <c r="B913" s="49">
        <v>5683.2599999999993</v>
      </c>
      <c r="F913" s="47">
        <v>75382.510000000009</v>
      </c>
      <c r="G913" s="47">
        <v>-2860.18</v>
      </c>
      <c r="H913" s="47">
        <v>-19.66</v>
      </c>
      <c r="I913" s="47">
        <v>34.33</v>
      </c>
      <c r="J913" s="3"/>
      <c r="M913" s="49">
        <v>933.59</v>
      </c>
      <c r="N913" s="49">
        <v>53355.22</v>
      </c>
      <c r="O913" s="3">
        <f t="shared" si="29"/>
        <v>6.4801497501321137E-12</v>
      </c>
      <c r="P913" s="49">
        <v>-115.94</v>
      </c>
      <c r="R913" s="49">
        <v>20.16</v>
      </c>
      <c r="S913" s="49">
        <v>-95.78</v>
      </c>
      <c r="T913" s="1">
        <f t="shared" si="28"/>
        <v>0</v>
      </c>
      <c r="U913" s="49">
        <v>53259.44</v>
      </c>
      <c r="V913" s="1">
        <f>U913-P913-N913-Q913-R913+N913-I914-G914-F914-D913-E913-B913-K914-M913-H914-C913-L913-J913</f>
        <v>8.1854523159563541E-12</v>
      </c>
    </row>
    <row r="914" spans="1:22" x14ac:dyDescent="0.25">
      <c r="A914" t="s">
        <v>1060</v>
      </c>
      <c r="B914" s="5">
        <v>8130.89</v>
      </c>
      <c r="E914" s="5">
        <v>202.42</v>
      </c>
      <c r="F914" s="49">
        <v>52175.659999999996</v>
      </c>
      <c r="G914" s="49">
        <v>-2390.8700000000003</v>
      </c>
      <c r="H914" s="49">
        <v>-3128.17</v>
      </c>
      <c r="I914" s="49">
        <v>81.75</v>
      </c>
      <c r="J914" s="3"/>
      <c r="O914" s="3">
        <f t="shared" si="29"/>
        <v>-57944.85</v>
      </c>
      <c r="P914" s="5">
        <v>-30.09</v>
      </c>
      <c r="T914" s="1">
        <f t="shared" si="28"/>
        <v>30.09</v>
      </c>
    </row>
    <row r="915" spans="1:22" x14ac:dyDescent="0.25">
      <c r="A915" t="s">
        <v>1061</v>
      </c>
      <c r="B915" s="5">
        <v>4628.2300000000005</v>
      </c>
      <c r="F915" s="5">
        <v>51172.79</v>
      </c>
      <c r="G915" s="5">
        <v>-1348.73</v>
      </c>
      <c r="H915" s="5">
        <v>-212.51999999999998</v>
      </c>
      <c r="J915" s="3"/>
      <c r="M915" s="5">
        <v>70697.03</v>
      </c>
      <c r="O915" s="3">
        <f t="shared" si="29"/>
        <v>-112000.3</v>
      </c>
      <c r="P915" s="5">
        <v>-184.39</v>
      </c>
      <c r="R915" s="5">
        <v>32202.84</v>
      </c>
      <c r="T915" s="1">
        <f t="shared" si="28"/>
        <v>-32018.45</v>
      </c>
    </row>
    <row r="916" spans="1:22" x14ac:dyDescent="0.25">
      <c r="A916" t="s">
        <v>1062</v>
      </c>
      <c r="B916" s="5">
        <v>961.8</v>
      </c>
      <c r="F916" s="5">
        <v>36924.71</v>
      </c>
      <c r="G916" s="5">
        <v>-200.25</v>
      </c>
      <c r="H916" s="5">
        <v>-49.42</v>
      </c>
      <c r="J916" s="3"/>
      <c r="N916" s="5">
        <v>209600.29</v>
      </c>
      <c r="O916" s="3">
        <f t="shared" si="29"/>
        <v>169945.15000000002</v>
      </c>
      <c r="P916" s="5">
        <v>-0.25</v>
      </c>
      <c r="Q916" s="5">
        <v>-107.64</v>
      </c>
      <c r="S916" s="5">
        <v>31880.47</v>
      </c>
      <c r="T916" s="1">
        <f t="shared" si="28"/>
        <v>31988.36</v>
      </c>
      <c r="U916" s="5">
        <v>241480.76</v>
      </c>
      <c r="V916" s="3">
        <f>U916-P916-N916-Q916-R916+N916-I917-G917-F917-D916-E916-B916-M915-R915-R914-Q915-Q914-P914-P915-K916-K915-I915-G915-F915-E915-E914-B915-B914-M914-D914-D915-M916-H915-C914-H917-K917-C915-L914-L915-L916-F916-G916-J915-H916</f>
        <v>3.085176558670355E-11</v>
      </c>
    </row>
    <row r="917" spans="1:22" x14ac:dyDescent="0.25">
      <c r="A917" t="s">
        <v>1063</v>
      </c>
      <c r="B917" s="35">
        <v>6832.19</v>
      </c>
      <c r="E917" s="35">
        <v>452.02000000000004</v>
      </c>
      <c r="F917" s="5">
        <v>39228.130000000005</v>
      </c>
      <c r="G917" s="5">
        <v>-535.51</v>
      </c>
      <c r="I917" s="5">
        <v>0.72</v>
      </c>
      <c r="J917" s="3"/>
      <c r="M917" s="35">
        <v>26521.31</v>
      </c>
      <c r="N917" s="35">
        <v>85193.66</v>
      </c>
      <c r="O917" s="3">
        <f t="shared" si="29"/>
        <v>0</v>
      </c>
      <c r="P917" s="35">
        <v>-191.59</v>
      </c>
      <c r="R917" s="35">
        <v>826.81</v>
      </c>
      <c r="S917" s="35">
        <v>635.22</v>
      </c>
      <c r="T917" s="1">
        <f t="shared" si="28"/>
        <v>0</v>
      </c>
      <c r="U917" s="35">
        <v>85828.88</v>
      </c>
      <c r="V917" s="1">
        <f>U917-P917-N917-Q917-R917+N917-I918-G918-F918-D917-E917-B917-K918-M917-H918-C917-L917-J917</f>
        <v>6.9917405198793858E-12</v>
      </c>
    </row>
    <row r="918" spans="1:22" x14ac:dyDescent="0.25">
      <c r="A918" t="s">
        <v>1064</v>
      </c>
      <c r="B918" s="34">
        <v>11282.59</v>
      </c>
      <c r="F918" s="35">
        <v>52108.409999999996</v>
      </c>
      <c r="G918" s="35">
        <v>-516.84</v>
      </c>
      <c r="H918" s="35">
        <v>-203.43</v>
      </c>
      <c r="J918" s="3"/>
      <c r="N918" s="34">
        <v>76421.039999999994</v>
      </c>
      <c r="O918" s="3">
        <f t="shared" si="29"/>
        <v>-3.637978807091713E-12</v>
      </c>
      <c r="P918" s="34">
        <v>-221.07</v>
      </c>
      <c r="Q918" s="34">
        <v>-106.76</v>
      </c>
      <c r="S918" s="34">
        <v>-327.83</v>
      </c>
      <c r="T918" s="1">
        <f t="shared" si="28"/>
        <v>0</v>
      </c>
      <c r="U918" s="34">
        <v>76093.210000000006</v>
      </c>
      <c r="V918" s="1">
        <f>U918-P918-N918-Q918-R918+N918-I919-G919-F919-D918-E918-B918-K919-M918-H919-C918-L918-J918</f>
        <v>1.0913936421275139E-11</v>
      </c>
    </row>
    <row r="919" spans="1:22" x14ac:dyDescent="0.25">
      <c r="A919" t="s">
        <v>1065</v>
      </c>
      <c r="B919" s="110">
        <v>7185.61</v>
      </c>
      <c r="F919" s="34">
        <v>66554.06</v>
      </c>
      <c r="G919" s="34">
        <v>-1401</v>
      </c>
      <c r="H919" s="34">
        <v>-44.75</v>
      </c>
      <c r="I919" s="34">
        <v>30.14</v>
      </c>
      <c r="J919" s="3"/>
      <c r="N919" s="110">
        <v>53698.92</v>
      </c>
      <c r="O919" s="3">
        <f t="shared" si="29"/>
        <v>-6.3664629124104977E-12</v>
      </c>
      <c r="P919" s="110">
        <v>-196.09</v>
      </c>
      <c r="Q919" s="110">
        <v>-14.16</v>
      </c>
      <c r="S919" s="110">
        <v>-210.25</v>
      </c>
      <c r="T919" s="1">
        <f t="shared" si="28"/>
        <v>0</v>
      </c>
      <c r="U919" s="110">
        <v>53488.67</v>
      </c>
      <c r="V919" s="1">
        <f>U919-P919-N919-Q919-R919+N919-I920-G920-F920-D919-E919-B919-K920-M919-H920-C919-L919-J919</f>
        <v>-6.3664629124104977E-12</v>
      </c>
    </row>
    <row r="920" spans="1:22" x14ac:dyDescent="0.25">
      <c r="A920" t="s">
        <v>1066</v>
      </c>
      <c r="B920" s="37">
        <v>3861.24</v>
      </c>
      <c r="F920" s="110">
        <v>49372.950000000004</v>
      </c>
      <c r="G920" s="110">
        <v>-3140.93</v>
      </c>
      <c r="I920" s="110">
        <v>281.29000000000002</v>
      </c>
      <c r="J920" s="3"/>
      <c r="N920" s="37">
        <v>70704.789999999994</v>
      </c>
      <c r="O920" s="3">
        <f t="shared" ref="O920:O951" si="30">N920-K921-I921-H921-G921-F921-E920-D920-C920-B920-M920-L920-J920</f>
        <v>-9.0949470177292824E-12</v>
      </c>
      <c r="P920" s="37">
        <v>-142.66999999999999</v>
      </c>
      <c r="Q920" s="37">
        <f>-121.92 -11.9</f>
        <v>-133.82</v>
      </c>
      <c r="S920" s="37">
        <v>-276.49</v>
      </c>
      <c r="T920" s="1">
        <f t="shared" ref="T920:T984" si="31">S920-R920-Q920-P920</f>
        <v>0</v>
      </c>
      <c r="U920" s="37">
        <v>70428.3</v>
      </c>
      <c r="V920" s="1">
        <f>U920-P920-N920-Q920-R920+N920-I921-G921-F921-D920-E920-B920-K921-M920-H921-C920-L920-J920</f>
        <v>-3.979039320256561E-13</v>
      </c>
    </row>
    <row r="921" spans="1:22" x14ac:dyDescent="0.25">
      <c r="A921" t="s">
        <v>1067</v>
      </c>
      <c r="B921" s="13">
        <v>6342.86</v>
      </c>
      <c r="D921" s="13">
        <v>685.69999999999993</v>
      </c>
      <c r="F921" s="37">
        <v>68091.61</v>
      </c>
      <c r="G921" s="37">
        <v>-822.12</v>
      </c>
      <c r="H921" s="37">
        <v>-437.09999999999997</v>
      </c>
      <c r="I921" s="37">
        <v>11.16</v>
      </c>
      <c r="J921" s="3"/>
      <c r="O921" s="3">
        <f t="shared" si="30"/>
        <v>-69827.360000000001</v>
      </c>
      <c r="P921" s="13">
        <v>-783.54</v>
      </c>
      <c r="Q921" s="13">
        <v>-13.06</v>
      </c>
      <c r="T921" s="1">
        <f t="shared" si="31"/>
        <v>796.59999999999991</v>
      </c>
    </row>
    <row r="922" spans="1:22" x14ac:dyDescent="0.25">
      <c r="A922" t="s">
        <v>1068</v>
      </c>
      <c r="B922" s="13">
        <v>5164.1399999999994</v>
      </c>
      <c r="F922" s="13">
        <v>63929.270000000004</v>
      </c>
      <c r="G922" s="13">
        <v>-1130.47</v>
      </c>
      <c r="J922" s="3"/>
      <c r="M922" s="69">
        <v>49263.8</v>
      </c>
      <c r="O922" s="3">
        <f t="shared" si="30"/>
        <v>-84453.69</v>
      </c>
      <c r="P922" s="13">
        <v>-43.22</v>
      </c>
      <c r="Q922" s="13">
        <v>-18.86</v>
      </c>
      <c r="R922" s="13">
        <v>2155.14</v>
      </c>
      <c r="T922" s="1">
        <f t="shared" si="31"/>
        <v>-2093.06</v>
      </c>
    </row>
    <row r="923" spans="1:22" x14ac:dyDescent="0.25">
      <c r="A923" t="s">
        <v>1069</v>
      </c>
      <c r="B923" s="13">
        <v>3140.48</v>
      </c>
      <c r="F923" s="13">
        <v>30144.559999999998</v>
      </c>
      <c r="G923" s="13">
        <v>-118.81</v>
      </c>
      <c r="J923" s="3"/>
      <c r="N923" s="13">
        <v>189541.43</v>
      </c>
      <c r="O923" s="3">
        <f t="shared" si="30"/>
        <v>154281.04999999999</v>
      </c>
      <c r="P923" s="13">
        <v>-291.91000000000003</v>
      </c>
      <c r="S923" s="13">
        <v>1004.55</v>
      </c>
      <c r="T923" s="1">
        <f t="shared" si="31"/>
        <v>1296.46</v>
      </c>
      <c r="U923" s="13">
        <v>190545.98</v>
      </c>
      <c r="V923" s="3">
        <f>U923-P923-N923-Q923-R923+N923-I924-G924-F924-D923-E923-B923-M922-R922-R921-Q922-Q921-P921-P922-K923-K922-I922-G922-F922-E922-E921-B922-B921-M921-D921-D922-M923-H922-C921-H924-K924-C922-L921-L922-L923-F923-G923-J922-H923</f>
        <v>-1.3073986337985843E-12</v>
      </c>
    </row>
    <row r="924" spans="1:22" x14ac:dyDescent="0.25">
      <c r="A924" t="s">
        <v>1070</v>
      </c>
      <c r="B924" s="107">
        <v>10563.57</v>
      </c>
      <c r="C924" s="107">
        <v>-685.03</v>
      </c>
      <c r="F924" s="13">
        <v>32688</v>
      </c>
      <c r="G924" s="13">
        <v>-568.1</v>
      </c>
      <c r="H924" s="3"/>
      <c r="I924" s="3"/>
      <c r="J924" s="3"/>
      <c r="N924" s="107">
        <v>87300.42</v>
      </c>
      <c r="O924" s="3">
        <f t="shared" si="30"/>
        <v>9.0949470177292824E-12</v>
      </c>
      <c r="P924" s="107">
        <v>-768.98</v>
      </c>
      <c r="Q924" s="107">
        <v>-21.22</v>
      </c>
      <c r="S924" s="107">
        <v>-790.2</v>
      </c>
      <c r="T924" s="1">
        <f t="shared" si="31"/>
        <v>0</v>
      </c>
      <c r="U924" s="107">
        <v>86510.22</v>
      </c>
      <c r="V924" s="1">
        <f>U924-P924-N924-Q924-R924+N924-I925-G925-F925-D924-E924-B924-K925-M924-H925-C924-L924-J924</f>
        <v>5.6843418860808015E-12</v>
      </c>
    </row>
    <row r="925" spans="1:22" x14ac:dyDescent="0.25">
      <c r="A925" t="s">
        <v>1071</v>
      </c>
      <c r="B925" s="10">
        <v>7769.12</v>
      </c>
      <c r="C925" s="10">
        <v>-300.03999999999996</v>
      </c>
      <c r="F925" s="107">
        <v>79641.09</v>
      </c>
      <c r="G925" s="107">
        <v>-1409.81</v>
      </c>
      <c r="H925" s="107">
        <v>-2582.5500000000002</v>
      </c>
      <c r="I925" s="107">
        <v>1773.15</v>
      </c>
      <c r="J925" s="3"/>
      <c r="N925" s="10">
        <v>71851.28</v>
      </c>
      <c r="O925" s="3">
        <f t="shared" si="30"/>
        <v>-1.2732925824820995E-11</v>
      </c>
      <c r="P925" s="10">
        <v>-400.32</v>
      </c>
      <c r="S925" s="10">
        <v>-400.32</v>
      </c>
      <c r="T925" s="1">
        <f t="shared" si="31"/>
        <v>0</v>
      </c>
      <c r="U925" s="10">
        <v>71450.960000000006</v>
      </c>
      <c r="V925" s="1">
        <f>U925-P925-N925-Q925-R925+N925-I926-G926-F926-D925-E925-B925-K926-M925-H926-C925-L925-J925</f>
        <v>2.9558577807620168E-12</v>
      </c>
    </row>
    <row r="926" spans="1:22" x14ac:dyDescent="0.25">
      <c r="A926" t="s">
        <v>1072</v>
      </c>
      <c r="B926" s="57">
        <v>9654.81</v>
      </c>
      <c r="E926" s="57">
        <v>13.32</v>
      </c>
      <c r="F926" s="10">
        <v>65671.950000000012</v>
      </c>
      <c r="G926" s="10">
        <v>-2242.9500000000003</v>
      </c>
      <c r="H926" s="10">
        <v>-82.53</v>
      </c>
      <c r="I926" s="10">
        <v>1035.73</v>
      </c>
      <c r="J926" s="3"/>
      <c r="N926" s="57">
        <v>54376.81</v>
      </c>
      <c r="O926" s="3">
        <f t="shared" si="30"/>
        <v>5.4569682106375694E-12</v>
      </c>
      <c r="P926" s="57">
        <v>-1208.5999999999999</v>
      </c>
      <c r="S926" s="57">
        <v>-1208.5999999999999</v>
      </c>
      <c r="T926" s="1">
        <f t="shared" si="31"/>
        <v>0</v>
      </c>
      <c r="U926" s="57">
        <v>53168.21</v>
      </c>
      <c r="V926" s="1">
        <f>U926-P926-N926-Q926-R926+N926-I927-G927-F927-D926-E926-B926-K927-M926-H927-C926-L926-J926</f>
        <v>3.637978807091713E-12</v>
      </c>
    </row>
    <row r="927" spans="1:22" x14ac:dyDescent="0.25">
      <c r="A927" t="s">
        <v>1073</v>
      </c>
      <c r="B927" s="55">
        <v>11409.66</v>
      </c>
      <c r="F927" s="57">
        <v>46887.95</v>
      </c>
      <c r="G927" s="57">
        <v>-717.31999999999994</v>
      </c>
      <c r="H927" s="57">
        <v>-1551.58</v>
      </c>
      <c r="I927" s="57">
        <v>89.63</v>
      </c>
      <c r="J927" s="3"/>
      <c r="N927" s="55">
        <v>75977.39</v>
      </c>
      <c r="O927" s="3">
        <f t="shared" si="30"/>
        <v>3.637978807091713E-12</v>
      </c>
      <c r="P927" s="55">
        <v>-76.849999999999994</v>
      </c>
      <c r="Q927" s="55">
        <f>-35.38 -53.09</f>
        <v>-88.47</v>
      </c>
      <c r="S927" s="55">
        <v>-165.32</v>
      </c>
      <c r="T927" s="1">
        <f t="shared" si="31"/>
        <v>0</v>
      </c>
      <c r="U927" s="55">
        <v>75812.070000000007</v>
      </c>
      <c r="V927" s="1">
        <f>U927-P927-N927-Q927-R927+N927-I928-G928-F928-D927-E927-B927-K928-M927-H928-C927-L927-J927</f>
        <v>1.7593038137420081E-11</v>
      </c>
    </row>
    <row r="928" spans="1:22" x14ac:dyDescent="0.25">
      <c r="A928" t="s">
        <v>1074</v>
      </c>
      <c r="B928" s="43">
        <v>15011.67</v>
      </c>
      <c r="F928" s="55">
        <v>66585.429999999993</v>
      </c>
      <c r="G928" s="55">
        <v>-1830.09</v>
      </c>
      <c r="H928" s="55">
        <v>-187.60999999999999</v>
      </c>
      <c r="J928" s="3"/>
      <c r="O928" s="3">
        <f t="shared" si="30"/>
        <v>-55576.659999999989</v>
      </c>
      <c r="P928" s="43">
        <v>-372.28</v>
      </c>
      <c r="Q928" s="43">
        <f>-107.48 -21.38</f>
        <v>-128.86000000000001</v>
      </c>
      <c r="T928" s="1">
        <f t="shared" si="31"/>
        <v>501.14</v>
      </c>
    </row>
    <row r="929" spans="1:22" x14ac:dyDescent="0.25">
      <c r="A929" t="s">
        <v>1075</v>
      </c>
      <c r="B929" s="43">
        <v>4522.25</v>
      </c>
      <c r="F929" s="43">
        <v>43776.009999999995</v>
      </c>
      <c r="G929" s="43">
        <v>-2525.2200000000003</v>
      </c>
      <c r="H929" s="43">
        <v>-685.8</v>
      </c>
      <c r="J929" s="3"/>
      <c r="M929" s="43">
        <v>17743.09</v>
      </c>
      <c r="O929" s="3">
        <f t="shared" si="30"/>
        <v>-47220.520000000004</v>
      </c>
      <c r="P929" s="43">
        <v>-555.16</v>
      </c>
      <c r="Q929" s="43">
        <f>-106.4 -94.75</f>
        <v>-201.15</v>
      </c>
      <c r="R929" s="43">
        <v>1600.14</v>
      </c>
      <c r="T929" s="1">
        <f t="shared" si="31"/>
        <v>-843.83</v>
      </c>
    </row>
    <row r="930" spans="1:22" x14ac:dyDescent="0.25">
      <c r="A930" t="s">
        <v>1076</v>
      </c>
      <c r="B930" s="43">
        <v>2235.4299999999998</v>
      </c>
      <c r="F930" s="43">
        <v>25351.59</v>
      </c>
      <c r="G930" s="43">
        <v>-396.41</v>
      </c>
      <c r="J930" s="3"/>
      <c r="N930" s="43">
        <v>137667.04999999999</v>
      </c>
      <c r="O930" s="3">
        <f t="shared" si="30"/>
        <v>102797.18000000002</v>
      </c>
      <c r="P930" s="43">
        <v>-48.86</v>
      </c>
      <c r="Q930" s="43">
        <v>-41.23</v>
      </c>
      <c r="S930" s="43">
        <v>252.6</v>
      </c>
      <c r="T930" s="1">
        <f t="shared" si="31"/>
        <v>342.69</v>
      </c>
      <c r="U930" s="43">
        <v>137919.65</v>
      </c>
      <c r="V930" s="3">
        <f>U930-P930-N930-Q930-R930+N930-I931-G931-F931-D930-E930-B930-M929-R929-R928-Q929-Q928-P928-P929-K930-K929-I929-G929-F929-E929-E928-B929-B928-M928-D928-D929-M930-H929-C928-H931-K931-C929-L928-L929-L930-F930-G930-J929-H930</f>
        <v>3.2912339520407841E-11</v>
      </c>
    </row>
    <row r="931" spans="1:22" x14ac:dyDescent="0.25">
      <c r="A931" t="s">
        <v>1077</v>
      </c>
      <c r="B931" s="56">
        <v>10305.11</v>
      </c>
      <c r="F931" s="43">
        <v>33564</v>
      </c>
      <c r="G931" s="43">
        <v>-943.14</v>
      </c>
      <c r="I931" s="43">
        <v>13.58</v>
      </c>
      <c r="J931" s="3"/>
      <c r="N931" s="56">
        <v>53703.38</v>
      </c>
      <c r="O931" s="3">
        <f t="shared" si="30"/>
        <v>-7.2759576141834259E-12</v>
      </c>
      <c r="P931" s="56">
        <v>-184.13</v>
      </c>
      <c r="R931" s="56">
        <v>122.33</v>
      </c>
      <c r="S931" s="56">
        <v>-61.8</v>
      </c>
      <c r="T931" s="1">
        <f t="shared" si="31"/>
        <v>0</v>
      </c>
      <c r="U931" s="56">
        <v>53641.58</v>
      </c>
      <c r="V931" s="1">
        <f>U931-P931-N931-Q931-R931+N931-I932-G932-F932-D931-E931-B931-K932-M931-H932-C931-L931-J931</f>
        <v>-5.5280224842135794E-12</v>
      </c>
    </row>
    <row r="932" spans="1:22" x14ac:dyDescent="0.25">
      <c r="A932" t="s">
        <v>1078</v>
      </c>
      <c r="B932" s="112">
        <v>8985.4800000000014</v>
      </c>
      <c r="F932" s="56">
        <v>46835.47</v>
      </c>
      <c r="G932" s="56">
        <v>-3355.22</v>
      </c>
      <c r="H932" s="56">
        <v>-94.17</v>
      </c>
      <c r="I932" s="56">
        <v>12.190000000000001</v>
      </c>
      <c r="J932" s="3"/>
      <c r="N932" s="112">
        <v>71141.75</v>
      </c>
      <c r="O932" s="3">
        <f t="shared" si="30"/>
        <v>9.0949470177292824E-12</v>
      </c>
      <c r="P932" s="112">
        <v>-356.92</v>
      </c>
      <c r="S932" s="112">
        <v>-356.92</v>
      </c>
      <c r="T932" s="1">
        <f t="shared" si="31"/>
        <v>0</v>
      </c>
      <c r="U932" s="112">
        <v>70784.83</v>
      </c>
      <c r="V932" s="1">
        <f>U932-P932-N932-Q932-R932+N932-I933-G933-F933-D932-E932-B932-K933-M932-H933-C932-L932-J932</f>
        <v>4.4408920985006262E-12</v>
      </c>
    </row>
    <row r="933" spans="1:22" x14ac:dyDescent="0.25">
      <c r="A933" t="s">
        <v>1079</v>
      </c>
      <c r="B933" s="2">
        <v>9478.82</v>
      </c>
      <c r="F933" s="112">
        <v>62391.81</v>
      </c>
      <c r="G933" s="112">
        <v>-204.44</v>
      </c>
      <c r="H933" s="112">
        <v>-45.38</v>
      </c>
      <c r="I933" s="112">
        <v>14.28</v>
      </c>
      <c r="J933" s="3"/>
      <c r="N933" s="2">
        <v>61482.17</v>
      </c>
      <c r="O933" s="3">
        <f t="shared" si="30"/>
        <v>0</v>
      </c>
      <c r="P933" s="2">
        <v>-338.29</v>
      </c>
      <c r="Q933" s="2">
        <v>-106.55</v>
      </c>
      <c r="S933" s="2">
        <v>-444.84</v>
      </c>
      <c r="T933" s="1">
        <f t="shared" si="31"/>
        <v>0</v>
      </c>
      <c r="U933" s="2">
        <v>61037.33</v>
      </c>
      <c r="V933" s="1">
        <f>U933-P933-N933-Q933-R933+N933-I934-G934-F934-D933-E933-B933-K934-M933-H934-C933-L933-J933</f>
        <v>9.8978603091381956E-12</v>
      </c>
    </row>
    <row r="934" spans="1:22" x14ac:dyDescent="0.25">
      <c r="A934" t="s">
        <v>1080</v>
      </c>
      <c r="B934" s="39">
        <v>8146.76</v>
      </c>
      <c r="F934" s="2">
        <v>52684.229999999996</v>
      </c>
      <c r="G934" s="2">
        <v>-714.02</v>
      </c>
      <c r="H934" s="2">
        <v>-49.38</v>
      </c>
      <c r="I934" s="2">
        <v>82.52</v>
      </c>
      <c r="J934" s="3"/>
      <c r="N934" s="39">
        <v>54956.31</v>
      </c>
      <c r="O934" s="3">
        <f t="shared" si="30"/>
        <v>1.8189894035458565E-12</v>
      </c>
      <c r="P934" s="39">
        <v>-135.13</v>
      </c>
      <c r="S934" s="39">
        <v>-135.13</v>
      </c>
      <c r="T934" s="1">
        <f t="shared" si="31"/>
        <v>0</v>
      </c>
      <c r="U934" s="39">
        <v>54821.18</v>
      </c>
      <c r="V934" s="1">
        <f>U934-P934-N934-Q934-R934+N934-I935-G935-F935-D934-E934-B934-K935-M934-H935-C934-L934-J934</f>
        <v>2.9842794901924208E-12</v>
      </c>
    </row>
    <row r="935" spans="1:22" x14ac:dyDescent="0.25">
      <c r="A935" t="s">
        <v>1081</v>
      </c>
      <c r="B935" s="9">
        <v>5582.3</v>
      </c>
      <c r="E935" s="9">
        <v>13.26</v>
      </c>
      <c r="F935" s="39">
        <v>48730.28</v>
      </c>
      <c r="G935" s="39">
        <v>-2003.87</v>
      </c>
      <c r="H935" s="39">
        <v>-37.28</v>
      </c>
      <c r="I935" s="39">
        <v>120.42</v>
      </c>
      <c r="J935" s="3"/>
      <c r="O935" s="3">
        <f t="shared" si="30"/>
        <v>-34814.259999999995</v>
      </c>
      <c r="P935" s="9">
        <v>-832.21</v>
      </c>
      <c r="T935" s="3">
        <f t="shared" si="31"/>
        <v>832.21</v>
      </c>
    </row>
    <row r="936" spans="1:22" x14ac:dyDescent="0.25">
      <c r="A936" t="s">
        <v>1082</v>
      </c>
      <c r="B936" s="9">
        <v>5620.58</v>
      </c>
      <c r="F936" s="9">
        <v>32091.179999999997</v>
      </c>
      <c r="G936" s="9">
        <v>-2867.62</v>
      </c>
      <c r="H936" s="9">
        <v>-20.65</v>
      </c>
      <c r="I936" s="9">
        <v>15.79</v>
      </c>
      <c r="J936" s="3"/>
      <c r="M936" s="9">
        <v>19057.060000000001</v>
      </c>
      <c r="O936" s="3">
        <f t="shared" si="30"/>
        <v>-56424.2</v>
      </c>
      <c r="P936" s="9">
        <v>-147.63</v>
      </c>
      <c r="Q936" s="9">
        <v>-213.22</v>
      </c>
      <c r="T936" s="3">
        <f t="shared" si="31"/>
        <v>360.85</v>
      </c>
    </row>
    <row r="937" spans="1:22" x14ac:dyDescent="0.25">
      <c r="A937" t="s">
        <v>1083</v>
      </c>
      <c r="B937" s="9">
        <v>3865.8599999999997</v>
      </c>
      <c r="F937" s="9">
        <v>32275.559999999998</v>
      </c>
      <c r="G937" s="9">
        <v>-529</v>
      </c>
      <c r="J937" s="3"/>
      <c r="O937" s="3">
        <f t="shared" si="30"/>
        <v>-34656.480000000003</v>
      </c>
      <c r="P937" s="9">
        <v>-317.68</v>
      </c>
      <c r="R937" s="9">
        <v>1442.39</v>
      </c>
      <c r="T937" s="3">
        <f t="shared" si="31"/>
        <v>-1124.71</v>
      </c>
    </row>
    <row r="938" spans="1:22" x14ac:dyDescent="0.25">
      <c r="A938" t="s">
        <v>1084</v>
      </c>
      <c r="B938" s="9">
        <v>8278.6400000000012</v>
      </c>
      <c r="F938" s="9">
        <v>30880.170000000002</v>
      </c>
      <c r="G938" s="9">
        <v>-349.84000000000003</v>
      </c>
      <c r="I938" s="9">
        <v>260.29000000000002</v>
      </c>
      <c r="J938" s="3"/>
      <c r="N938" s="9">
        <v>190740.4</v>
      </c>
      <c r="O938" s="3">
        <f t="shared" si="30"/>
        <v>125894.93999999999</v>
      </c>
      <c r="P938" s="9">
        <v>-255.83</v>
      </c>
      <c r="S938" s="9">
        <v>-324.18</v>
      </c>
      <c r="T938" s="3">
        <f t="shared" si="31"/>
        <v>-68.349999999999994</v>
      </c>
      <c r="U938" s="9">
        <v>190416.22</v>
      </c>
    </row>
    <row r="939" spans="1:22" x14ac:dyDescent="0.25">
      <c r="A939" t="s">
        <v>1085</v>
      </c>
      <c r="B939" s="5">
        <v>9257.57</v>
      </c>
      <c r="F939" s="9">
        <v>57740.1</v>
      </c>
      <c r="G939" s="9">
        <v>-1140.1600000000001</v>
      </c>
      <c r="H939" s="9">
        <v>-33.119999999999997</v>
      </c>
      <c r="J939" s="3"/>
      <c r="N939" s="5">
        <v>66257.7</v>
      </c>
      <c r="O939" s="3">
        <f t="shared" si="30"/>
        <v>-7.2759576141834259E-12</v>
      </c>
      <c r="P939" s="5">
        <v>-471.43</v>
      </c>
      <c r="Q939" s="5">
        <f>-28.27 -28.27</f>
        <v>-56.54</v>
      </c>
      <c r="S939" s="5">
        <v>-527.97</v>
      </c>
      <c r="T939" s="3">
        <f t="shared" si="31"/>
        <v>0</v>
      </c>
      <c r="U939" s="5">
        <v>65729.73</v>
      </c>
      <c r="V939" s="1">
        <f>U939-P939-N939-Q939-R939+N939-I940-G940-F940-D939-E939-B939-K940-M939-H940-C939-L939-J939</f>
        <v>-2.0662582755903713E-11</v>
      </c>
    </row>
    <row r="940" spans="1:22" x14ac:dyDescent="0.25">
      <c r="A940" t="s">
        <v>1086</v>
      </c>
      <c r="B940" s="110">
        <v>8527.48</v>
      </c>
      <c r="F940" s="5">
        <v>59040.06</v>
      </c>
      <c r="G940" s="5">
        <v>-2074.9</v>
      </c>
      <c r="H940" s="5">
        <v>-43.28</v>
      </c>
      <c r="I940" s="5">
        <v>78.25</v>
      </c>
      <c r="J940" s="3"/>
      <c r="N940" s="110">
        <v>43050.85</v>
      </c>
      <c r="O940" s="3">
        <f t="shared" si="30"/>
        <v>3.637978807091713E-12</v>
      </c>
      <c r="P940" s="110">
        <v>-260.83</v>
      </c>
      <c r="Q940" s="110">
        <v>-227.71</v>
      </c>
      <c r="S940" s="110">
        <v>-488.54</v>
      </c>
      <c r="T940" s="3">
        <f t="shared" si="31"/>
        <v>0</v>
      </c>
      <c r="U940" s="110">
        <v>42562.31</v>
      </c>
      <c r="V940" s="1">
        <f>U940-P940-N940-Q940-R940+N940-I941-G941-F941-D940-E940-B940-K941-M940-H941-C940-L940-J940</f>
        <v>1.8900436771218665E-12</v>
      </c>
    </row>
    <row r="941" spans="1:22" x14ac:dyDescent="0.25">
      <c r="A941" t="s">
        <v>1087</v>
      </c>
      <c r="B941" s="49">
        <v>9013.07</v>
      </c>
      <c r="D941" s="49">
        <v>685.3</v>
      </c>
      <c r="F941" s="110">
        <v>35881.47</v>
      </c>
      <c r="G941" s="110">
        <v>-1874.72</v>
      </c>
      <c r="H941" s="110">
        <v>-105.08</v>
      </c>
      <c r="I941" s="110">
        <v>621.69999999999993</v>
      </c>
      <c r="J941" s="3"/>
      <c r="L941" s="49">
        <v>-0.02</v>
      </c>
      <c r="N941" s="49">
        <v>74884.05</v>
      </c>
      <c r="O941" s="3">
        <f t="shared" si="30"/>
        <v>6.8394005736660546E-12</v>
      </c>
      <c r="P941" s="49">
        <v>-38.369999999999997</v>
      </c>
      <c r="S941" s="49">
        <v>-38.369999999999997</v>
      </c>
      <c r="T941" s="3">
        <f t="shared" si="31"/>
        <v>0</v>
      </c>
      <c r="U941" s="49">
        <v>74845.679999999993</v>
      </c>
      <c r="V941" s="1">
        <f>U941-P941-N941-Q941-R941+N941-I942-G942-F942-D941-E941-B941-K942-M941-H942-C941-L941-J941</f>
        <v>-4.2237498221187053E-12</v>
      </c>
    </row>
    <row r="942" spans="1:22" x14ac:dyDescent="0.25">
      <c r="A942" t="s">
        <v>1088</v>
      </c>
      <c r="B942" s="39">
        <v>13106</v>
      </c>
      <c r="F942" s="49">
        <v>65620.680000000008</v>
      </c>
      <c r="G942" s="49">
        <v>-437.82</v>
      </c>
      <c r="H942" s="49">
        <v>-55.589999999999996</v>
      </c>
      <c r="I942" s="49">
        <v>58.43</v>
      </c>
      <c r="J942" s="3"/>
      <c r="O942" s="3">
        <f t="shared" si="30"/>
        <v>-67296.509999999995</v>
      </c>
      <c r="P942" s="39">
        <v>-960.61</v>
      </c>
      <c r="T942" s="3">
        <f t="shared" si="31"/>
        <v>960.61</v>
      </c>
    </row>
    <row r="943" spans="1:22" x14ac:dyDescent="0.25">
      <c r="A943" t="s">
        <v>1089</v>
      </c>
      <c r="B943" s="39">
        <v>8732.3000000000011</v>
      </c>
      <c r="F943" s="39">
        <v>54916.579999999994</v>
      </c>
      <c r="G943" s="39">
        <v>-342.38</v>
      </c>
      <c r="H943" s="39">
        <v>-416.81</v>
      </c>
      <c r="I943" s="39">
        <v>33.119999999999997</v>
      </c>
      <c r="J943" s="3"/>
      <c r="M943" s="39">
        <v>48950.97</v>
      </c>
      <c r="O943" s="3">
        <f t="shared" si="30"/>
        <v>-122643.95</v>
      </c>
      <c r="P943" s="39">
        <v>-532.46</v>
      </c>
      <c r="R943" s="39">
        <v>24365.62</v>
      </c>
      <c r="T943" s="3">
        <f t="shared" si="31"/>
        <v>-23833.16</v>
      </c>
    </row>
    <row r="944" spans="1:22" x14ac:dyDescent="0.25">
      <c r="A944" t="s">
        <v>1090</v>
      </c>
      <c r="B944" s="39">
        <v>7213.26</v>
      </c>
      <c r="F944" s="39">
        <v>65164.54</v>
      </c>
      <c r="G944" s="39">
        <v>-203.85999999999999</v>
      </c>
      <c r="J944" s="3"/>
      <c r="N944" s="39">
        <v>255606.83</v>
      </c>
      <c r="O944" s="3">
        <f t="shared" si="30"/>
        <v>189940.45999999996</v>
      </c>
      <c r="P944" s="39">
        <v>-393.41</v>
      </c>
      <c r="S944" s="39">
        <v>22479.14</v>
      </c>
      <c r="T944" s="3">
        <f t="shared" si="31"/>
        <v>22872.55</v>
      </c>
      <c r="U944" s="39">
        <v>278085.96999999997</v>
      </c>
      <c r="V944" s="3">
        <f>U944-P944-N944-Q944-R944+N944-I945-G945-F945-D944-E944-B944-M943-R943-R942-Q943-Q942-P942-P943-K944-K943-I943-G943-F943-E943-E942-B943-B942-M942-D942-D943-M944-H943-C942-H945-K945-C943-L942-L943-L944-F944-G944-J943-H944</f>
        <v>-1.0973622011078987E-10</v>
      </c>
    </row>
    <row r="945" spans="1:22" x14ac:dyDescent="0.25">
      <c r="A945" t="s">
        <v>1091</v>
      </c>
      <c r="B945" s="57">
        <v>12702.990000000002</v>
      </c>
      <c r="F945" s="39">
        <v>58564.200000000004</v>
      </c>
      <c r="G945" s="39">
        <v>-189.86</v>
      </c>
      <c r="I945" s="39">
        <v>78.77</v>
      </c>
      <c r="J945" s="3"/>
      <c r="M945" s="57">
        <v>16373.14</v>
      </c>
      <c r="N945" s="57">
        <v>137320.29999999999</v>
      </c>
      <c r="O945" s="3">
        <f t="shared" si="30"/>
        <v>-1.0913936421275139E-11</v>
      </c>
      <c r="P945" s="57">
        <v>-405.81</v>
      </c>
      <c r="Q945" s="57">
        <v>-107.53</v>
      </c>
      <c r="R945" s="57">
        <v>955.31</v>
      </c>
      <c r="S945" s="57">
        <v>441.97</v>
      </c>
      <c r="T945" s="3">
        <f t="shared" si="31"/>
        <v>0</v>
      </c>
      <c r="U945" s="57">
        <v>137762.26999999999</v>
      </c>
      <c r="V945" s="1">
        <f>U945-P945-N945-Q945-R945+N945-I946-G946-F946-D945-E945-B945-K946-M945-H946-C945-L945-J945</f>
        <v>-5.0590642786119133E-12</v>
      </c>
    </row>
    <row r="946" spans="1:22" x14ac:dyDescent="0.25">
      <c r="A946" t="s">
        <v>1092</v>
      </c>
      <c r="B946" s="56">
        <v>10997.73</v>
      </c>
      <c r="F946" s="57">
        <v>108804.89</v>
      </c>
      <c r="G946" s="57">
        <v>-1218.6299999999999</v>
      </c>
      <c r="H946" s="57">
        <v>380.09999999999997</v>
      </c>
      <c r="I946" s="57">
        <v>277.81</v>
      </c>
      <c r="J946" s="3"/>
      <c r="N946" s="56">
        <v>97778.46</v>
      </c>
      <c r="O946" s="3">
        <f t="shared" si="30"/>
        <v>-3.637978807091713E-12</v>
      </c>
      <c r="P946" s="56">
        <v>-128.94</v>
      </c>
      <c r="S946" s="56">
        <v>-128.94</v>
      </c>
      <c r="T946" s="3">
        <f t="shared" si="31"/>
        <v>0</v>
      </c>
      <c r="U946" s="56">
        <v>97649.52</v>
      </c>
      <c r="V946" s="1">
        <f>U946-P946-N946-Q946-R946+N946-I947-G947-F947-D946-E946-B946-K947-M946-H947-C946-L946-J946</f>
        <v>1.6004975122996257E-12</v>
      </c>
    </row>
    <row r="947" spans="1:22" x14ac:dyDescent="0.25">
      <c r="A947" t="s">
        <v>1093</v>
      </c>
      <c r="B947" s="37">
        <v>15998.150000000001</v>
      </c>
      <c r="F947" s="56">
        <v>87696.56</v>
      </c>
      <c r="G947" s="56">
        <v>-964.54000000000008</v>
      </c>
      <c r="H947" s="56">
        <v>-7.76</v>
      </c>
      <c r="I947" s="56">
        <v>56.47</v>
      </c>
      <c r="J947" s="3"/>
      <c r="N947" s="37">
        <v>94091.49</v>
      </c>
      <c r="O947" s="3">
        <f t="shared" si="30"/>
        <v>7.2759576141834259E-12</v>
      </c>
      <c r="P947" s="37">
        <v>-133.18</v>
      </c>
      <c r="Q947" s="37">
        <v>-26.17</v>
      </c>
      <c r="S947" s="37">
        <v>-159.35</v>
      </c>
      <c r="T947" s="3">
        <f t="shared" si="31"/>
        <v>0</v>
      </c>
      <c r="U947" s="37">
        <v>93932.14</v>
      </c>
      <c r="V947" s="1">
        <f>U947-P947-N947-Q947-R947+N947-I948-G948-F948-D947-E947-B947-K948-M947-H948-C947-L947-J947</f>
        <v>-1.2505552149377763E-11</v>
      </c>
    </row>
    <row r="948" spans="1:22" x14ac:dyDescent="0.25">
      <c r="A948" t="s">
        <v>1094</v>
      </c>
      <c r="B948" s="51">
        <v>15053.529999999999</v>
      </c>
      <c r="E948" s="51">
        <v>111.52</v>
      </c>
      <c r="F948" s="37">
        <v>79562.19</v>
      </c>
      <c r="G948" s="37">
        <v>-1268.6099999999999</v>
      </c>
      <c r="H948" s="37">
        <v>-200.24</v>
      </c>
      <c r="J948" s="3"/>
      <c r="M948" s="51">
        <v>-4000</v>
      </c>
      <c r="N948" s="51">
        <v>96680.89</v>
      </c>
      <c r="O948" s="3">
        <f t="shared" si="30"/>
        <v>3.637978807091713E-12</v>
      </c>
      <c r="P948" s="51">
        <v>-384.07</v>
      </c>
      <c r="Q948" s="51">
        <f>-106.67 -106.69</f>
        <v>-213.36</v>
      </c>
      <c r="S948" s="51">
        <v>-597.42999999999995</v>
      </c>
      <c r="T948" s="3">
        <f t="shared" si="31"/>
        <v>0</v>
      </c>
      <c r="U948" s="51">
        <v>96083.46</v>
      </c>
      <c r="V948" s="1">
        <f>U948-P948-N948-Q948-R948+N948-I949-G949-F949-D948-E948-B948-K949-M948-H949-C948-L948-J948</f>
        <v>2.1096013824717375E-11</v>
      </c>
    </row>
    <row r="949" spans="1:22" x14ac:dyDescent="0.25">
      <c r="A949" t="s">
        <v>1095</v>
      </c>
      <c r="B949" s="9">
        <v>8157.99</v>
      </c>
      <c r="F949" s="51">
        <v>88415.56</v>
      </c>
      <c r="G949" s="51">
        <v>-2850.27</v>
      </c>
      <c r="H949" s="51">
        <v>-49.449999999999996</v>
      </c>
      <c r="J949" s="3"/>
      <c r="O949" s="3">
        <f t="shared" si="30"/>
        <v>-77359.840000000011</v>
      </c>
      <c r="P949" s="9">
        <v>-678.47</v>
      </c>
      <c r="T949" s="3">
        <f t="shared" si="31"/>
        <v>678.47</v>
      </c>
    </row>
    <row r="950" spans="1:22" x14ac:dyDescent="0.25">
      <c r="A950" t="s">
        <v>1096</v>
      </c>
      <c r="B950" s="9">
        <v>6929.7999999999993</v>
      </c>
      <c r="F950" s="9">
        <v>69765.3</v>
      </c>
      <c r="G950" s="9">
        <v>-546.37</v>
      </c>
      <c r="H950" s="9">
        <v>-35.14</v>
      </c>
      <c r="I950" s="9">
        <v>18.060000000000002</v>
      </c>
      <c r="J950" s="3"/>
      <c r="M950" s="9">
        <v>24533.59</v>
      </c>
      <c r="O950" s="3">
        <f t="shared" si="30"/>
        <v>-64401.09</v>
      </c>
      <c r="P950" s="9">
        <v>-392.45</v>
      </c>
      <c r="Q950" s="9">
        <v>-38.340000000000003</v>
      </c>
      <c r="R950" s="9">
        <v>1849.15</v>
      </c>
      <c r="T950" s="3">
        <f t="shared" si="31"/>
        <v>-1418.3600000000001</v>
      </c>
    </row>
    <row r="951" spans="1:22" x14ac:dyDescent="0.25">
      <c r="A951" t="s">
        <v>1097</v>
      </c>
      <c r="B951" s="9">
        <v>3746.8900000000003</v>
      </c>
      <c r="F951" s="9">
        <v>33876.400000000001</v>
      </c>
      <c r="G951" s="9">
        <v>-938.69999999999993</v>
      </c>
      <c r="J951" s="3"/>
      <c r="N951" s="9">
        <v>198722.5</v>
      </c>
      <c r="O951" s="3">
        <f t="shared" si="30"/>
        <v>141760.93</v>
      </c>
      <c r="P951" s="9">
        <v>-319.01</v>
      </c>
      <c r="S951" s="9">
        <v>420.88</v>
      </c>
      <c r="T951" s="3">
        <f t="shared" si="31"/>
        <v>739.89</v>
      </c>
      <c r="U951" s="9">
        <v>199143.38</v>
      </c>
      <c r="V951" s="3">
        <f>U951-P951-N951-Q951-R951+N951-I952-G952-F952-D951-E951-B951-M950-R950-R949-Q950-Q949-P949-P950-K951-K950-I950-G950-F950-E950-E949-B950-B949-M949-D949-D950-M951-H950-C949-H952-K952-C950-L949-L950-L951-F951-G951-J950-H951</f>
        <v>2.8421709430404007E-12</v>
      </c>
    </row>
    <row r="952" spans="1:22" x14ac:dyDescent="0.25">
      <c r="A952" t="s">
        <v>1098</v>
      </c>
      <c r="B952" s="5">
        <v>7954.5199999999995</v>
      </c>
      <c r="F952" s="9">
        <v>53978.21</v>
      </c>
      <c r="G952" s="9">
        <v>-851.85</v>
      </c>
      <c r="I952" s="9">
        <v>88.32</v>
      </c>
      <c r="J952" s="3"/>
      <c r="N952" s="5">
        <v>104035.49</v>
      </c>
      <c r="O952" s="3">
        <f t="shared" ref="O952:O977" si="32">N952-K953-I953-H953-G953-F953-E952-D952-C952-B952-M952-L952-J952</f>
        <v>4.5474735088646412E-12</v>
      </c>
      <c r="P952" s="5">
        <v>-389.03</v>
      </c>
      <c r="S952" s="5">
        <v>-389.03</v>
      </c>
      <c r="T952" s="3">
        <f t="shared" si="31"/>
        <v>0</v>
      </c>
      <c r="U952" s="5">
        <v>103646.46</v>
      </c>
      <c r="V952" s="1">
        <f>U952-P952-N952-Q952-R952+N952-I953-G953-F953-D952-E952-B952-K953-M952-H953-C952-L952-J952</f>
        <v>6.8780536821577698E-12</v>
      </c>
    </row>
    <row r="953" spans="1:22" x14ac:dyDescent="0.25">
      <c r="A953" t="s">
        <v>1099</v>
      </c>
      <c r="B953" s="49">
        <v>8207.48</v>
      </c>
      <c r="F953" s="5">
        <v>96644.92</v>
      </c>
      <c r="G953" s="5">
        <v>-490.8</v>
      </c>
      <c r="H953" s="5">
        <v>-94.56</v>
      </c>
      <c r="I953" s="5">
        <v>21.41</v>
      </c>
      <c r="J953" s="3"/>
      <c r="N953" s="49">
        <v>114332.6</v>
      </c>
      <c r="O953" s="3">
        <f t="shared" si="32"/>
        <v>1.0913936421275139E-11</v>
      </c>
      <c r="P953" s="49">
        <v>-330.03</v>
      </c>
      <c r="Q953" s="49">
        <v>-106.67</v>
      </c>
      <c r="S953" s="49">
        <v>-436.7</v>
      </c>
      <c r="T953" s="3">
        <f t="shared" si="31"/>
        <v>0</v>
      </c>
      <c r="U953" s="49">
        <v>113895.9</v>
      </c>
      <c r="V953" s="1">
        <f>U953-P953-N953-Q953-R953+N953-I954-G954-F954-D953-E953-B953-K954-M953-H954-C953-L953-J953</f>
        <v>-5.9650062667060411E-12</v>
      </c>
    </row>
    <row r="954" spans="1:22" x14ac:dyDescent="0.25">
      <c r="A954" t="s">
        <v>1100</v>
      </c>
      <c r="B954" s="8">
        <v>6107.07</v>
      </c>
      <c r="F954" s="49">
        <v>107831.4</v>
      </c>
      <c r="G954" s="49">
        <v>-1725.9</v>
      </c>
      <c r="H954" s="49">
        <v>-20.69</v>
      </c>
      <c r="I954" s="49">
        <v>40.31</v>
      </c>
      <c r="J954" s="8">
        <v>-47.42</v>
      </c>
      <c r="N954" s="8">
        <v>130477.88</v>
      </c>
      <c r="O954" s="3">
        <f t="shared" si="32"/>
        <v>2.3575807972520124E-11</v>
      </c>
      <c r="P954" s="8">
        <v>-202.49</v>
      </c>
      <c r="Q954" s="8">
        <v>-214.45</v>
      </c>
      <c r="R954" s="8">
        <v>1.89</v>
      </c>
      <c r="S954" s="8">
        <v>-415.05</v>
      </c>
      <c r="T954" s="3">
        <f t="shared" si="31"/>
        <v>0</v>
      </c>
      <c r="U954" s="8">
        <v>130062.83</v>
      </c>
      <c r="V954" s="1">
        <f>U954-P954-N954-Q954-R954+N954-I955-G955-F955-D954-E954-B954-K955-M954-H955-C954-L954-J954</f>
        <v>3.1732838579046074E-11</v>
      </c>
    </row>
    <row r="955" spans="1:22" x14ac:dyDescent="0.25">
      <c r="A955" t="s">
        <v>1101</v>
      </c>
      <c r="B955" s="34">
        <v>5325.78</v>
      </c>
      <c r="C955" s="34">
        <v>-298.75</v>
      </c>
      <c r="F955" s="8">
        <v>131825.03999999998</v>
      </c>
      <c r="G955" s="8">
        <v>-7290.0199999999995</v>
      </c>
      <c r="H955" s="8">
        <v>-132.46</v>
      </c>
      <c r="I955" s="8">
        <v>15.67</v>
      </c>
      <c r="J955" s="3"/>
      <c r="N955" s="34">
        <v>94053.440000000002</v>
      </c>
      <c r="O955" s="3">
        <f t="shared" si="32"/>
        <v>-9.0949470177292824E-13</v>
      </c>
      <c r="P955" s="34">
        <v>-196.93</v>
      </c>
      <c r="Q955" s="34">
        <f>-213.12 -215.02</f>
        <v>-428.14</v>
      </c>
      <c r="S955" s="34">
        <v>-625.07000000000005</v>
      </c>
      <c r="T955" s="3">
        <f t="shared" si="31"/>
        <v>0</v>
      </c>
      <c r="U955" s="34">
        <v>93428.37</v>
      </c>
      <c r="V955" s="1">
        <f>U955-P955-N955-Q955-R955+N955-I956-G956-F956-D955-E955-B955-K956-M955-H956-C955-L955-J955</f>
        <v>-1.432454155292362E-11</v>
      </c>
    </row>
    <row r="956" spans="1:22" x14ac:dyDescent="0.25">
      <c r="A956" t="s">
        <v>1102</v>
      </c>
      <c r="B956" s="89">
        <v>4976.74</v>
      </c>
      <c r="F956" s="34">
        <v>90870.39</v>
      </c>
      <c r="G956" s="34">
        <v>-1798.73</v>
      </c>
      <c r="H956" s="34">
        <v>-89.53</v>
      </c>
      <c r="I956" s="34">
        <v>44.28</v>
      </c>
      <c r="J956" s="3"/>
      <c r="O956" s="3">
        <f t="shared" si="32"/>
        <v>-62578.159999999996</v>
      </c>
      <c r="P956" s="89">
        <v>-659.28</v>
      </c>
      <c r="Q956" s="89">
        <v>-106.46</v>
      </c>
      <c r="T956" s="3">
        <f t="shared" si="31"/>
        <v>765.74</v>
      </c>
    </row>
    <row r="957" spans="1:22" x14ac:dyDescent="0.25">
      <c r="A957" t="s">
        <v>1103</v>
      </c>
      <c r="B957" s="89">
        <v>5428.17</v>
      </c>
      <c r="F957" s="89">
        <v>58020.67</v>
      </c>
      <c r="G957" s="89">
        <v>-406.87</v>
      </c>
      <c r="H957" s="89">
        <v>-44.769999999999996</v>
      </c>
      <c r="I957" s="89">
        <v>32.39</v>
      </c>
      <c r="J957" s="3"/>
      <c r="M957" s="89">
        <v>21831.599999999999</v>
      </c>
      <c r="O957" s="3">
        <f t="shared" si="32"/>
        <v>-65756.76999999999</v>
      </c>
      <c r="P957" s="89">
        <v>-185.2</v>
      </c>
      <c r="T957" s="3">
        <f t="shared" si="31"/>
        <v>185.2</v>
      </c>
    </row>
    <row r="958" spans="1:22" x14ac:dyDescent="0.25">
      <c r="A958" t="s">
        <v>1104</v>
      </c>
      <c r="B958" s="89">
        <v>833.54</v>
      </c>
      <c r="F958" s="89">
        <v>39819.43</v>
      </c>
      <c r="G958" s="89">
        <v>-1322.43</v>
      </c>
      <c r="J958" s="3"/>
      <c r="N958" s="89">
        <v>170394.98</v>
      </c>
      <c r="O958" s="3">
        <f t="shared" si="32"/>
        <v>128334.93000000004</v>
      </c>
      <c r="P958" s="89">
        <v>-49</v>
      </c>
      <c r="Q958" s="89">
        <v>-430.6</v>
      </c>
      <c r="R958" s="89">
        <v>1387.01</v>
      </c>
      <c r="S958" s="89">
        <v>-43.53</v>
      </c>
      <c r="T958" s="3">
        <f t="shared" si="31"/>
        <v>-950.93999999999994</v>
      </c>
      <c r="U958" s="89">
        <v>170351.45</v>
      </c>
      <c r="V958" s="3">
        <f>U958-P958-N958-Q958-R958+N958-I959-G959-F959-D958-E958-B958-M957-R957-R956-Q957-Q956-P956-P957-K958-K957-I957-G957-F957-E957-E956-B957-B956-M956-D956-D957-M958-H957-C956-H959-K959-C957-L956-L957-L958-F958-G958-J957-H958</f>
        <v>4.3428372009657323E-11</v>
      </c>
    </row>
    <row r="959" spans="1:22" x14ac:dyDescent="0.25">
      <c r="A959" t="s">
        <v>1105</v>
      </c>
      <c r="B959" s="10">
        <v>4771.1400000000003</v>
      </c>
      <c r="E959" s="10">
        <v>161.16</v>
      </c>
      <c r="F959" s="89">
        <v>42666.820000000007</v>
      </c>
      <c r="G959" s="89">
        <v>-1736.89</v>
      </c>
      <c r="I959" s="89">
        <v>296.58</v>
      </c>
      <c r="J959" s="3"/>
      <c r="N959" s="10">
        <v>72936.08</v>
      </c>
      <c r="O959" s="3">
        <f t="shared" si="32"/>
        <v>-1.1823431123048067E-11</v>
      </c>
      <c r="P959" s="10">
        <v>-283.2</v>
      </c>
      <c r="S959" s="10">
        <v>-283.2</v>
      </c>
      <c r="T959" s="3">
        <f t="shared" si="31"/>
        <v>0</v>
      </c>
      <c r="U959" s="10">
        <v>72652.88</v>
      </c>
      <c r="V959" s="1">
        <f>U959-P959-N959-Q959-R959+N959-I960-G960-F960-D959-E959-B959-K960-M959-H960-C959-L959-J959</f>
        <v>-1.2960299500264227E-11</v>
      </c>
    </row>
    <row r="960" spans="1:22" x14ac:dyDescent="0.25">
      <c r="A960" t="s">
        <v>1106</v>
      </c>
      <c r="B960" s="112">
        <v>8291.39</v>
      </c>
      <c r="F960" s="10">
        <v>70816.930000000008</v>
      </c>
      <c r="G960" s="10">
        <v>-2430.6799999999998</v>
      </c>
      <c r="H960" s="10">
        <v>-382.47</v>
      </c>
      <c r="J960" s="3"/>
      <c r="N960" s="112">
        <v>58719.94</v>
      </c>
      <c r="O960" s="3">
        <f t="shared" si="32"/>
        <v>0</v>
      </c>
      <c r="P960" s="112">
        <v>-231.96</v>
      </c>
      <c r="S960" s="112">
        <v>-231.96</v>
      </c>
      <c r="T960" s="3">
        <f t="shared" si="31"/>
        <v>0</v>
      </c>
      <c r="U960" s="112">
        <v>58487.98</v>
      </c>
      <c r="V960" s="1">
        <f>U960-P960-N960-Q960-R960+N960-I961-G961-F961-D960-E960-B960-K961-M960-H961-C960-L960-J960</f>
        <v>1.1644019082268642E-12</v>
      </c>
    </row>
    <row r="961" spans="1:22" x14ac:dyDescent="0.25">
      <c r="A961" t="s">
        <v>1107</v>
      </c>
      <c r="B961" s="57">
        <v>2407.63</v>
      </c>
      <c r="F961" s="112">
        <v>50704.65</v>
      </c>
      <c r="G961" s="112">
        <v>-268.82</v>
      </c>
      <c r="H961" s="112">
        <v>-7.28</v>
      </c>
      <c r="I961" s="3"/>
      <c r="J961" s="3"/>
      <c r="N961" s="57">
        <v>69789.53</v>
      </c>
      <c r="O961" s="3">
        <f t="shared" si="32"/>
        <v>4.5474735088646412E-12</v>
      </c>
      <c r="P961" s="57">
        <v>-89.05</v>
      </c>
      <c r="S961" s="57">
        <v>-89.05</v>
      </c>
      <c r="T961" s="3">
        <f t="shared" si="31"/>
        <v>0</v>
      </c>
      <c r="U961" s="57">
        <v>69700.479999999996</v>
      </c>
      <c r="V961" s="1">
        <f>U961-P961-N961-Q961-R961+N961-I962-G962-F962-D961-E961-B961-K962-M961-H962-C961-L961-J961</f>
        <v>4.6895820560166612E-13</v>
      </c>
    </row>
    <row r="962" spans="1:22" x14ac:dyDescent="0.25">
      <c r="A962" t="s">
        <v>1108</v>
      </c>
      <c r="B962" s="35">
        <v>11238.25</v>
      </c>
      <c r="F962" s="57">
        <v>68049.3</v>
      </c>
      <c r="G962" s="57">
        <v>-638.11</v>
      </c>
      <c r="H962" s="57">
        <v>-76.52</v>
      </c>
      <c r="I962" s="57">
        <v>47.230000000000004</v>
      </c>
      <c r="J962" s="3"/>
      <c r="N962" s="35">
        <v>46543.46</v>
      </c>
      <c r="O962" s="3">
        <f t="shared" si="32"/>
        <v>0</v>
      </c>
      <c r="P962" s="35">
        <v>-309.83</v>
      </c>
      <c r="Q962" s="35">
        <v>-106.78</v>
      </c>
      <c r="S962" s="35">
        <v>-416.61</v>
      </c>
      <c r="T962" s="3">
        <f t="shared" si="31"/>
        <v>0</v>
      </c>
      <c r="U962" s="35">
        <v>46126.85</v>
      </c>
      <c r="V962" s="1">
        <f>U962-P962-N962-Q962-R962+N962-I963-G963-F963-D962-E962-B962-K963-M962-H963-C962-L962-J962</f>
        <v>-2.3288038164537284E-12</v>
      </c>
    </row>
    <row r="963" spans="1:22" x14ac:dyDescent="0.25">
      <c r="A963" t="s">
        <v>1109</v>
      </c>
      <c r="B963" s="30">
        <v>6059.88</v>
      </c>
      <c r="F963" s="35">
        <v>38029.83</v>
      </c>
      <c r="G963" s="35">
        <v>-2709.93</v>
      </c>
      <c r="H963" s="35">
        <v>-14.69</v>
      </c>
      <c r="J963" s="3"/>
      <c r="O963" s="3">
        <f t="shared" si="32"/>
        <v>-62281.91</v>
      </c>
      <c r="P963" s="30">
        <v>-190.87</v>
      </c>
      <c r="Q963" s="30">
        <v>-106.39</v>
      </c>
      <c r="T963" s="3">
        <f t="shared" si="31"/>
        <v>297.26</v>
      </c>
    </row>
    <row r="964" spans="1:22" x14ac:dyDescent="0.25">
      <c r="A964" t="s">
        <v>1110</v>
      </c>
      <c r="B964" s="30">
        <v>3822.45</v>
      </c>
      <c r="F964" s="30">
        <v>57500.060000000005</v>
      </c>
      <c r="G964" s="30">
        <v>-1278.03</v>
      </c>
      <c r="J964" s="3"/>
      <c r="M964" s="30">
        <v>20150.91</v>
      </c>
      <c r="N964" s="3"/>
      <c r="O964" s="3">
        <f t="shared" si="32"/>
        <v>-53853.41</v>
      </c>
      <c r="P964" s="30">
        <v>-325.19</v>
      </c>
      <c r="R964" s="30">
        <v>1373.06</v>
      </c>
      <c r="T964" s="3">
        <f t="shared" si="31"/>
        <v>-1047.8699999999999</v>
      </c>
    </row>
    <row r="965" spans="1:22" x14ac:dyDescent="0.25">
      <c r="A965" t="s">
        <v>1111</v>
      </c>
      <c r="B965" s="30">
        <v>1560.47</v>
      </c>
      <c r="F965" s="30">
        <v>30407.08</v>
      </c>
      <c r="G965" s="30">
        <v>-527.03</v>
      </c>
      <c r="J965" s="3"/>
      <c r="M965" s="3"/>
      <c r="N965" s="30">
        <v>143148.07</v>
      </c>
      <c r="O965" s="3">
        <f t="shared" si="32"/>
        <v>116135.32</v>
      </c>
      <c r="P965" s="30">
        <v>-49.25</v>
      </c>
      <c r="Q965" s="30">
        <v>-106.82</v>
      </c>
      <c r="S965" s="30">
        <v>594.54</v>
      </c>
      <c r="T965" s="3">
        <f t="shared" si="31"/>
        <v>750.6099999999999</v>
      </c>
      <c r="U965" s="30">
        <v>143742.60999999999</v>
      </c>
      <c r="V965" s="3">
        <f>U965-P965-N965-Q965-R965+N965-I966-G966-F966-D965-E965-B965-M964-R964-R963-Q964-Q963-P963-P964-K965-K964-I964-G964-F964-E964-E963-B964-B963-M963-D963-D964-M965-H964-C963-H966-K966-C964-L963-L964-L965-F965-G965-J964-H965</f>
        <v>-2.0691004465334117E-11</v>
      </c>
    </row>
    <row r="966" spans="1:22" x14ac:dyDescent="0.25">
      <c r="A966" t="s">
        <v>1112</v>
      </c>
      <c r="B966" s="6">
        <v>6415.88</v>
      </c>
      <c r="C966" s="6">
        <v>-860.79</v>
      </c>
      <c r="F966" s="30">
        <v>26304.16</v>
      </c>
      <c r="G966" s="30">
        <v>-857.87</v>
      </c>
      <c r="H966" s="30">
        <v>-7.9399999999999995</v>
      </c>
      <c r="I966" s="30">
        <v>13.93</v>
      </c>
      <c r="J966" s="3"/>
      <c r="N966" s="6">
        <v>52218.38</v>
      </c>
      <c r="O966" s="3">
        <f t="shared" si="32"/>
        <v>-3.637978807091713E-12</v>
      </c>
      <c r="P966" s="6">
        <v>-115.49</v>
      </c>
      <c r="Q966" s="6">
        <v>-106.88</v>
      </c>
      <c r="S966" s="6">
        <v>-222.37</v>
      </c>
      <c r="T966" s="3">
        <f t="shared" si="31"/>
        <v>0</v>
      </c>
      <c r="U966" s="6">
        <v>51996.01</v>
      </c>
      <c r="V966" s="1">
        <f>U966-P966-N966-Q966-R966+N966-I967-G967-F967-D966-E966-B966-K967-M966-H967-C966-L966-J966</f>
        <v>-5.1159076974727213E-12</v>
      </c>
    </row>
    <row r="967" spans="1:22" x14ac:dyDescent="0.25">
      <c r="A967" t="s">
        <v>1113</v>
      </c>
      <c r="B967" s="56">
        <v>5856.7800000000007</v>
      </c>
      <c r="F967" s="6">
        <v>47285.62</v>
      </c>
      <c r="G967" s="6">
        <v>-387.54</v>
      </c>
      <c r="H967" s="6">
        <v>-263.14999999999998</v>
      </c>
      <c r="I967" s="6">
        <v>28.36</v>
      </c>
      <c r="J967" s="3"/>
      <c r="N967" s="56">
        <v>79809.960000000006</v>
      </c>
      <c r="O967" s="3">
        <f t="shared" si="32"/>
        <v>1.2732925824820995E-11</v>
      </c>
      <c r="P967" s="56">
        <v>-171.55</v>
      </c>
      <c r="S967" s="56">
        <v>-171.55</v>
      </c>
      <c r="T967" s="3">
        <f t="shared" si="31"/>
        <v>0</v>
      </c>
      <c r="U967" s="56">
        <v>79638.41</v>
      </c>
      <c r="V967" s="1">
        <f>U967-P967-N967-Q967-R967+N967-I968-G968-F968-D967-E967-B967-K968-M967-H968-C967-L967-J967</f>
        <v>1.389821591146756E-11</v>
      </c>
    </row>
    <row r="968" spans="1:22" x14ac:dyDescent="0.25">
      <c r="A968" t="s">
        <v>1114</v>
      </c>
      <c r="B968" s="111">
        <v>5801.46</v>
      </c>
      <c r="F968" s="56">
        <v>75764.67</v>
      </c>
      <c r="G968" s="56">
        <v>-1734.21</v>
      </c>
      <c r="H968" s="56">
        <v>-77.28</v>
      </c>
      <c r="J968" s="3"/>
      <c r="N968" s="111">
        <v>80933.78</v>
      </c>
      <c r="O968" s="3">
        <f t="shared" si="32"/>
        <v>-8.1854523159563541E-12</v>
      </c>
      <c r="P968" s="111">
        <v>-73.849999999999994</v>
      </c>
      <c r="R968" s="111">
        <v>107.73</v>
      </c>
      <c r="S968" s="111">
        <v>33.880000000000003</v>
      </c>
      <c r="T968" s="3">
        <f t="shared" si="31"/>
        <v>0</v>
      </c>
      <c r="U968" s="111">
        <v>80967.66</v>
      </c>
      <c r="V968" s="1">
        <f>U968-P968-N968-Q968-R968+N968-I969-G969-F969-D968-E968-B968-K969-M968-H969-C968-L968-J968</f>
        <v>5.7696070143720135E-12</v>
      </c>
    </row>
    <row r="969" spans="1:22" x14ac:dyDescent="0.25">
      <c r="A969" t="s">
        <v>1115</v>
      </c>
      <c r="B969" s="4">
        <v>6159.1200000000008</v>
      </c>
      <c r="E969" s="4">
        <v>41.97</v>
      </c>
      <c r="F969" s="111">
        <v>77633.400000000009</v>
      </c>
      <c r="G969" s="111">
        <v>-2316.9699999999998</v>
      </c>
      <c r="H969" s="111">
        <v>-184.10999999999999</v>
      </c>
      <c r="J969" s="3"/>
      <c r="N969" s="4">
        <v>40922.54</v>
      </c>
      <c r="O969" s="3">
        <f t="shared" si="32"/>
        <v>2.7284841053187847E-12</v>
      </c>
      <c r="P969" s="4">
        <v>-81.319999999999993</v>
      </c>
      <c r="S969" s="4">
        <v>-81.319999999999993</v>
      </c>
      <c r="T969" s="3">
        <f t="shared" si="31"/>
        <v>0</v>
      </c>
      <c r="U969" s="4">
        <v>40841.22</v>
      </c>
      <c r="V969" s="1">
        <f>U969-P969-N969-Q969-R969+N969-I970-G970-F970-D969-E969-B969-K970-M969-H970-C969-L969-J969</f>
        <v>1.8474111129762605E-12</v>
      </c>
    </row>
    <row r="970" spans="1:22" x14ac:dyDescent="0.25">
      <c r="A970" t="s">
        <v>1116</v>
      </c>
      <c r="B970" s="107">
        <v>8747</v>
      </c>
      <c r="E970" s="107">
        <v>137.02000000000001</v>
      </c>
      <c r="F970" s="4">
        <v>37934.28</v>
      </c>
      <c r="G970" s="4">
        <v>-3060.6600000000003</v>
      </c>
      <c r="H970" s="4">
        <v>-239.29</v>
      </c>
      <c r="I970" s="4">
        <v>87.12</v>
      </c>
      <c r="J970" s="3"/>
      <c r="O970" s="3">
        <f t="shared" si="32"/>
        <v>-66854.16</v>
      </c>
      <c r="P970" s="107">
        <v>-1017.45</v>
      </c>
      <c r="Q970" s="107">
        <v>-107.74</v>
      </c>
      <c r="T970" s="3">
        <f t="shared" si="31"/>
        <v>1125.19</v>
      </c>
    </row>
    <row r="971" spans="1:22" x14ac:dyDescent="0.25">
      <c r="A971" t="s">
        <v>1117</v>
      </c>
      <c r="B971" s="107">
        <v>3282.52</v>
      </c>
      <c r="E971" s="107">
        <v>32.610000000000007</v>
      </c>
      <c r="F971" s="107">
        <v>59513.14</v>
      </c>
      <c r="G971" s="107">
        <v>-247.99</v>
      </c>
      <c r="H971" s="107">
        <v>-1320.16</v>
      </c>
      <c r="I971" s="107">
        <v>25.15</v>
      </c>
      <c r="J971" s="3"/>
      <c r="M971" s="107">
        <v>35090.629999999997</v>
      </c>
      <c r="O971" s="3">
        <f t="shared" si="32"/>
        <v>-82142.829999999987</v>
      </c>
      <c r="P971" s="107">
        <v>-349.72</v>
      </c>
      <c r="R971" s="107">
        <v>27797.01</v>
      </c>
      <c r="T971" s="3">
        <f t="shared" si="31"/>
        <v>-27447.289999999997</v>
      </c>
    </row>
    <row r="972" spans="1:22" x14ac:dyDescent="0.25">
      <c r="A972" t="s">
        <v>1118</v>
      </c>
      <c r="B972" s="107">
        <v>6571.97</v>
      </c>
      <c r="D972" s="107">
        <v>1000.25</v>
      </c>
      <c r="F972" s="107">
        <v>44707.79</v>
      </c>
      <c r="G972" s="107">
        <v>-882.56</v>
      </c>
      <c r="H972" s="107">
        <v>-88.160000000000011</v>
      </c>
      <c r="I972" s="3"/>
      <c r="J972" s="3"/>
      <c r="N972" s="107">
        <v>193520.46</v>
      </c>
      <c r="O972" s="3">
        <f t="shared" si="32"/>
        <v>148996.98999999996</v>
      </c>
      <c r="P972" s="107">
        <v>-89.4</v>
      </c>
      <c r="Q972" s="107">
        <v>-16.54</v>
      </c>
      <c r="S972" s="107">
        <v>26216.16</v>
      </c>
      <c r="T972" s="3">
        <f t="shared" si="31"/>
        <v>26322.100000000002</v>
      </c>
      <c r="U972" s="107">
        <v>219736.62</v>
      </c>
      <c r="V972" s="3">
        <f>U972-P972-N972-Q972-R972+N972-I973-G973-F973-D972-E972-B972-M971-R971-R970-Q971-Q970-P970-P971-K972-K971-I971-G971-F971-E971-E970-B971-B970-M970-D970-D971-M972-H971-C970-H973-K973-C971-L970-L971-L972-F972-G972-J971-H972</f>
        <v>-8.4838802649755962E-12</v>
      </c>
    </row>
    <row r="973" spans="1:22" x14ac:dyDescent="0.25">
      <c r="A973" t="s">
        <v>1119</v>
      </c>
      <c r="B973" s="37">
        <v>6988.57</v>
      </c>
      <c r="F973" s="107">
        <v>36886.92</v>
      </c>
      <c r="G973" s="107">
        <v>-219.96</v>
      </c>
      <c r="H973" s="107">
        <v>-28.09</v>
      </c>
      <c r="I973" s="107">
        <v>312.38</v>
      </c>
      <c r="J973" s="3"/>
      <c r="N973" s="37">
        <v>54791.16</v>
      </c>
      <c r="O973" s="3">
        <f t="shared" si="32"/>
        <v>7.2759576141834259E-12</v>
      </c>
      <c r="P973" s="37">
        <v>-550.85</v>
      </c>
      <c r="S973" s="37">
        <v>-550.85</v>
      </c>
      <c r="T973" s="3">
        <f t="shared" si="31"/>
        <v>0</v>
      </c>
      <c r="U973" s="37">
        <v>54240.31</v>
      </c>
      <c r="V973" s="1">
        <f>U973-P973-N973-Q973-R973+N973-I974-G974-F974-D973-E973-B973-K974-M973-H974-C973-L973-J973</f>
        <v>-1.4552803406786552E-12</v>
      </c>
    </row>
    <row r="974" spans="1:22" x14ac:dyDescent="0.25">
      <c r="A974" t="s">
        <v>1120</v>
      </c>
      <c r="B974" s="9">
        <v>4643</v>
      </c>
      <c r="F974" s="37">
        <v>48278.14</v>
      </c>
      <c r="G974" s="37">
        <v>-522</v>
      </c>
      <c r="H974" s="37">
        <v>-2.15</v>
      </c>
      <c r="I974" s="37">
        <v>48.6</v>
      </c>
      <c r="J974" s="3"/>
      <c r="N974" s="9">
        <v>56003.53</v>
      </c>
      <c r="O974" s="3">
        <f t="shared" si="32"/>
        <v>-7.2759576141834259E-12</v>
      </c>
      <c r="P974" s="9">
        <v>-765.19</v>
      </c>
      <c r="S974" s="9">
        <v>-765.19</v>
      </c>
      <c r="T974" s="3">
        <f t="shared" si="31"/>
        <v>0</v>
      </c>
      <c r="U974" s="9">
        <v>55238.34</v>
      </c>
      <c r="V974" s="1">
        <f>U974-P974-N974-Q974-R974+N974-I975-G975-F975-D974-E974-B974-K975-M974-H975-C974-L974-J974</f>
        <v>-7.858158568296858E-12</v>
      </c>
    </row>
    <row r="975" spans="1:22" x14ac:dyDescent="0.25">
      <c r="A975" t="s">
        <v>1121</v>
      </c>
      <c r="B975" s="55">
        <v>6216.22</v>
      </c>
      <c r="E975" s="55">
        <v>12.65</v>
      </c>
      <c r="F975" s="9">
        <v>52132.950000000004</v>
      </c>
      <c r="G975" s="9">
        <v>-769.81000000000006</v>
      </c>
      <c r="H975" s="9">
        <v>-2.61</v>
      </c>
      <c r="J975" s="3"/>
      <c r="M975" s="55">
        <v>237.82</v>
      </c>
      <c r="N975" s="55">
        <v>92619.03</v>
      </c>
      <c r="O975" s="3">
        <f t="shared" si="32"/>
        <v>-1.2107648217352107E-11</v>
      </c>
      <c r="P975" s="55">
        <v>-263.23</v>
      </c>
      <c r="R975" s="55">
        <v>695.49</v>
      </c>
      <c r="S975" s="55">
        <v>432.26</v>
      </c>
      <c r="T975" s="3">
        <f t="shared" si="31"/>
        <v>0</v>
      </c>
      <c r="U975" s="55">
        <v>93051.29</v>
      </c>
      <c r="V975" s="1">
        <f>U975-P975-N975-Q975-R975+N975-I976-G976-F976-D975-E975-B975-K976-M975-H976-C975-L975-J975</f>
        <v>-2.4911628315749113E-11</v>
      </c>
    </row>
    <row r="976" spans="1:22" x14ac:dyDescent="0.25">
      <c r="A976" t="s">
        <v>1122</v>
      </c>
      <c r="B976" s="2">
        <v>6115.46</v>
      </c>
      <c r="F976" s="55">
        <v>86511.08</v>
      </c>
      <c r="G976" s="55">
        <v>-427.04</v>
      </c>
      <c r="H976" s="55">
        <v>-20.67</v>
      </c>
      <c r="I976" s="55">
        <v>88.97</v>
      </c>
      <c r="J976" s="3"/>
      <c r="M976" s="2">
        <v>17139.14</v>
      </c>
      <c r="N976" s="2">
        <v>76995.22</v>
      </c>
      <c r="O976" s="3">
        <f t="shared" si="32"/>
        <v>0</v>
      </c>
      <c r="P976" s="2">
        <v>-192.45</v>
      </c>
      <c r="Q976" s="2">
        <v>-106.77</v>
      </c>
      <c r="R976" s="2">
        <v>680.17</v>
      </c>
      <c r="S976" s="2">
        <v>380.95</v>
      </c>
      <c r="T976" s="3">
        <f t="shared" si="31"/>
        <v>0</v>
      </c>
      <c r="U976" s="2">
        <v>77376.17</v>
      </c>
      <c r="V976" s="1">
        <f>U976-P976-N976-Q976-R976+N976-I977-G977-F977-D976-E976-B976-K977-M976-H977-C976-L976-J976</f>
        <v>1.1635137298071641E-12</v>
      </c>
    </row>
    <row r="977" spans="1:22" x14ac:dyDescent="0.25">
      <c r="A977" t="s">
        <v>1123</v>
      </c>
      <c r="B977" s="38">
        <v>6480.94</v>
      </c>
      <c r="F977" s="2">
        <v>56206.37</v>
      </c>
      <c r="G977" s="2">
        <v>-2451.9700000000003</v>
      </c>
      <c r="H977" s="2">
        <v>-13.78</v>
      </c>
      <c r="J977" s="3"/>
      <c r="O977" s="3">
        <f t="shared" si="32"/>
        <v>-76924.87</v>
      </c>
      <c r="P977" s="38">
        <v>-40.03</v>
      </c>
      <c r="T977" s="3">
        <f t="shared" si="31"/>
        <v>40.03</v>
      </c>
    </row>
    <row r="978" spans="1:22" x14ac:dyDescent="0.25">
      <c r="A978" t="s">
        <v>1124</v>
      </c>
      <c r="B978" s="38">
        <v>8487.34</v>
      </c>
      <c r="F978" s="38">
        <v>72000.25</v>
      </c>
      <c r="G978" s="38">
        <v>-1536.6299999999999</v>
      </c>
      <c r="H978" s="38">
        <v>-19.690000000000001</v>
      </c>
      <c r="J978" s="3"/>
      <c r="M978" s="38">
        <v>21934.02</v>
      </c>
      <c r="O978" s="3">
        <f t="shared" ref="O978:O1004" si="33">N978-K979-I979-H979-G979-F979-E978-D978-C978-B978-M978-L978-J978</f>
        <v>-63893.979999999996</v>
      </c>
      <c r="P978" s="38">
        <v>-367.3</v>
      </c>
      <c r="R978" s="38">
        <f>-270</f>
        <v>-270</v>
      </c>
      <c r="T978" s="3">
        <f t="shared" si="31"/>
        <v>637.29999999999995</v>
      </c>
    </row>
    <row r="979" spans="1:22" x14ac:dyDescent="0.25">
      <c r="A979" t="s">
        <v>1125</v>
      </c>
      <c r="B979" s="38">
        <v>7556.8099999999995</v>
      </c>
      <c r="F979" s="38">
        <v>33608.769999999997</v>
      </c>
      <c r="G979" s="38">
        <v>-136.15</v>
      </c>
      <c r="J979" s="3"/>
      <c r="N979" s="38">
        <v>178301.84</v>
      </c>
      <c r="O979" s="3">
        <f t="shared" si="33"/>
        <v>140818.85</v>
      </c>
      <c r="P979" s="38">
        <v>-196.01</v>
      </c>
      <c r="R979" s="38">
        <v>2152.5500000000002</v>
      </c>
      <c r="S979" s="38">
        <v>1279.21</v>
      </c>
      <c r="T979" s="3">
        <f t="shared" si="31"/>
        <v>-677.33000000000015</v>
      </c>
      <c r="U979" s="38">
        <v>179581.05</v>
      </c>
      <c r="V979" s="3">
        <f>U979-P979-N979-Q979-R979+N979-I980-G980-F980-D979-E979-B979-M978-R978-R977-Q978-Q977-P977-P978-K979-K978-I978-G978-F978-E978-E977-B978-B977-M977-D977-D978-M979-H978-C977-H980-K980-C978-L977-L978-L979-F979-G979-J978-H979</f>
        <v>2.7654323275783099E-11</v>
      </c>
    </row>
    <row r="980" spans="1:22" x14ac:dyDescent="0.25">
      <c r="A980" t="s">
        <v>1126</v>
      </c>
      <c r="B980" s="49">
        <v>8802.26</v>
      </c>
      <c r="F980" s="38">
        <v>30230.059999999998</v>
      </c>
      <c r="G980" s="38">
        <v>-307.64999999999998</v>
      </c>
      <c r="I980" s="38">
        <v>3.77</v>
      </c>
      <c r="J980" s="3"/>
      <c r="N980" s="49">
        <v>55497.74</v>
      </c>
      <c r="O980" s="3">
        <f t="shared" si="33"/>
        <v>-5.4569682106375694E-12</v>
      </c>
      <c r="P980" s="49">
        <v>-131.15</v>
      </c>
      <c r="Q980" s="49">
        <v>-565.54</v>
      </c>
      <c r="S980" s="49">
        <v>-696.69</v>
      </c>
      <c r="T980" s="3">
        <f t="shared" si="31"/>
        <v>0</v>
      </c>
      <c r="U980" s="49">
        <v>54801.05</v>
      </c>
      <c r="V980" s="1">
        <f>U980-P980-N980-Q980-R980+N980-I981-G981-F981-D980-E980-B980-K981-M980-H981-C980-L980-J980</f>
        <v>1.8189894035458565E-12</v>
      </c>
    </row>
    <row r="981" spans="1:22" x14ac:dyDescent="0.25">
      <c r="A981" t="s">
        <v>1127</v>
      </c>
      <c r="B981" s="46">
        <v>11374.98</v>
      </c>
      <c r="E981" s="46">
        <v>10.79</v>
      </c>
      <c r="F981" s="49">
        <v>49955.51</v>
      </c>
      <c r="G981" s="49">
        <v>-3055.53</v>
      </c>
      <c r="H981" s="49">
        <v>-204.5</v>
      </c>
      <c r="J981" s="3"/>
      <c r="N981" s="46">
        <v>82440.479999999996</v>
      </c>
      <c r="O981" s="3">
        <f t="shared" si="33"/>
        <v>3.637978807091713E-12</v>
      </c>
      <c r="P981" s="46">
        <v>-0.25</v>
      </c>
      <c r="Q981" s="46">
        <v>-215.39</v>
      </c>
      <c r="S981" s="46">
        <v>-215.64</v>
      </c>
      <c r="T981" s="3">
        <f t="shared" si="31"/>
        <v>0</v>
      </c>
      <c r="U981" s="46">
        <v>82224.84</v>
      </c>
      <c r="V981" s="1">
        <f>U981-P981-N981-Q981-R981+N981-I982-G982-F982-D981-E981-B981-K982-M981-H982-C981-L981-J981</f>
        <v>1.0601297617540695E-11</v>
      </c>
    </row>
    <row r="982" spans="1:22" x14ac:dyDescent="0.25">
      <c r="A982" t="s">
        <v>1128</v>
      </c>
      <c r="B982" s="37">
        <v>10152.9</v>
      </c>
      <c r="F982" s="46">
        <v>72033.079999999987</v>
      </c>
      <c r="G982" s="46">
        <v>-997.86</v>
      </c>
      <c r="H982" s="46">
        <v>-200.92999999999998</v>
      </c>
      <c r="I982" s="46">
        <v>220.42</v>
      </c>
      <c r="J982" s="3"/>
      <c r="N982" s="37">
        <v>68607.17</v>
      </c>
      <c r="O982" s="3">
        <f t="shared" si="33"/>
        <v>9.0949470177292824E-12</v>
      </c>
      <c r="P982" s="37">
        <v>-99.75</v>
      </c>
      <c r="S982" s="37">
        <v>-99.75</v>
      </c>
      <c r="T982" s="3">
        <f t="shared" si="31"/>
        <v>0</v>
      </c>
      <c r="U982" s="37">
        <v>68507.42</v>
      </c>
      <c r="V982" s="1">
        <f>U982-P982-N982-Q982-R982+N982-I983-G983-F983-D982-E982-B982-K983-M982-H983-C982-L982-J982</f>
        <v>1.8189894035458565E-12</v>
      </c>
    </row>
    <row r="983" spans="1:22" x14ac:dyDescent="0.25">
      <c r="A983" t="s">
        <v>1129</v>
      </c>
      <c r="B983" s="9">
        <v>9468.5400000000009</v>
      </c>
      <c r="E983" s="9">
        <v>770.71</v>
      </c>
      <c r="F983" s="37">
        <v>63332.97</v>
      </c>
      <c r="G983" s="37">
        <v>-2282.52</v>
      </c>
      <c r="H983" s="37">
        <v>-2596.1800000000003</v>
      </c>
      <c r="J983" s="3"/>
      <c r="N983" s="9">
        <v>60732.28</v>
      </c>
      <c r="O983" s="3">
        <f t="shared" si="33"/>
        <v>0</v>
      </c>
      <c r="P983" s="9">
        <v>-58.06</v>
      </c>
      <c r="Q983" s="9">
        <v>-215.36</v>
      </c>
      <c r="S983" s="9">
        <v>-273.42</v>
      </c>
      <c r="T983" s="3">
        <f t="shared" si="31"/>
        <v>0</v>
      </c>
      <c r="U983" s="9">
        <v>60458.86</v>
      </c>
      <c r="V983" s="1">
        <f>U983-P983-N983-Q983-R983+N983-I984-G984-F984-D983-E983-B983-K984-M983-H984-C983-L983-J983</f>
        <v>0</v>
      </c>
    </row>
    <row r="984" spans="1:22" x14ac:dyDescent="0.25">
      <c r="A984" t="s">
        <v>1130</v>
      </c>
      <c r="B984" s="5">
        <v>11056.03</v>
      </c>
      <c r="F984" s="9">
        <v>50691.68</v>
      </c>
      <c r="G984" s="9">
        <v>-219.97</v>
      </c>
      <c r="I984" s="9">
        <v>21.32</v>
      </c>
      <c r="J984" s="3"/>
      <c r="O984" s="3">
        <f t="shared" si="33"/>
        <v>-49791.83</v>
      </c>
      <c r="P984" s="5">
        <v>-159.63999999999999</v>
      </c>
      <c r="Q984" s="5">
        <v>-106.52</v>
      </c>
      <c r="T984" s="3">
        <f t="shared" si="31"/>
        <v>266.15999999999997</v>
      </c>
    </row>
    <row r="985" spans="1:22" x14ac:dyDescent="0.25">
      <c r="A985" t="s">
        <v>1131</v>
      </c>
      <c r="B985" s="5">
        <v>7508.68</v>
      </c>
      <c r="F985" s="5">
        <v>40775.54</v>
      </c>
      <c r="G985" s="5">
        <v>-2019.08</v>
      </c>
      <c r="H985" s="5">
        <v>-20.66</v>
      </c>
      <c r="J985" s="3"/>
      <c r="M985" s="5">
        <v>24378.14</v>
      </c>
      <c r="O985" s="3">
        <f t="shared" si="33"/>
        <v>-69480.149999999994</v>
      </c>
      <c r="P985" s="5">
        <v>-220.41</v>
      </c>
      <c r="R985" s="5">
        <v>1589.81</v>
      </c>
      <c r="T985" s="3">
        <f t="shared" ref="T985:T1036" si="34">S985-R985-Q985-P985</f>
        <v>-1369.3999999999999</v>
      </c>
    </row>
    <row r="986" spans="1:22" x14ac:dyDescent="0.25">
      <c r="A986" t="s">
        <v>1132</v>
      </c>
      <c r="B986" s="5">
        <v>20803.379999999997</v>
      </c>
      <c r="F986" s="5">
        <v>38867.25</v>
      </c>
      <c r="G986" s="5">
        <v>-1273.92</v>
      </c>
      <c r="J986" s="3"/>
      <c r="N986" s="5">
        <v>199339.04</v>
      </c>
      <c r="O986" s="3">
        <f t="shared" si="33"/>
        <v>119271.97999999998</v>
      </c>
      <c r="P986" s="5">
        <v>-310.58</v>
      </c>
      <c r="Q986" s="5">
        <v>-53.35</v>
      </c>
      <c r="S986" s="5">
        <v>739.31</v>
      </c>
      <c r="T986" s="3">
        <f t="shared" si="34"/>
        <v>1103.24</v>
      </c>
      <c r="U986" s="5">
        <v>200078.35</v>
      </c>
      <c r="V986" s="3">
        <f>U986-P986-N986-Q986-R986+N986-I987-G987-F987-D986-E986-B986-M985-R985-R984-Q985-Q984-P984-P985-K986-K985-I985-G985-F985-E985-E984-B985-B984-M984-D984-D985-M986-H985-C984-H987-K987-C985-L984-L985-L986-F986-G986-J985-H986</f>
        <v>1.8189894035458565E-12</v>
      </c>
    </row>
    <row r="987" spans="1:22" x14ac:dyDescent="0.25">
      <c r="A987" t="s">
        <v>1133</v>
      </c>
      <c r="B987" s="57">
        <v>17528.45</v>
      </c>
      <c r="F987" s="5">
        <v>59666.18</v>
      </c>
      <c r="G987" s="5">
        <v>-485.18</v>
      </c>
      <c r="H987" s="5">
        <v>-11.86</v>
      </c>
      <c r="I987" s="5">
        <v>94.54</v>
      </c>
      <c r="J987" s="3"/>
      <c r="N987" s="57">
        <v>90696.6</v>
      </c>
      <c r="O987" s="3">
        <f t="shared" si="33"/>
        <v>1.0913936421275139E-11</v>
      </c>
      <c r="P987" s="57">
        <v>-357.93</v>
      </c>
      <c r="S987" s="57">
        <v>-357.93</v>
      </c>
      <c r="T987" s="3">
        <f t="shared" si="34"/>
        <v>0</v>
      </c>
      <c r="U987" s="57">
        <v>90338.67</v>
      </c>
      <c r="V987" s="1">
        <f>U987-P987-N987-Q987-R987+N987-I988-G988-F988-D987-E987-B987-K988-M987-H988-C987-L987-J987</f>
        <v>-3.637978807091713E-12</v>
      </c>
    </row>
    <row r="988" spans="1:22" x14ac:dyDescent="0.25">
      <c r="A988" t="s">
        <v>1134</v>
      </c>
      <c r="B988" s="56">
        <v>23600.5</v>
      </c>
      <c r="F988" s="57">
        <v>76554.2</v>
      </c>
      <c r="G988" s="57">
        <v>-3264.24</v>
      </c>
      <c r="H988" s="57">
        <v>-197.5</v>
      </c>
      <c r="I988" s="57">
        <v>75.69</v>
      </c>
      <c r="J988" s="3"/>
      <c r="N988" s="56">
        <v>105072.2</v>
      </c>
      <c r="O988" s="3">
        <f t="shared" si="33"/>
        <v>0</v>
      </c>
      <c r="P988" s="56">
        <v>-368.35</v>
      </c>
      <c r="S988" s="56">
        <v>-368.35</v>
      </c>
      <c r="T988" s="3">
        <f t="shared" si="34"/>
        <v>0</v>
      </c>
      <c r="U988" s="56">
        <v>104703.85</v>
      </c>
      <c r="V988" s="1">
        <f>U988-P988-N988-Q988-R988+N988-I989-G989-F989-D988-E988-B988-K989-M988-H989-C988-L988-J988</f>
        <v>1.2803980098397005E-11</v>
      </c>
    </row>
    <row r="989" spans="1:22" x14ac:dyDescent="0.25">
      <c r="A989" t="s">
        <v>1135</v>
      </c>
      <c r="B989" s="89">
        <v>29485.56</v>
      </c>
      <c r="C989" s="89">
        <v>-26.32</v>
      </c>
      <c r="F989" s="56">
        <v>84131.68</v>
      </c>
      <c r="G989" s="56">
        <v>-2719.17</v>
      </c>
      <c r="H989" s="56">
        <v>-32.08</v>
      </c>
      <c r="I989" s="56">
        <v>91.27</v>
      </c>
      <c r="J989" s="3"/>
      <c r="N989" s="89">
        <v>96452.7</v>
      </c>
      <c r="O989" s="3">
        <f t="shared" si="33"/>
        <v>3.637978807091713E-12</v>
      </c>
      <c r="P989" s="89">
        <v>-590.77</v>
      </c>
      <c r="S989" s="89">
        <v>-590.77</v>
      </c>
      <c r="T989" s="3">
        <f t="shared" si="34"/>
        <v>0</v>
      </c>
      <c r="U989" s="89">
        <v>95861.93</v>
      </c>
      <c r="V989" s="1">
        <f>U989-P989-N989-Q989-R989+N989-I990-G990-F990-D989-E989-B989-K990-M989-H990-C989-L989-J989</f>
        <v>1.0906830993917538E-11</v>
      </c>
    </row>
    <row r="990" spans="1:22" x14ac:dyDescent="0.25">
      <c r="A990" t="s">
        <v>1136</v>
      </c>
      <c r="B990" s="34">
        <v>22308.5</v>
      </c>
      <c r="C990" s="34">
        <v>-115.31</v>
      </c>
      <c r="E990" s="34">
        <v>494.10999999999996</v>
      </c>
      <c r="F990" s="89">
        <v>70122.159999999989</v>
      </c>
      <c r="G990" s="89">
        <v>-3050.02</v>
      </c>
      <c r="H990" s="89">
        <v>-78.679999999999993</v>
      </c>
      <c r="J990" s="3"/>
      <c r="N990" s="34">
        <v>84169.7</v>
      </c>
      <c r="O990" s="3">
        <f t="shared" si="33"/>
        <v>3.637978807091713E-12</v>
      </c>
      <c r="P990" s="34">
        <v>-245</v>
      </c>
      <c r="S990" s="34">
        <v>-245</v>
      </c>
      <c r="T990" s="3">
        <f t="shared" si="34"/>
        <v>0</v>
      </c>
      <c r="U990" s="34">
        <v>83924.7</v>
      </c>
      <c r="V990" s="1">
        <f>U990-P990-N990-Q990-R990+N990-I991-G991-F991-D990-E990-B990-K991-M990-H991-C990-L990-J990</f>
        <v>2.3305801732931286E-12</v>
      </c>
    </row>
    <row r="991" spans="1:22" x14ac:dyDescent="0.25">
      <c r="A991" t="s">
        <v>1137</v>
      </c>
      <c r="B991" s="43">
        <v>23405.59</v>
      </c>
      <c r="E991" s="43">
        <v>31.98</v>
      </c>
      <c r="F991" s="34">
        <v>62341.5</v>
      </c>
      <c r="G991" s="34">
        <v>-878.66000000000008</v>
      </c>
      <c r="I991" s="34">
        <v>19.559999999999999</v>
      </c>
      <c r="J991" s="3"/>
      <c r="O991" s="3">
        <f t="shared" si="33"/>
        <v>-98478.869999999981</v>
      </c>
      <c r="P991" s="43">
        <v>-513.57000000000005</v>
      </c>
      <c r="Q991" s="43">
        <v>-106.43</v>
      </c>
      <c r="T991" s="3">
        <f t="shared" si="34"/>
        <v>620</v>
      </c>
    </row>
    <row r="992" spans="1:22" x14ac:dyDescent="0.25">
      <c r="A992" t="s">
        <v>1138</v>
      </c>
      <c r="B992" s="43">
        <v>13505.63</v>
      </c>
      <c r="F992" s="43">
        <v>75705.289999999994</v>
      </c>
      <c r="G992" s="43">
        <v>-663.99</v>
      </c>
      <c r="J992" s="3"/>
      <c r="M992" s="43">
        <v>23490.26</v>
      </c>
      <c r="O992" s="3">
        <f t="shared" si="33"/>
        <v>-92653.33</v>
      </c>
      <c r="P992" s="43">
        <v>-428.5</v>
      </c>
      <c r="R992" s="43">
        <v>1627.63</v>
      </c>
      <c r="T992" s="3">
        <f t="shared" si="34"/>
        <v>-1199.1300000000001</v>
      </c>
    </row>
    <row r="993" spans="1:22" x14ac:dyDescent="0.25">
      <c r="A993" t="s">
        <v>1139</v>
      </c>
      <c r="B993" s="43">
        <v>28716.36</v>
      </c>
      <c r="F993" s="43">
        <v>55789.19</v>
      </c>
      <c r="G993" s="43">
        <v>-131.75</v>
      </c>
      <c r="J993" s="3"/>
      <c r="N993" s="43">
        <v>262169.75</v>
      </c>
      <c r="O993" s="3">
        <f t="shared" si="33"/>
        <v>191132.2</v>
      </c>
      <c r="P993" s="43">
        <v>-49.14</v>
      </c>
      <c r="S993" s="43">
        <v>529.99</v>
      </c>
      <c r="T993" s="3">
        <f t="shared" si="34"/>
        <v>579.13</v>
      </c>
      <c r="U993" s="43">
        <v>262699.74</v>
      </c>
      <c r="V993" s="3">
        <f>U993-P993-N993-Q993-R993+N993-I994-G994-F994-D993-E993-B993-M992-R992-R991-Q992-Q991-P991-P992-K993-K992-I992-G992-F992-E992-E991-B992-B991-M991-D991-D992-M993-H992-C991-H994-K994-C992-L991-L992-L993-F993-G993-J992-H993</f>
        <v>0</v>
      </c>
    </row>
    <row r="994" spans="1:22" x14ac:dyDescent="0.25">
      <c r="A994" t="s">
        <v>1140</v>
      </c>
      <c r="B994" s="115">
        <v>29851.040000000001</v>
      </c>
      <c r="E994" s="115">
        <v>14.8</v>
      </c>
      <c r="F994" s="43">
        <v>42395.329999999994</v>
      </c>
      <c r="G994" s="43">
        <v>-121.52</v>
      </c>
      <c r="I994" s="43">
        <v>47.379999999999995</v>
      </c>
      <c r="J994" s="3"/>
      <c r="N994" s="115">
        <v>78808.3</v>
      </c>
      <c r="O994" s="3">
        <f t="shared" si="33"/>
        <v>-1.0913936421275139E-11</v>
      </c>
      <c r="P994" s="115">
        <v>-61.7</v>
      </c>
      <c r="S994" s="115">
        <v>-61.7</v>
      </c>
      <c r="T994" s="3">
        <f t="shared" si="34"/>
        <v>0</v>
      </c>
      <c r="U994" s="115">
        <v>78746.600000000006</v>
      </c>
      <c r="V994" s="1">
        <f>U994-P994-N994-Q994-R994+N994-I995-G995-F995-D994-E994-B994-K995-M994-H995-C994-L994-J994</f>
        <v>-1.0913936421275139E-11</v>
      </c>
    </row>
    <row r="995" spans="1:22" x14ac:dyDescent="0.25">
      <c r="A995" t="s">
        <v>1141</v>
      </c>
      <c r="B995" s="37">
        <v>29055.08</v>
      </c>
      <c r="F995" s="115">
        <v>49318.840000000004</v>
      </c>
      <c r="G995" s="115">
        <v>-397.04</v>
      </c>
      <c r="I995" s="115">
        <v>20.66</v>
      </c>
      <c r="J995" s="3"/>
      <c r="N995" s="37">
        <v>104592.7</v>
      </c>
      <c r="O995" s="3">
        <f t="shared" si="33"/>
        <v>0</v>
      </c>
      <c r="P995" s="37">
        <v>-73.510000000000005</v>
      </c>
      <c r="Q995" s="37">
        <v>-54.05</v>
      </c>
      <c r="S995" s="37">
        <v>-127.56</v>
      </c>
      <c r="T995" s="3">
        <f t="shared" si="34"/>
        <v>0</v>
      </c>
      <c r="U995" s="37">
        <v>104465.14</v>
      </c>
      <c r="V995" s="1">
        <f>U995-P995-N995-Q995-R995+N995-I996-G996-F996-D995-E995-B995-K996-M995-H996-C995-L995-J995</f>
        <v>0</v>
      </c>
    </row>
    <row r="996" spans="1:22" x14ac:dyDescent="0.25">
      <c r="A996" t="s">
        <v>1142</v>
      </c>
      <c r="B996" s="5">
        <v>25984.87</v>
      </c>
      <c r="F996" s="37">
        <v>76725.349999999991</v>
      </c>
      <c r="G996" s="37">
        <v>-1187.73</v>
      </c>
      <c r="J996" s="3"/>
      <c r="N996" s="5">
        <v>114325.62</v>
      </c>
      <c r="O996" s="3">
        <f t="shared" si="33"/>
        <v>-3.637978807091713E-12</v>
      </c>
      <c r="P996" s="5">
        <v>-135.81</v>
      </c>
      <c r="S996" s="5">
        <v>-135.81</v>
      </c>
      <c r="T996" s="3">
        <f t="shared" si="34"/>
        <v>0</v>
      </c>
      <c r="U996" s="5">
        <v>114189.81</v>
      </c>
      <c r="V996" s="1">
        <f>U996-P996-N996-Q996-R996+N996-I997-G997-F997-D996-E996-B996-K997-M996-H997-C996-L996-J996</f>
        <v>1.6484591469634324E-12</v>
      </c>
    </row>
    <row r="997" spans="1:22" x14ac:dyDescent="0.25">
      <c r="A997" t="s">
        <v>1143</v>
      </c>
      <c r="B997" s="9">
        <v>23381.63</v>
      </c>
      <c r="F997" s="5">
        <v>92055.319999999992</v>
      </c>
      <c r="G997" s="5">
        <v>-3353.42</v>
      </c>
      <c r="H997" s="5">
        <v>-373.01000000000005</v>
      </c>
      <c r="I997" s="5">
        <v>11.86</v>
      </c>
      <c r="J997" s="3"/>
      <c r="N997" s="9">
        <v>108986.32</v>
      </c>
      <c r="O997" s="3">
        <f t="shared" si="33"/>
        <v>-1.0913936421275139E-11</v>
      </c>
      <c r="P997" s="9">
        <v>-317.97000000000003</v>
      </c>
      <c r="S997" s="9">
        <v>-317.97000000000003</v>
      </c>
      <c r="T997" s="3">
        <f t="shared" si="34"/>
        <v>0</v>
      </c>
      <c r="U997" s="9">
        <v>108668.35</v>
      </c>
      <c r="V997" s="1">
        <f>U997-P997-N997-Q997-R997+N997-I998-G998-F998-D997-E997-B997-K998-M997-H998-C997-L997-J997</f>
        <v>-6.8389738316909643E-12</v>
      </c>
    </row>
    <row r="998" spans="1:22" x14ac:dyDescent="0.25">
      <c r="A998" t="s">
        <v>1144</v>
      </c>
      <c r="B998" s="44">
        <v>32262.329999999998</v>
      </c>
      <c r="F998" s="9">
        <v>86772.680000000008</v>
      </c>
      <c r="G998" s="9">
        <v>-1142.26</v>
      </c>
      <c r="H998" s="9">
        <v>-25.73</v>
      </c>
      <c r="J998" s="3"/>
      <c r="O998" s="3">
        <f t="shared" si="33"/>
        <v>-77374.759999999995</v>
      </c>
      <c r="P998" s="44">
        <v>-107.3</v>
      </c>
      <c r="T998" s="3">
        <f t="shared" si="34"/>
        <v>107.3</v>
      </c>
    </row>
    <row r="999" spans="1:22" x14ac:dyDescent="0.25">
      <c r="A999" t="s">
        <v>1145</v>
      </c>
      <c r="B999" s="44">
        <v>30884.21</v>
      </c>
      <c r="F999" s="44">
        <v>46896.89</v>
      </c>
      <c r="G999" s="44">
        <v>-1794.3</v>
      </c>
      <c r="I999" s="44">
        <v>9.84</v>
      </c>
      <c r="J999" s="3"/>
      <c r="M999" s="44">
        <v>67396.33</v>
      </c>
      <c r="O999" s="3">
        <f t="shared" si="33"/>
        <v>-158201.93</v>
      </c>
      <c r="P999" s="44">
        <v>-416.06</v>
      </c>
      <c r="R999" s="44">
        <v>25439.530000000002</v>
      </c>
      <c r="T999" s="3">
        <f t="shared" si="34"/>
        <v>-25023.47</v>
      </c>
    </row>
    <row r="1000" spans="1:22" x14ac:dyDescent="0.25">
      <c r="A1000" t="s">
        <v>1146</v>
      </c>
      <c r="B1000" s="44">
        <v>33102.519999999997</v>
      </c>
      <c r="F1000" s="44">
        <v>60333.760000000002</v>
      </c>
      <c r="G1000" s="44">
        <v>-412.37</v>
      </c>
      <c r="J1000" s="3"/>
      <c r="N1000" s="44">
        <v>324710.18</v>
      </c>
      <c r="O1000" s="3">
        <f t="shared" si="33"/>
        <v>235576.68999999997</v>
      </c>
      <c r="P1000" s="44">
        <v>-465.92</v>
      </c>
      <c r="S1000" s="44">
        <v>-989.28</v>
      </c>
      <c r="T1000" s="3">
        <f t="shared" si="34"/>
        <v>-523.3599999999999</v>
      </c>
      <c r="U1000" s="44">
        <v>349160.43</v>
      </c>
      <c r="V1000" s="3">
        <f>U1000-P1000-N1000-Q1000-R1000+N1000-I1001-G1001-F1001-D1000-E1000-B1000-M999-R999-R998-Q999-Q998-P998-P999-K1000-K999-I999-G999-F999-E999-E998-B999-B998-M998-D998-D999-M1000-H999-C998-H1001-K1001-C999-L998-L999-L1000-F1000-G1000-J999-H1000</f>
        <v>-6.0822458181064576E-11</v>
      </c>
    </row>
    <row r="1001" spans="1:22" x14ac:dyDescent="0.25">
      <c r="A1001" t="s">
        <v>1147</v>
      </c>
      <c r="B1001" s="6">
        <v>29544.57</v>
      </c>
      <c r="F1001" s="44">
        <v>56443.89</v>
      </c>
      <c r="G1001" s="44">
        <v>-434.32</v>
      </c>
      <c r="I1001" s="44">
        <v>21.400000000000002</v>
      </c>
      <c r="J1001" s="3"/>
      <c r="N1001" s="6">
        <v>105867.57</v>
      </c>
      <c r="O1001" s="3">
        <f t="shared" si="33"/>
        <v>7.2759576141834259E-12</v>
      </c>
      <c r="P1001" s="6">
        <v>-290.64</v>
      </c>
      <c r="S1001" s="6">
        <v>-290.64</v>
      </c>
      <c r="T1001" s="3">
        <f t="shared" si="34"/>
        <v>0</v>
      </c>
      <c r="U1001" s="6">
        <v>105576.93</v>
      </c>
      <c r="V1001" s="1">
        <f>U1001-P1001-N1001-Q1001-R1001+N1001-I1002-G1002-F1002-D1001-E1001-B1001-K1002-M1001-H1002-C1001-L1001-J1001</f>
        <v>-3.1974423109204508E-12</v>
      </c>
    </row>
    <row r="1002" spans="1:22" x14ac:dyDescent="0.25">
      <c r="A1002" t="s">
        <v>1148</v>
      </c>
      <c r="B1002" s="2">
        <v>30613.789999999997</v>
      </c>
      <c r="F1002" s="6">
        <v>77341.89</v>
      </c>
      <c r="G1002" s="6">
        <v>-900.91</v>
      </c>
      <c r="H1002" s="6">
        <v>-117.98</v>
      </c>
      <c r="J1002" s="3"/>
      <c r="N1002" s="2">
        <v>114671.66</v>
      </c>
      <c r="O1002" s="3">
        <f t="shared" si="33"/>
        <v>-3.637978807091713E-12</v>
      </c>
      <c r="P1002" s="2">
        <v>-253.44</v>
      </c>
      <c r="Q1002" s="2">
        <v>-123.12</v>
      </c>
      <c r="S1002" s="2">
        <v>-123.12</v>
      </c>
      <c r="T1002" s="3">
        <f t="shared" si="34"/>
        <v>253.44</v>
      </c>
      <c r="U1002" s="2">
        <v>114295.1</v>
      </c>
      <c r="V1002" s="1">
        <f>U1002-P1002-N1002-Q1002-R1002+N1002-I1003-G1003-F1003-D1002-E1002-B1002-K1003-M1002-H1003-C1002-L1002-J1002</f>
        <v>-5.3859139370615594E-12</v>
      </c>
    </row>
    <row r="1003" spans="1:22" x14ac:dyDescent="0.25">
      <c r="A1003" t="s">
        <v>1149</v>
      </c>
      <c r="B1003" s="49">
        <v>29152.080000000002</v>
      </c>
      <c r="F1003" s="2">
        <v>84622.63</v>
      </c>
      <c r="G1003" s="2">
        <v>-562.34</v>
      </c>
      <c r="H1003" s="2">
        <v>-27.08</v>
      </c>
      <c r="I1003" s="2">
        <v>24.66</v>
      </c>
      <c r="J1003" s="3"/>
      <c r="N1003" s="49">
        <v>134397.25</v>
      </c>
      <c r="O1003" s="3">
        <f t="shared" si="33"/>
        <v>-1.4551915228366852E-11</v>
      </c>
      <c r="P1003" s="49">
        <v>-134.41</v>
      </c>
      <c r="S1003" s="49">
        <v>-134.41</v>
      </c>
      <c r="T1003" s="3">
        <f t="shared" si="34"/>
        <v>0</v>
      </c>
      <c r="U1003" s="49">
        <v>134262.84</v>
      </c>
      <c r="V1003" s="1">
        <f>U1003-P1003-N1003-Q1003-R1003+N1003-I1004-G1004-F1004-D1003-E1003-B1003-K1004-M1003-H1004-C1003-L1003-J1003</f>
        <v>-7.617018127348274E-12</v>
      </c>
    </row>
    <row r="1004" spans="1:22" x14ac:dyDescent="0.25">
      <c r="A1004" t="s">
        <v>1150</v>
      </c>
      <c r="B1004" s="98">
        <v>18643.210000000003</v>
      </c>
      <c r="F1004" s="49">
        <v>106883.93</v>
      </c>
      <c r="G1004" s="49">
        <v>-1282.9299999999998</v>
      </c>
      <c r="H1004" s="49">
        <v>-369.67999999999995</v>
      </c>
      <c r="I1004" s="49">
        <v>13.85</v>
      </c>
      <c r="J1004" s="3"/>
      <c r="N1004" s="98">
        <v>101178.5</v>
      </c>
      <c r="O1004" s="3">
        <f t="shared" si="33"/>
        <v>-1.0913936421275139E-11</v>
      </c>
      <c r="P1004" s="98">
        <v>-122.95</v>
      </c>
      <c r="S1004" s="98">
        <v>-122.95</v>
      </c>
      <c r="T1004" s="3">
        <f t="shared" si="34"/>
        <v>0</v>
      </c>
      <c r="U1004" s="98">
        <v>101055.55</v>
      </c>
      <c r="V1004" s="1">
        <f>U1004-P1004-N1004-Q1004-R1004+N1004-I1005-G1005-F1005-D1004-E1004-B1004-K1005-M1004-H1005-C1004-L1004-J1004</f>
        <v>-6.2527760746888816E-12</v>
      </c>
    </row>
    <row r="1005" spans="1:22" x14ac:dyDescent="0.25">
      <c r="A1005" t="s">
        <v>1151</v>
      </c>
      <c r="B1005" s="98">
        <v>28514.78</v>
      </c>
      <c r="E1005" s="98">
        <v>20.16</v>
      </c>
      <c r="F1005" s="98">
        <v>83586.75</v>
      </c>
      <c r="G1005" s="98">
        <v>-967.83999999999992</v>
      </c>
      <c r="H1005" s="98">
        <v>-83.62</v>
      </c>
      <c r="J1005" s="3"/>
      <c r="O1005" s="3">
        <f>N1005-K1006-I1006-H1006-G1006-F1006-E1005-D1005-C1005-B1005-M1005-L1005-J1005</f>
        <v>-119612.54000000001</v>
      </c>
      <c r="T1005" s="3">
        <f t="shared" si="34"/>
        <v>0</v>
      </c>
    </row>
    <row r="1006" spans="1:22" x14ac:dyDescent="0.25">
      <c r="A1006" t="s">
        <v>1152</v>
      </c>
      <c r="B1006" s="98">
        <v>25793.14</v>
      </c>
      <c r="F1006" s="98">
        <v>97591.97</v>
      </c>
      <c r="G1006" s="98">
        <v>-6516.25</v>
      </c>
      <c r="H1006" s="98">
        <v>-46.25</v>
      </c>
      <c r="I1006" s="98">
        <v>48.129999999999995</v>
      </c>
      <c r="J1006" s="3"/>
      <c r="M1006" s="98">
        <v>16109.81</v>
      </c>
      <c r="O1006" s="3">
        <f t="shared" ref="O1006:O1069" si="35">N1006-K1007-I1007-H1007-G1007-F1007-E1006-D1006-C1006-B1006-M1006-L1006-J1006</f>
        <v>-125868.40999999999</v>
      </c>
      <c r="P1006" s="98">
        <v>-332.21</v>
      </c>
      <c r="R1006" s="98">
        <v>606.86</v>
      </c>
      <c r="T1006" s="3">
        <f t="shared" si="34"/>
        <v>-274.65000000000003</v>
      </c>
    </row>
    <row r="1007" spans="1:22" x14ac:dyDescent="0.25">
      <c r="A1007" t="s">
        <v>1153</v>
      </c>
      <c r="B1007" s="98">
        <v>21897.99</v>
      </c>
      <c r="F1007" s="98">
        <v>70446.95</v>
      </c>
      <c r="G1007" s="98">
        <v>-1591.26</v>
      </c>
      <c r="J1007" s="3"/>
      <c r="K1007" s="98">
        <v>15109.77</v>
      </c>
      <c r="M1007" s="98">
        <v>60689.82</v>
      </c>
      <c r="N1007" s="98">
        <v>402771.39</v>
      </c>
      <c r="O1007" s="3">
        <f t="shared" si="35"/>
        <v>245480.95000000007</v>
      </c>
      <c r="P1007" s="98">
        <v>-162.78</v>
      </c>
      <c r="R1007" s="98">
        <v>1782.65</v>
      </c>
      <c r="T1007" s="3">
        <f t="shared" si="34"/>
        <v>-1619.8700000000001</v>
      </c>
      <c r="U1007" s="98">
        <v>404665.91</v>
      </c>
      <c r="V1007" s="3">
        <f>U1007-P1007-N1007-Q1007-R1007+N1007-I1008-G1008-F1008-D1007-E1007-B1007-M1006-R1006-R1005-Q1006-Q1005-P1005-P1006-K1007-K1006-I1006-G1006-F1006-E1006-E1005-B1006-B1005-M1005-D1005-D1006-M1007-H1006-C1005-H1008-K1008-C1006-L1005-L1006-L1007-F1007-G1007-J1006-H1007</f>
        <v>1.9781509763561189E-11</v>
      </c>
    </row>
    <row r="1008" spans="1:22" x14ac:dyDescent="0.25">
      <c r="A1008" t="s">
        <v>1154</v>
      </c>
      <c r="B1008" s="98">
        <v>21393.440000000002</v>
      </c>
      <c r="E1008" s="98">
        <v>3.06</v>
      </c>
      <c r="F1008" s="98">
        <v>89883.469999999987</v>
      </c>
      <c r="G1008" s="98">
        <v>-97.64</v>
      </c>
      <c r="I1008" s="98">
        <v>26.57</v>
      </c>
      <c r="J1008" s="3"/>
      <c r="K1008" s="98">
        <v>-15109.77</v>
      </c>
      <c r="N1008" s="98">
        <v>101702.13</v>
      </c>
      <c r="O1008" s="3">
        <f t="shared" si="35"/>
        <v>-3.637978807091713E-12</v>
      </c>
      <c r="Q1008" s="98">
        <v>-106.48</v>
      </c>
      <c r="S1008" s="98">
        <v>-106.48</v>
      </c>
      <c r="T1008" s="3">
        <f t="shared" si="34"/>
        <v>0</v>
      </c>
      <c r="U1008" s="98">
        <v>101595.65</v>
      </c>
      <c r="V1008" s="1">
        <f>U1008-P1008-N1008-Q1008-R1008+N1008-I1009-G1009-F1009-D1008-E1008-B1008-K1009-M1008-H1009-C1008-L1008-J1008</f>
        <v>-1.8189894035458565E-11</v>
      </c>
    </row>
    <row r="1009" spans="1:22" x14ac:dyDescent="0.25">
      <c r="A1009" t="s">
        <v>1155</v>
      </c>
      <c r="B1009" s="51">
        <v>20242.14</v>
      </c>
      <c r="F1009" s="98">
        <v>80401.490000000005</v>
      </c>
      <c r="G1009" s="98">
        <v>-178.15</v>
      </c>
      <c r="I1009" s="98">
        <v>82.29</v>
      </c>
      <c r="J1009" s="3"/>
      <c r="N1009" s="51">
        <v>89820.75</v>
      </c>
      <c r="O1009" s="3">
        <f t="shared" si="35"/>
        <v>0</v>
      </c>
      <c r="P1009" s="51">
        <v>-1444.09</v>
      </c>
      <c r="S1009" s="51">
        <v>-1444.09</v>
      </c>
      <c r="T1009" s="3">
        <f t="shared" si="34"/>
        <v>0</v>
      </c>
      <c r="U1009" s="51">
        <v>88376.66</v>
      </c>
      <c r="V1009" s="1">
        <f>U1009-P1009-N1009-Q1009-R1009+N1009-I1010-G1010-F1010-D1009-E1009-B1009-K1010-M1009-H1010-C1009-L1009-J1009</f>
        <v>0</v>
      </c>
    </row>
    <row r="1010" spans="1:22" x14ac:dyDescent="0.25">
      <c r="A1010" t="s">
        <v>1156</v>
      </c>
      <c r="B1010" s="37">
        <v>13754.28</v>
      </c>
      <c r="F1010" s="51">
        <v>70159.010000000009</v>
      </c>
      <c r="G1010" s="51">
        <v>-606.96</v>
      </c>
      <c r="I1010" s="51">
        <v>26.56</v>
      </c>
      <c r="J1010" s="3"/>
      <c r="N1010" s="37">
        <v>95681</v>
      </c>
      <c r="O1010" s="3">
        <f t="shared" si="35"/>
        <v>-1.8189894035458565E-12</v>
      </c>
      <c r="P1010" s="37">
        <v>-124.04</v>
      </c>
      <c r="S1010" s="37">
        <v>-124.04</v>
      </c>
      <c r="T1010" s="3">
        <f t="shared" si="34"/>
        <v>0</v>
      </c>
      <c r="U1010" s="37">
        <v>95556.96</v>
      </c>
      <c r="V1010" s="1">
        <f>U1010-P1010-N1010-Q1010-R1010+N1010-I1011-G1011-F1011-D1010-E1010-B1010-K1011-M1010-H1011-C1010-L1010-J1010</f>
        <v>-1.8189894035458565E-12</v>
      </c>
    </row>
    <row r="1011" spans="1:22" x14ac:dyDescent="0.25">
      <c r="A1011" t="s">
        <v>1157</v>
      </c>
      <c r="B1011" s="6">
        <v>25395.719999999998</v>
      </c>
      <c r="F1011" s="37">
        <v>83022.83</v>
      </c>
      <c r="G1011" s="37">
        <v>-1125.21</v>
      </c>
      <c r="I1011" s="37">
        <v>29.1</v>
      </c>
      <c r="J1011" s="3"/>
      <c r="N1011" s="6">
        <v>108036.1</v>
      </c>
      <c r="O1011" s="3">
        <f t="shared" si="35"/>
        <v>1.8189894035458565E-11</v>
      </c>
      <c r="P1011" s="6">
        <v>-62.81</v>
      </c>
      <c r="S1011" s="6">
        <v>-62.81</v>
      </c>
      <c r="T1011" s="3">
        <f t="shared" si="34"/>
        <v>0</v>
      </c>
      <c r="U1011" s="6">
        <v>107973.29</v>
      </c>
      <c r="V1011" s="1">
        <f>U1011-P1011-N1011-Q1011-R1011+N1011-I1012-G1012-F1012-D1011-E1011-B1011-K1012-M1011-H1012-C1011-L1011-J1011</f>
        <v>5.3859139370615594E-12</v>
      </c>
    </row>
    <row r="1012" spans="1:22" x14ac:dyDescent="0.25">
      <c r="A1012" t="s">
        <v>1158</v>
      </c>
      <c r="B1012" s="89">
        <v>24604.57</v>
      </c>
      <c r="F1012" s="6">
        <v>83454.349999999991</v>
      </c>
      <c r="G1012" s="6">
        <v>-768.9899999999999</v>
      </c>
      <c r="H1012" s="6">
        <v>-115.17</v>
      </c>
      <c r="I1012" s="6">
        <v>70.19</v>
      </c>
      <c r="J1012" s="3"/>
      <c r="O1012" s="3">
        <f t="shared" si="35"/>
        <v>-83585.8</v>
      </c>
      <c r="P1012" s="89">
        <v>-98.77</v>
      </c>
      <c r="T1012" s="3">
        <f t="shared" si="34"/>
        <v>98.77</v>
      </c>
    </row>
    <row r="1013" spans="1:22" x14ac:dyDescent="0.25">
      <c r="A1013" t="s">
        <v>1159</v>
      </c>
      <c r="B1013" s="89">
        <v>17887.21</v>
      </c>
      <c r="F1013" s="89">
        <v>60960.54</v>
      </c>
      <c r="G1013" s="89">
        <v>-1979.31</v>
      </c>
      <c r="J1013" s="3"/>
      <c r="M1013" s="89">
        <v>27533.560000000009</v>
      </c>
      <c r="O1013" s="3">
        <f t="shared" si="35"/>
        <v>-103790.51000000001</v>
      </c>
      <c r="P1013" s="89">
        <v>-12.37</v>
      </c>
      <c r="R1013" s="89">
        <v>1574.61</v>
      </c>
      <c r="T1013" s="3">
        <f t="shared" si="34"/>
        <v>-1562.24</v>
      </c>
    </row>
    <row r="1014" spans="1:22" x14ac:dyDescent="0.25">
      <c r="A1014" t="s">
        <v>1160</v>
      </c>
      <c r="B1014" s="89">
        <v>19356.88</v>
      </c>
      <c r="F1014" s="89">
        <v>58696.7</v>
      </c>
      <c r="G1014" s="89">
        <v>-326.95999999999998</v>
      </c>
      <c r="J1014" s="3"/>
      <c r="N1014" s="89">
        <v>244771.61</v>
      </c>
      <c r="O1014" s="3">
        <f t="shared" si="35"/>
        <v>187376.31</v>
      </c>
      <c r="P1014" s="89">
        <v>-24.43</v>
      </c>
      <c r="S1014" s="89">
        <v>1439.04</v>
      </c>
      <c r="T1014" s="3">
        <f t="shared" si="34"/>
        <v>1463.47</v>
      </c>
      <c r="U1014" s="89">
        <v>246210.65</v>
      </c>
      <c r="V1014" s="3">
        <f>U1014-P1014-N1014-Q1014-R1014+N1014-I1015-G1015-F1015-D1014-E1014-B1014-M1013-R1013-R1012-Q1013-Q1012-P1012-P1013-K1014-K1013-I1013-G1013-F1013-E1013-E1012-B1013-B1012-M1012-D1012-D1013-M1014-H1013-C1012-H1015-K1015-C1013-L1012-L1013-L1014-F1014-G1014-J1013-H1014</f>
        <v>8.5265128291212022E-13</v>
      </c>
    </row>
    <row r="1015" spans="1:22" x14ac:dyDescent="0.25">
      <c r="A1015" t="s">
        <v>1161</v>
      </c>
      <c r="B1015" s="117">
        <v>19598.03</v>
      </c>
      <c r="E1015" s="117">
        <v>256.47999999999996</v>
      </c>
      <c r="F1015" s="89">
        <v>38316.519999999997</v>
      </c>
      <c r="G1015" s="89">
        <v>-278.09999999999997</v>
      </c>
      <c r="J1015" s="3"/>
      <c r="N1015" s="117">
        <v>84353.98</v>
      </c>
      <c r="O1015" s="3">
        <f t="shared" si="35"/>
        <v>-1.8189894035458565E-11</v>
      </c>
      <c r="P1015" s="117">
        <v>-171.32</v>
      </c>
      <c r="Q1015" s="117">
        <v>-536.01</v>
      </c>
      <c r="S1015" s="117">
        <v>-707.32999999999993</v>
      </c>
      <c r="T1015" s="3">
        <f t="shared" si="34"/>
        <v>0</v>
      </c>
      <c r="U1015" s="117">
        <v>83646.649999999994</v>
      </c>
      <c r="V1015" s="1">
        <f>U1015-P1015-N1015-Q1015-R1015+N1015-I1016-G1016-F1016-D1015-E1015-B1015-K1016-M1015-H1016-C1015-L1015-J1015</f>
        <v>-1.9937829165428411E-11</v>
      </c>
    </row>
    <row r="1016" spans="1:22" x14ac:dyDescent="0.25">
      <c r="A1016" t="s">
        <v>1162</v>
      </c>
      <c r="B1016" s="39">
        <v>16962</v>
      </c>
      <c r="F1016" s="117">
        <v>68866.430000000008</v>
      </c>
      <c r="G1016" s="117">
        <v>-4318.7</v>
      </c>
      <c r="H1016" s="117">
        <v>-66.33</v>
      </c>
      <c r="I1016" s="117">
        <v>18.069999999999997</v>
      </c>
      <c r="J1016" s="3"/>
      <c r="N1016" s="39">
        <v>120232.67</v>
      </c>
      <c r="O1016" s="3">
        <f t="shared" si="35"/>
        <v>1.4551915228366852E-11</v>
      </c>
      <c r="P1016" s="39">
        <v>-0.25</v>
      </c>
      <c r="S1016" s="39">
        <v>-0.25</v>
      </c>
      <c r="T1016" s="3">
        <f t="shared" si="34"/>
        <v>0</v>
      </c>
      <c r="U1016" s="39">
        <v>120232.42</v>
      </c>
      <c r="V1016" s="1">
        <f>U1016-P1016-N1016-Q1016-R1016+N1016-I1017-G1017-F1017-D1016-E1016-B1016-K1017-M1016-H1017-C1016-L1016-J1016</f>
        <v>1.4551915228366852E-11</v>
      </c>
    </row>
    <row r="1017" spans="1:22" x14ac:dyDescent="0.25">
      <c r="A1017" t="s">
        <v>1474</v>
      </c>
      <c r="B1017" s="71">
        <v>16013.051799999999</v>
      </c>
      <c r="F1017" s="39">
        <v>103854.31999999999</v>
      </c>
      <c r="G1017" s="39">
        <v>-603.21</v>
      </c>
      <c r="I1017" s="39">
        <v>19.559999999999999</v>
      </c>
      <c r="J1017" s="3"/>
      <c r="N1017" s="71">
        <v>93472.960000000006</v>
      </c>
      <c r="O1017" s="3">
        <f t="shared" si="35"/>
        <v>-1.7999999963649316E-3</v>
      </c>
      <c r="P1017" s="71">
        <v>-232.79</v>
      </c>
      <c r="Q1017" s="71">
        <f>-106.29-214.49</f>
        <v>-320.78000000000003</v>
      </c>
      <c r="S1017" s="71">
        <v>-553.57000000000005</v>
      </c>
      <c r="T1017" s="3">
        <f t="shared" si="34"/>
        <v>0</v>
      </c>
      <c r="U1017" s="71">
        <v>92919.39</v>
      </c>
      <c r="V1017" s="1">
        <f>U1017-P1017-N1017-Q1017-R1017+N1017-I1018-G1018-F1018-D1017-E1017-B1017-K1018-M1017-H1018-C1017-L1017-J1017</f>
        <v>-1.8000000103342018E-3</v>
      </c>
    </row>
    <row r="1018" spans="1:22" x14ac:dyDescent="0.25">
      <c r="A1018" t="s">
        <v>1163</v>
      </c>
      <c r="B1018" s="43">
        <v>15904.93</v>
      </c>
      <c r="E1018" s="43">
        <v>212.67000000000002</v>
      </c>
      <c r="F1018" s="71">
        <v>78058.13</v>
      </c>
      <c r="G1018" s="71">
        <v>-596.32999999999993</v>
      </c>
      <c r="H1018" s="71">
        <v>-37.39</v>
      </c>
      <c r="I1018" s="71">
        <v>35.5</v>
      </c>
      <c r="J1018" s="3"/>
      <c r="N1018" s="43">
        <v>119821.46</v>
      </c>
      <c r="O1018" s="3">
        <f t="shared" si="35"/>
        <v>-9.0949470177292824E-12</v>
      </c>
      <c r="P1018" s="43">
        <v>-334.74</v>
      </c>
      <c r="Q1018" s="43">
        <v>-63.93</v>
      </c>
      <c r="S1018" s="43">
        <v>-398.67</v>
      </c>
      <c r="T1018" s="3">
        <f t="shared" si="34"/>
        <v>0</v>
      </c>
      <c r="U1018" s="43">
        <v>119422.79</v>
      </c>
      <c r="V1018" s="1">
        <f>U1018-P1018-N1018-Q1018-R1018+N1018-I1019-G1019-F1019-D1018-E1018-B1018-K1019-M1018-H1019-C1018-L1018-J1018</f>
        <v>-2.1827872842550278E-11</v>
      </c>
    </row>
    <row r="1019" spans="1:22" x14ac:dyDescent="0.25">
      <c r="A1019" t="s">
        <v>1164</v>
      </c>
      <c r="B1019" s="82">
        <v>19160.710000000003</v>
      </c>
      <c r="C1019" s="82">
        <v>-804.80000000000007</v>
      </c>
      <c r="F1019" s="43">
        <v>105810.56000000001</v>
      </c>
      <c r="G1019" s="43">
        <v>-1622.28</v>
      </c>
      <c r="H1019" s="43">
        <v>-831.67000000000007</v>
      </c>
      <c r="I1019" s="43">
        <v>347.25</v>
      </c>
      <c r="J1019" s="3"/>
      <c r="O1019" s="3">
        <f t="shared" si="35"/>
        <v>-132838.43</v>
      </c>
      <c r="P1019" s="82">
        <v>-299.35000000000002</v>
      </c>
      <c r="T1019" s="3">
        <f t="shared" si="34"/>
        <v>299.35000000000002</v>
      </c>
    </row>
    <row r="1020" spans="1:22" x14ac:dyDescent="0.25">
      <c r="A1020" t="s">
        <v>1165</v>
      </c>
      <c r="B1020" s="82">
        <v>16059.09</v>
      </c>
      <c r="F1020" s="82">
        <v>115374.99</v>
      </c>
      <c r="G1020" s="82">
        <v>-876.55000000000007</v>
      </c>
      <c r="H1020" s="82">
        <v>-15.919999999999998</v>
      </c>
      <c r="J1020" s="3"/>
      <c r="M1020" s="82">
        <v>25465.279999999999</v>
      </c>
      <c r="O1020" s="3">
        <f t="shared" si="35"/>
        <v>-89679.19</v>
      </c>
      <c r="P1020" s="82">
        <v>-147.31</v>
      </c>
      <c r="R1020" s="82">
        <v>1360.1</v>
      </c>
      <c r="T1020" s="3">
        <f t="shared" si="34"/>
        <v>-1212.79</v>
      </c>
    </row>
    <row r="1021" spans="1:22" x14ac:dyDescent="0.25">
      <c r="A1021" t="s">
        <v>1166</v>
      </c>
      <c r="B1021" s="82">
        <v>16056.15</v>
      </c>
      <c r="F1021" s="82">
        <v>49509.91</v>
      </c>
      <c r="G1021" s="82">
        <v>-1355.09</v>
      </c>
      <c r="J1021" s="3"/>
      <c r="N1021" s="82">
        <v>302693.21999999997</v>
      </c>
      <c r="O1021" s="3">
        <f t="shared" si="35"/>
        <v>222517.62</v>
      </c>
      <c r="P1021" s="82">
        <v>-122.3</v>
      </c>
      <c r="S1021" s="82">
        <v>791.14</v>
      </c>
      <c r="T1021" s="3">
        <f t="shared" si="34"/>
        <v>913.43999999999994</v>
      </c>
      <c r="U1021" s="82">
        <v>303484.36</v>
      </c>
      <c r="V1021" s="3">
        <f>U1021-P1021-N1021-Q1021-R1021+N1021-I1022-G1022-F1022-D1021-E1021-B1021-M1020-R1020-R1019-Q1020-Q1019-P1019-P1020-K1021-K1020-I1020-G1020-F1020-E1020-E1019-B1020-B1019-M1019-D1019-D1020-M1021-H1020-C1019-H1022-K1022-C1020-L1019-L1020-L1021-F1021-G1021-J1020-H1021</f>
        <v>-2.5693225325085223E-11</v>
      </c>
    </row>
    <row r="1022" spans="1:22" x14ac:dyDescent="0.25">
      <c r="A1022" t="s">
        <v>1167</v>
      </c>
      <c r="B1022" s="115">
        <v>12890.22</v>
      </c>
      <c r="F1022" s="82">
        <v>64343.399999999994</v>
      </c>
      <c r="G1022" s="82">
        <v>-281.03000000000003</v>
      </c>
      <c r="I1022" s="82">
        <v>57.08</v>
      </c>
      <c r="J1022" s="3"/>
      <c r="N1022" s="115">
        <v>113290.52</v>
      </c>
      <c r="O1022" s="3">
        <f t="shared" si="35"/>
        <v>1.8189894035458565E-12</v>
      </c>
      <c r="P1022" s="115">
        <v>-135.43</v>
      </c>
      <c r="S1022" s="115">
        <v>-135.43</v>
      </c>
      <c r="T1022" s="3">
        <f t="shared" si="34"/>
        <v>0</v>
      </c>
      <c r="U1022" s="115">
        <v>113155.09</v>
      </c>
      <c r="V1022" s="1">
        <f>U1022-P1022-N1022-Q1022-R1022+N1022-I1023-G1023-F1023-D1022-E1022-B1022-K1023-M1022-H1023-C1022-L1022-J1022</f>
        <v>-1.0004441719502211E-11</v>
      </c>
    </row>
    <row r="1023" spans="1:22" x14ac:dyDescent="0.25">
      <c r="A1023" t="s">
        <v>1168</v>
      </c>
      <c r="B1023" s="4">
        <v>14597.259999999998</v>
      </c>
      <c r="F1023" s="115">
        <v>100678.26</v>
      </c>
      <c r="G1023" s="115">
        <v>-2889.5099999999998</v>
      </c>
      <c r="H1023" s="115">
        <v>2611.5500000000002</v>
      </c>
      <c r="J1023" s="3"/>
      <c r="N1023" s="4">
        <v>80290.52</v>
      </c>
      <c r="O1023" s="3">
        <f t="shared" si="35"/>
        <v>-3.637978807091713E-12</v>
      </c>
      <c r="P1023" s="4">
        <v>-44.81</v>
      </c>
      <c r="S1023" s="4">
        <v>-44.81</v>
      </c>
      <c r="T1023" s="3">
        <f t="shared" si="34"/>
        <v>0</v>
      </c>
      <c r="U1023" s="4">
        <v>80245.710000000006</v>
      </c>
      <c r="V1023" s="1">
        <f>U1023-P1023-N1023-Q1023-R1023+N1023-I1024-G1024-F1024-D1023-E1023-B1023-K1024-M1023-H1024-C1023-L1023-J1023</f>
        <v>3.3395508580724709E-12</v>
      </c>
    </row>
    <row r="1024" spans="1:22" x14ac:dyDescent="0.25">
      <c r="A1024" t="s">
        <v>1169</v>
      </c>
      <c r="B1024" s="56">
        <v>12211.1</v>
      </c>
      <c r="F1024" s="4">
        <v>66301.919999999998</v>
      </c>
      <c r="G1024" s="4">
        <v>-545.73</v>
      </c>
      <c r="H1024" s="4">
        <v>-62.929999999999993</v>
      </c>
      <c r="J1024" s="3"/>
      <c r="N1024" s="56">
        <v>74527.56</v>
      </c>
      <c r="O1024" s="3">
        <f t="shared" si="35"/>
        <v>-1.8189894035458565E-12</v>
      </c>
      <c r="P1024" s="56">
        <v>-130.47999999999999</v>
      </c>
      <c r="S1024" s="56">
        <v>-130.47999999999999</v>
      </c>
      <c r="T1024" s="3">
        <f t="shared" si="34"/>
        <v>0</v>
      </c>
      <c r="U1024" s="56">
        <v>74397.08</v>
      </c>
      <c r="V1024" s="1">
        <f>U1024-P1024-N1024-Q1024-R1024+N1024-I1025-G1025-F1025-D1024-E1024-B1024-K1025-M1024-H1025-C1024-L1024-J1024</f>
        <v>1.6626700016786344E-12</v>
      </c>
    </row>
    <row r="1025" spans="1:22" x14ac:dyDescent="0.25">
      <c r="A1025" t="s">
        <v>1170</v>
      </c>
      <c r="B1025" s="51">
        <v>11183.980000000001</v>
      </c>
      <c r="E1025" s="51">
        <v>19.88</v>
      </c>
      <c r="F1025" s="56">
        <v>64018.43</v>
      </c>
      <c r="G1025" s="56">
        <v>-1603.88</v>
      </c>
      <c r="H1025" s="56">
        <v>-98.089999999999989</v>
      </c>
      <c r="J1025" s="3"/>
      <c r="N1025" s="51">
        <v>75298.649999999994</v>
      </c>
      <c r="O1025" s="3">
        <f t="shared" si="35"/>
        <v>0</v>
      </c>
      <c r="P1025" s="51">
        <v>-537.29999999999995</v>
      </c>
      <c r="S1025" s="51">
        <v>-537.29999999999995</v>
      </c>
      <c r="T1025" s="3">
        <f t="shared" si="34"/>
        <v>0</v>
      </c>
      <c r="U1025" s="51">
        <v>74761.350000000006</v>
      </c>
      <c r="V1025" s="1">
        <f>U1025-P1025-N1025-Q1025-R1025+N1025-I1026-G1026-F1026-D1025-E1025-B1025-K1026-M1025-H1026-C1025-L1025-J1025</f>
        <v>1.1642242725429242E-11</v>
      </c>
    </row>
    <row r="1026" spans="1:22" x14ac:dyDescent="0.25">
      <c r="A1026" t="s">
        <v>1171</v>
      </c>
      <c r="B1026" s="71">
        <v>8760.6999999999989</v>
      </c>
      <c r="C1026" s="71">
        <v>-63.06</v>
      </c>
      <c r="F1026" s="51">
        <v>64530.31</v>
      </c>
      <c r="G1026" s="51">
        <v>-493.84</v>
      </c>
      <c r="H1026" s="51">
        <v>-27.05</v>
      </c>
      <c r="I1026" s="51">
        <v>85.37</v>
      </c>
      <c r="J1026" s="3"/>
      <c r="O1026" s="3">
        <f t="shared" si="35"/>
        <v>-67577.86</v>
      </c>
      <c r="T1026" s="3">
        <f t="shared" si="34"/>
        <v>0</v>
      </c>
    </row>
    <row r="1027" spans="1:22" x14ac:dyDescent="0.25">
      <c r="A1027" t="s">
        <v>1172</v>
      </c>
      <c r="B1027" s="71">
        <v>8593.7899999999991</v>
      </c>
      <c r="F1027" s="71">
        <v>60966.990000000005</v>
      </c>
      <c r="G1027" s="71">
        <v>-807.68000000000006</v>
      </c>
      <c r="H1027" s="71">
        <v>-1279.0900000000001</v>
      </c>
      <c r="J1027" s="3"/>
      <c r="M1027" s="71">
        <v>25698.030000000002</v>
      </c>
      <c r="O1027" s="3">
        <f t="shared" si="35"/>
        <v>-75470.06</v>
      </c>
      <c r="R1027" s="71">
        <v>1288.71</v>
      </c>
      <c r="T1027" s="3">
        <f t="shared" si="34"/>
        <v>-1288.71</v>
      </c>
    </row>
    <row r="1028" spans="1:22" x14ac:dyDescent="0.25">
      <c r="A1028" t="s">
        <v>1173</v>
      </c>
      <c r="B1028" s="71">
        <v>5343.3</v>
      </c>
      <c r="F1028" s="71">
        <v>41399.68</v>
      </c>
      <c r="G1028" s="71">
        <v>-221.44</v>
      </c>
      <c r="J1028" s="3"/>
      <c r="N1028" s="71">
        <v>191252.55</v>
      </c>
      <c r="O1028" s="3">
        <f t="shared" si="35"/>
        <v>143047.92000000001</v>
      </c>
      <c r="P1028" s="71">
        <v>-24.39</v>
      </c>
      <c r="S1028" s="71">
        <v>1264.32</v>
      </c>
      <c r="T1028" s="3">
        <f t="shared" si="34"/>
        <v>1288.71</v>
      </c>
      <c r="U1028" s="71">
        <v>192516.87</v>
      </c>
      <c r="V1028" s="3">
        <f>U1028-P1028-N1028-Q1028-R1028+N1028-I1029-G1029-F1029-D1028-E1028-B1028-M1027-R1027-R1026-Q1027-Q1026-P1026-P1027-K1028-K1027-I1027-G1027-F1027-E1027-E1026-B1027-B1026-M1026-D1026-D1027-M1028-H1027-C1026-H1029-K1029-C1027-L1026-L1027-L1028-F1028-G1028-J1027-H1028</f>
        <v>1.9497292669257149E-11</v>
      </c>
    </row>
    <row r="1029" spans="1:22" x14ac:dyDescent="0.25">
      <c r="A1029" t="s">
        <v>1174</v>
      </c>
      <c r="B1029" s="38">
        <v>10394.76</v>
      </c>
      <c r="C1029" s="38">
        <v>-80.67</v>
      </c>
      <c r="F1029" s="71">
        <v>44163.060000000005</v>
      </c>
      <c r="G1029" s="71">
        <v>-1321.29</v>
      </c>
      <c r="I1029" s="71">
        <v>19.559999999999999</v>
      </c>
      <c r="J1029" s="3"/>
      <c r="N1029" s="38">
        <v>72146.5</v>
      </c>
      <c r="O1029" s="3">
        <f t="shared" si="35"/>
        <v>3.637978807091713E-12</v>
      </c>
      <c r="P1029" s="38">
        <v>-122.2</v>
      </c>
      <c r="Q1029" s="38">
        <v>-19.04</v>
      </c>
      <c r="S1029" s="38">
        <v>-141.24</v>
      </c>
      <c r="T1029" s="3">
        <f t="shared" si="34"/>
        <v>0</v>
      </c>
      <c r="U1029" s="38">
        <v>72005.259999999995</v>
      </c>
      <c r="V1029" s="1">
        <f>U1029-P1029-N1029-Q1029-R1029+N1029-I1030-G1030-F1030-D1029-E1029-B1029-K1030-M1029-H1030-C1029-L1029-J1029</f>
        <v>-9.8481223176349886E-12</v>
      </c>
    </row>
    <row r="1030" spans="1:22" x14ac:dyDescent="0.25">
      <c r="A1030" t="s">
        <v>1175</v>
      </c>
      <c r="B1030" s="33">
        <v>9226.31</v>
      </c>
      <c r="F1030" s="38">
        <v>65202.68</v>
      </c>
      <c r="G1030" s="38">
        <v>-3221.53</v>
      </c>
      <c r="H1030" s="38">
        <v>-225.27999999999997</v>
      </c>
      <c r="I1030" s="38">
        <v>76.539999999999992</v>
      </c>
      <c r="J1030" s="3"/>
      <c r="N1030" s="33">
        <v>63896.2</v>
      </c>
      <c r="O1030" s="3">
        <f t="shared" si="35"/>
        <v>5.4569682106375694E-12</v>
      </c>
      <c r="P1030" s="33">
        <v>-1.75</v>
      </c>
      <c r="S1030" s="33">
        <v>-1.75</v>
      </c>
      <c r="T1030" s="3">
        <f t="shared" si="34"/>
        <v>0</v>
      </c>
      <c r="U1030" s="33">
        <v>63894.45</v>
      </c>
      <c r="V1030" s="1">
        <f>U1030-P1030-N1030-Q1030-R1030+N1030-I1031-G1031-F1031-D1030-E1030-B1030-K1031-M1030-H1031-C1030-L1030-J1030</f>
        <v>1.964650664376677E-12</v>
      </c>
    </row>
    <row r="1031" spans="1:22" x14ac:dyDescent="0.25">
      <c r="A1031" t="s">
        <v>1176</v>
      </c>
      <c r="B1031" s="46">
        <v>11454.65</v>
      </c>
      <c r="F1031" s="33">
        <v>56094.2</v>
      </c>
      <c r="G1031" s="33">
        <v>-1421.1499999999999</v>
      </c>
      <c r="H1031" s="33">
        <v>-3.16</v>
      </c>
      <c r="J1031" s="3"/>
      <c r="N1031" s="46">
        <v>46430.94</v>
      </c>
      <c r="O1031" s="3">
        <f t="shared" si="35"/>
        <v>1.8189894035458565E-12</v>
      </c>
      <c r="P1031" s="46">
        <v>-1</v>
      </c>
      <c r="S1031" s="46">
        <v>-1</v>
      </c>
      <c r="T1031" s="3">
        <f t="shared" si="34"/>
        <v>0</v>
      </c>
      <c r="U1031" s="46">
        <v>46429.94</v>
      </c>
      <c r="V1031" s="1">
        <f>U1031-P1031-N1031-Q1031-R1031+N1031-I1032-G1032-F1032-D1031-E1031-B1031-K1032-M1031-H1032-C1031-L1031-J1031</f>
        <v>1.8189894035458565E-12</v>
      </c>
    </row>
    <row r="1032" spans="1:22" x14ac:dyDescent="0.25">
      <c r="A1032" t="s">
        <v>1177</v>
      </c>
      <c r="B1032" s="90">
        <v>11215.24</v>
      </c>
      <c r="F1032" s="46">
        <v>42914.27</v>
      </c>
      <c r="G1032" s="46">
        <v>-8736.77</v>
      </c>
      <c r="H1032" s="3"/>
      <c r="I1032" s="46">
        <v>798.79000000000008</v>
      </c>
      <c r="J1032" s="3"/>
      <c r="N1032" s="90">
        <v>66328.42</v>
      </c>
      <c r="O1032" s="3">
        <f t="shared" si="35"/>
        <v>-9.0949470177292824E-12</v>
      </c>
      <c r="P1032" s="90">
        <v>-1.25</v>
      </c>
      <c r="S1032" s="90">
        <v>-1.25</v>
      </c>
      <c r="T1032" s="3">
        <f t="shared" si="34"/>
        <v>0</v>
      </c>
      <c r="U1032" s="90">
        <v>66327.17</v>
      </c>
      <c r="V1032" s="1">
        <f>U1032-P1032-N1032-Q1032-R1032+N1032-I1033-G1033-F1033-D1032-E1032-B1032-K1033-M1032-H1033-C1032-L1032-J1032</f>
        <v>-2.6147972675971687E-12</v>
      </c>
    </row>
    <row r="1033" spans="1:22" x14ac:dyDescent="0.25">
      <c r="A1033" t="s">
        <v>1178</v>
      </c>
      <c r="B1033" s="37">
        <v>7789.4500000000007</v>
      </c>
      <c r="F1033" s="90">
        <v>56124.94</v>
      </c>
      <c r="G1033" s="90">
        <v>-273.21999999999997</v>
      </c>
      <c r="H1033" s="90">
        <v>-738.54000000000008</v>
      </c>
      <c r="J1033" s="3"/>
      <c r="O1033" s="3">
        <f t="shared" si="35"/>
        <v>-58754.36</v>
      </c>
      <c r="P1033" s="37">
        <v>-366.15</v>
      </c>
      <c r="S1033" s="3"/>
      <c r="T1033" s="3">
        <f t="shared" si="34"/>
        <v>366.15</v>
      </c>
    </row>
    <row r="1034" spans="1:22" x14ac:dyDescent="0.25">
      <c r="A1034" t="s">
        <v>1179</v>
      </c>
      <c r="B1034" s="37">
        <v>4053.2400000000002</v>
      </c>
      <c r="E1034" s="37">
        <v>7.95</v>
      </c>
      <c r="F1034" s="37">
        <v>51682.270000000004</v>
      </c>
      <c r="G1034" s="37">
        <v>-685.19</v>
      </c>
      <c r="H1034" s="37">
        <v>-32.17</v>
      </c>
      <c r="J1034" s="3"/>
      <c r="M1034" s="37">
        <v>41623.53</v>
      </c>
      <c r="O1034" s="3">
        <f t="shared" si="35"/>
        <v>-78458.37999999999</v>
      </c>
      <c r="P1034" s="37">
        <v>-24.82</v>
      </c>
      <c r="R1034" s="37">
        <v>23822.19</v>
      </c>
      <c r="S1034" s="3"/>
      <c r="T1034" s="3">
        <f t="shared" si="34"/>
        <v>-23797.37</v>
      </c>
    </row>
    <row r="1035" spans="1:22" x14ac:dyDescent="0.25">
      <c r="A1035" t="s">
        <v>1180</v>
      </c>
      <c r="B1035" s="37">
        <v>5218.08</v>
      </c>
      <c r="F1035" s="37">
        <v>36176.06</v>
      </c>
      <c r="G1035" s="37">
        <v>-3402.4</v>
      </c>
      <c r="J1035" s="3"/>
      <c r="M1035" s="3"/>
      <c r="O1035" s="3">
        <f t="shared" si="35"/>
        <v>-42197.64</v>
      </c>
      <c r="P1035" s="37">
        <v>-72.959999999999994</v>
      </c>
      <c r="R1035" s="3"/>
      <c r="S1035" s="37">
        <v>23153.040000000001</v>
      </c>
      <c r="T1035" s="3">
        <f t="shared" si="34"/>
        <v>23226</v>
      </c>
      <c r="V1035" s="3"/>
    </row>
    <row r="1036" spans="1:22" x14ac:dyDescent="0.25">
      <c r="A1036" t="s">
        <v>1181</v>
      </c>
      <c r="B1036" s="37">
        <v>9112.7199999999993</v>
      </c>
      <c r="F1036" s="37">
        <v>37677.699999999997</v>
      </c>
      <c r="G1036" s="37">
        <v>-712.14</v>
      </c>
      <c r="I1036" s="37">
        <v>14</v>
      </c>
      <c r="J1036" s="3"/>
      <c r="N1036" s="37">
        <v>270158.05</v>
      </c>
      <c r="O1036" s="3">
        <f t="shared" si="35"/>
        <v>179410.37999999998</v>
      </c>
      <c r="P1036" s="37">
        <v>-205.22</v>
      </c>
      <c r="S1036" s="3"/>
      <c r="T1036" s="3">
        <f t="shared" si="34"/>
        <v>205.22</v>
      </c>
      <c r="U1036" s="37">
        <v>293311.09000000003</v>
      </c>
    </row>
    <row r="1037" spans="1:22" x14ac:dyDescent="0.25">
      <c r="A1037" t="s">
        <v>1182</v>
      </c>
      <c r="B1037" s="103">
        <v>8607.68</v>
      </c>
      <c r="E1037" s="103">
        <v>31.15</v>
      </c>
      <c r="F1037" s="37">
        <v>87389.56</v>
      </c>
      <c r="G1037" s="37">
        <v>-5187.25</v>
      </c>
      <c r="H1037" s="37">
        <v>-567.36</v>
      </c>
      <c r="J1037" s="3"/>
      <c r="M1037" s="103">
        <v>16984.03</v>
      </c>
      <c r="N1037" s="103">
        <v>94286.9</v>
      </c>
      <c r="O1037" s="3">
        <f t="shared" si="35"/>
        <v>0</v>
      </c>
      <c r="P1037" s="103">
        <v>-231.76</v>
      </c>
      <c r="Q1037" s="118">
        <v>584.5</v>
      </c>
      <c r="S1037" s="103">
        <v>352.74</v>
      </c>
      <c r="T1037" s="1">
        <f>S1037-R1037-Q1037-P1037</f>
        <v>0</v>
      </c>
      <c r="U1037" s="103">
        <v>94639.64</v>
      </c>
      <c r="V1037" s="1">
        <f>U1037-P1037-N1037-Q1037-R1037+N1037-I1038-G1038-F1038-D1037-E1037-B1037-K1038-M1037-H1038-C1037-L1037-J1037</f>
        <v>-5.6843418860808015E-13</v>
      </c>
    </row>
    <row r="1038" spans="1:22" x14ac:dyDescent="0.25">
      <c r="A1038" t="s">
        <v>1183</v>
      </c>
      <c r="B1038" s="103">
        <v>7521.75</v>
      </c>
      <c r="F1038" s="103">
        <v>70359.76999999999</v>
      </c>
      <c r="G1038" s="103">
        <v>-984.12</v>
      </c>
      <c r="H1038" s="103">
        <v>-711.61</v>
      </c>
      <c r="J1038" s="3"/>
      <c r="N1038" s="103">
        <v>83121.119999999995</v>
      </c>
      <c r="O1038" s="3">
        <f t="shared" si="35"/>
        <v>-1.4551915228366852E-11</v>
      </c>
      <c r="P1038" s="103">
        <v>-97.37</v>
      </c>
      <c r="S1038" s="103">
        <v>-97.37</v>
      </c>
      <c r="T1038" s="1">
        <f>S1038-R1038-Q1038-P1038</f>
        <v>0</v>
      </c>
      <c r="U1038" s="103">
        <v>83023.75</v>
      </c>
      <c r="V1038" s="1">
        <f>U1038-P1038-N1038-Q1038-R1038+N1038-I1039-G1039-F1039-D1038-E1038-B1038-K1039-M1038-H1039-C1038-L1038-J1038</f>
        <v>5.2295945351943374E-12</v>
      </c>
    </row>
    <row r="1039" spans="1:22" x14ac:dyDescent="0.25">
      <c r="A1039" t="s">
        <v>1184</v>
      </c>
      <c r="B1039" s="5">
        <v>8958.82</v>
      </c>
      <c r="F1039" s="103">
        <v>78610.7</v>
      </c>
      <c r="G1039" s="103">
        <v>-4122.32</v>
      </c>
      <c r="H1039" s="103">
        <v>1110.99</v>
      </c>
      <c r="J1039" s="3"/>
      <c r="N1039" s="5">
        <v>84911.679999999993</v>
      </c>
      <c r="O1039" s="3">
        <f t="shared" si="35"/>
        <v>-7.2759576141834259E-12</v>
      </c>
      <c r="P1039" s="5">
        <v>-49.35</v>
      </c>
      <c r="S1039" s="5">
        <v>-49.35</v>
      </c>
      <c r="T1039" s="1">
        <f>S1039-R1039-Q1039-P1039</f>
        <v>0</v>
      </c>
      <c r="U1039" s="5">
        <v>84862.33</v>
      </c>
      <c r="V1039" s="1">
        <f>U1039-P1039-N1039-Q1039-R1039+N1039-I1040-G1040-F1040-D1039-E1039-B1039-K1040-M1039-H1040-C1039-L1039-J1039</f>
        <v>1.4267698134062812E-11</v>
      </c>
    </row>
    <row r="1040" spans="1:22" x14ac:dyDescent="0.25">
      <c r="A1040" t="s">
        <v>1185</v>
      </c>
      <c r="B1040" s="56">
        <v>9454.0500000000011</v>
      </c>
      <c r="F1040" s="5">
        <v>76982.179999999993</v>
      </c>
      <c r="G1040" s="5">
        <v>-956.64</v>
      </c>
      <c r="H1040" s="5">
        <v>-72.680000000000007</v>
      </c>
      <c r="J1040" s="3"/>
      <c r="O1040" s="3">
        <f t="shared" si="35"/>
        <v>-54586</v>
      </c>
      <c r="P1040" s="56">
        <v>-246.15</v>
      </c>
      <c r="T1040" s="1">
        <f t="shared" ref="T1040:T1103" si="36">S1040-R1040-Q1040-P1040</f>
        <v>246.15</v>
      </c>
    </row>
    <row r="1041" spans="1:22" x14ac:dyDescent="0.25">
      <c r="A1041" t="s">
        <v>1186</v>
      </c>
      <c r="B1041" s="56">
        <v>4846.92</v>
      </c>
      <c r="E1041" s="56">
        <v>12.91</v>
      </c>
      <c r="F1041" s="56">
        <v>45054.939999999995</v>
      </c>
      <c r="G1041" s="56">
        <v>-37.44</v>
      </c>
      <c r="H1041" s="56">
        <v>-27.29</v>
      </c>
      <c r="I1041" s="56">
        <v>141.74</v>
      </c>
      <c r="J1041" s="3"/>
      <c r="M1041" s="56">
        <v>24985.59</v>
      </c>
      <c r="O1041" s="3">
        <f t="shared" si="35"/>
        <v>-77475.569999999992</v>
      </c>
      <c r="R1041" s="56">
        <v>1838.67</v>
      </c>
      <c r="T1041" s="1">
        <f t="shared" si="36"/>
        <v>-1838.67</v>
      </c>
    </row>
    <row r="1042" spans="1:22" x14ac:dyDescent="0.25">
      <c r="A1042" t="s">
        <v>1187</v>
      </c>
      <c r="B1042" s="56">
        <v>6832.48</v>
      </c>
      <c r="F1042" s="56">
        <v>47723.299999999996</v>
      </c>
      <c r="G1042" s="56">
        <v>-93.15</v>
      </c>
      <c r="J1042" s="3"/>
      <c r="N1042" s="56">
        <v>186684.54</v>
      </c>
      <c r="O1042" s="3">
        <f t="shared" si="35"/>
        <v>132061.57</v>
      </c>
      <c r="P1042" s="56">
        <v>-352.6</v>
      </c>
      <c r="S1042" s="56">
        <v>1239.92</v>
      </c>
      <c r="T1042" s="1">
        <f t="shared" si="36"/>
        <v>1592.52</v>
      </c>
      <c r="U1042" s="56">
        <v>187924.46</v>
      </c>
      <c r="V1042" s="3">
        <f>U1042-P1042-N1042-Q1042-R1042+N1042-I1043-G1043-F1043-D1042-E1042-B1042-M1041-R1041-R1040-Q1041-Q1040-P1040-P1041-K1042-K1041-I1041-G1041-F1041-E1041-E1040-B1041-B1040-M1040-D1040-D1041-M1042-H1041-C1040-H1043-K1043-C1041-L1040-L1041-L1042-F1042-G1042-J1041-H1042</f>
        <v>-1.4495071809506044E-12</v>
      </c>
    </row>
    <row r="1043" spans="1:22" x14ac:dyDescent="0.25">
      <c r="A1043" t="s">
        <v>1188</v>
      </c>
      <c r="B1043" s="6">
        <v>6567.93</v>
      </c>
      <c r="E1043" s="6">
        <v>30.71</v>
      </c>
      <c r="F1043" s="56">
        <v>48003.929999999993</v>
      </c>
      <c r="G1043" s="56">
        <v>-227.03</v>
      </c>
      <c r="I1043" s="56">
        <v>13.59</v>
      </c>
      <c r="J1043" s="3"/>
      <c r="N1043" s="6">
        <v>49353.72</v>
      </c>
      <c r="O1043" s="3">
        <f t="shared" si="35"/>
        <v>-9.0949470177292824E-13</v>
      </c>
      <c r="P1043" s="6">
        <v>-133.74</v>
      </c>
      <c r="S1043" s="6">
        <v>-133.74</v>
      </c>
      <c r="T1043" s="1">
        <f t="shared" si="36"/>
        <v>0</v>
      </c>
      <c r="U1043" s="6">
        <v>49219.98</v>
      </c>
      <c r="V1043" s="1">
        <f>U1043-P1043-N1043-Q1043-R1043+N1043-I1044-G1044-F1044-D1043-E1043-B1043-K1044-M1043-H1044-C1043-L1043-J1043</f>
        <v>-9.0949470177292824E-13</v>
      </c>
    </row>
    <row r="1044" spans="1:22" x14ac:dyDescent="0.25">
      <c r="A1044" t="s">
        <v>1189</v>
      </c>
      <c r="B1044" s="2">
        <v>9404.08</v>
      </c>
      <c r="C1044" s="2">
        <v>-6595.11</v>
      </c>
      <c r="F1044" s="6">
        <v>44962.89</v>
      </c>
      <c r="G1044" s="6">
        <v>-2207.81</v>
      </c>
      <c r="J1044" s="3"/>
      <c r="N1044" s="2">
        <v>54757.79</v>
      </c>
      <c r="O1044" s="3">
        <f t="shared" si="35"/>
        <v>1.8189894035458565E-12</v>
      </c>
      <c r="P1044" s="2">
        <v>-139.18</v>
      </c>
      <c r="S1044" s="2">
        <v>-139.18</v>
      </c>
      <c r="T1044" s="1">
        <f t="shared" si="36"/>
        <v>0</v>
      </c>
      <c r="U1044" s="2">
        <v>54618.61</v>
      </c>
      <c r="V1044" s="1">
        <f>U1044-P1044-N1044-Q1044-R1044+N1044-I1045-G1045-F1045-D1044-E1044-B1044-K1045-M1044-H1045-C1044-L1044-J1044</f>
        <v>9.0949470177292824E-13</v>
      </c>
    </row>
    <row r="1045" spans="1:22" x14ac:dyDescent="0.25">
      <c r="A1045" t="s">
        <v>1190</v>
      </c>
      <c r="B1045" s="39">
        <v>11333.44</v>
      </c>
      <c r="F1045" s="2">
        <v>52459.07</v>
      </c>
      <c r="G1045" s="2">
        <v>-510.24999999999994</v>
      </c>
      <c r="J1045" s="3"/>
      <c r="N1045" s="39">
        <v>103135.42</v>
      </c>
      <c r="O1045" s="3">
        <f t="shared" si="35"/>
        <v>-1.2732925824820995E-11</v>
      </c>
      <c r="P1045" s="39">
        <v>-24.6</v>
      </c>
      <c r="S1045" s="39">
        <v>-24.6</v>
      </c>
      <c r="T1045" s="1">
        <f t="shared" si="36"/>
        <v>0</v>
      </c>
      <c r="U1045" s="39">
        <v>103110.82</v>
      </c>
      <c r="V1045" s="1">
        <f>U1045-P1045-N1045-Q1045-R1045+N1045-I1046-G1046-F1046-D1045-E1045-B1045-K1046-M1045-H1046-C1045-L1045-J1045</f>
        <v>1.8189894035458565E-12</v>
      </c>
    </row>
    <row r="1046" spans="1:22" x14ac:dyDescent="0.25">
      <c r="A1046" t="s">
        <v>1191</v>
      </c>
      <c r="B1046" s="37">
        <v>9613.75</v>
      </c>
      <c r="F1046" s="39">
        <v>94568.53</v>
      </c>
      <c r="G1046" s="39">
        <v>-2778.12</v>
      </c>
      <c r="I1046" s="39">
        <v>11.569999999999999</v>
      </c>
      <c r="J1046" s="3"/>
      <c r="N1046" s="37">
        <v>59390.09</v>
      </c>
      <c r="O1046" s="3">
        <f t="shared" si="35"/>
        <v>-7.2759576141834259E-12</v>
      </c>
      <c r="P1046" s="37">
        <v>-73.150000000000006</v>
      </c>
      <c r="S1046" s="37">
        <v>-73.150000000000006</v>
      </c>
      <c r="T1046" s="1">
        <f t="shared" si="36"/>
        <v>0</v>
      </c>
      <c r="U1046" s="37">
        <v>59316.94</v>
      </c>
      <c r="V1046" s="1">
        <f>U1046-P1046-N1046-Q1046-R1046+N1046-I1047-G1047-F1047-D1046-E1046-B1046-K1047-M1046-H1047-C1046-L1046-J1046</f>
        <v>2.9096725029376103E-12</v>
      </c>
    </row>
    <row r="1047" spans="1:22" x14ac:dyDescent="0.25">
      <c r="A1047" t="s">
        <v>1192</v>
      </c>
      <c r="B1047" s="57">
        <v>5477.44</v>
      </c>
      <c r="F1047" s="37">
        <v>50795.79</v>
      </c>
      <c r="G1047" s="37">
        <v>-1011</v>
      </c>
      <c r="H1047" s="37">
        <v>-8.4499999999999993</v>
      </c>
      <c r="J1047" s="3"/>
      <c r="O1047" s="3">
        <f t="shared" si="35"/>
        <v>-54970.360000000008</v>
      </c>
      <c r="P1047" s="57">
        <v>-72.87</v>
      </c>
      <c r="T1047" s="1">
        <f t="shared" si="36"/>
        <v>72.87</v>
      </c>
    </row>
    <row r="1048" spans="1:22" x14ac:dyDescent="0.25">
      <c r="A1048" t="s">
        <v>1193</v>
      </c>
      <c r="B1048" s="57">
        <v>9663.8700000000008</v>
      </c>
      <c r="F1048" s="57">
        <v>51816.600000000006</v>
      </c>
      <c r="G1048" s="57">
        <v>-2323.6799999999998</v>
      </c>
      <c r="J1048" s="3"/>
      <c r="M1048" s="57">
        <v>20715.28</v>
      </c>
      <c r="O1048" s="3">
        <f t="shared" si="35"/>
        <v>-58667.49</v>
      </c>
      <c r="P1048" s="57">
        <v>-437</v>
      </c>
      <c r="Q1048" s="57">
        <v>-105.59</v>
      </c>
      <c r="R1048" s="57">
        <v>1239.6300000000001</v>
      </c>
      <c r="T1048" s="1">
        <f t="shared" si="36"/>
        <v>-697.04000000000019</v>
      </c>
    </row>
    <row r="1049" spans="1:22" x14ac:dyDescent="0.25">
      <c r="A1049" t="s">
        <v>1194</v>
      </c>
      <c r="B1049" s="57">
        <v>2755.75</v>
      </c>
      <c r="E1049" s="57">
        <v>8.129999999999999</v>
      </c>
      <c r="F1049" s="57">
        <v>28346.5</v>
      </c>
      <c r="G1049" s="57">
        <v>-58.16</v>
      </c>
      <c r="J1049" s="3"/>
      <c r="N1049" s="57">
        <v>150978.14000000001</v>
      </c>
      <c r="O1049" s="3">
        <f t="shared" si="35"/>
        <v>113637.84999999999</v>
      </c>
      <c r="P1049" s="57">
        <v>-432.75</v>
      </c>
      <c r="S1049" s="57">
        <v>191.42</v>
      </c>
      <c r="T1049" s="1">
        <f t="shared" si="36"/>
        <v>624.16999999999996</v>
      </c>
      <c r="U1049" s="57">
        <v>151169.56</v>
      </c>
      <c r="V1049" s="3">
        <f>U1049-P1049-N1049-Q1049-R1049+N1049-I1050-G1050-F1050-D1049-E1049-B1049-M1048-R1048-R1047-Q1048-Q1047-P1047-P1048-K1049-K1048-I1048-G1048-F1048-E1048-E1047-B1048-B1047-M1047-D1047-D1048-M1049-H1048-C1047-H1050-K1050-C1048-L1047-L1048-L1049-F1049-G1049-J1048-H1049</f>
        <v>-5.0789594752131961E-11</v>
      </c>
    </row>
    <row r="1050" spans="1:22" x14ac:dyDescent="0.25">
      <c r="A1050" t="s">
        <v>1195</v>
      </c>
      <c r="B1050" s="35">
        <v>6600.3700000000008</v>
      </c>
      <c r="F1050" s="57">
        <v>38002.020000000004</v>
      </c>
      <c r="G1050" s="57">
        <v>-3425.61</v>
      </c>
      <c r="J1050" s="3"/>
      <c r="N1050" s="35">
        <v>58157.24</v>
      </c>
      <c r="O1050" s="3">
        <f t="shared" si="35"/>
        <v>1.8189894035458565E-12</v>
      </c>
      <c r="P1050" s="35">
        <v>-0.25</v>
      </c>
      <c r="S1050" s="35">
        <v>-0.25</v>
      </c>
      <c r="T1050" s="1">
        <f t="shared" si="36"/>
        <v>0</v>
      </c>
      <c r="U1050" s="35">
        <v>58156.99</v>
      </c>
      <c r="V1050" s="1">
        <f>U1050-P1050-N1050-Q1050-R1050+N1050-I1051-G1051-F1051-D1050-E1050-B1050-K1051-M1050-H1051-C1050-L1050-J1050</f>
        <v>1.8189894035458565E-12</v>
      </c>
    </row>
    <row r="1051" spans="1:22" x14ac:dyDescent="0.25">
      <c r="A1051" t="s">
        <v>1196</v>
      </c>
      <c r="B1051" s="9">
        <v>6425.4500000000007</v>
      </c>
      <c r="F1051" s="35">
        <v>52554.74</v>
      </c>
      <c r="G1051" s="35">
        <v>-1209.44</v>
      </c>
      <c r="I1051" s="35">
        <v>211.57</v>
      </c>
      <c r="J1051" s="3"/>
      <c r="N1051" s="9">
        <v>106462.45</v>
      </c>
      <c r="O1051" s="3">
        <f t="shared" si="35"/>
        <v>-3.637978807091713E-12</v>
      </c>
      <c r="P1051" s="9">
        <v>-146.5</v>
      </c>
      <c r="S1051" s="9">
        <v>-146.5</v>
      </c>
      <c r="T1051" s="1">
        <f t="shared" si="36"/>
        <v>0</v>
      </c>
      <c r="U1051" s="9">
        <v>106315.95</v>
      </c>
      <c r="V1051" s="1">
        <f>U1051-P1051-N1051-Q1051-R1051+N1051-I1052-G1052-F1052-D1051-E1051-B1051-K1052-M1051-H1052-C1051-L1051-J1051</f>
        <v>-1.4566126083082054E-13</v>
      </c>
    </row>
    <row r="1052" spans="1:22" x14ac:dyDescent="0.25">
      <c r="A1052" t="s">
        <v>1197</v>
      </c>
      <c r="B1052" s="32">
        <v>4368.97</v>
      </c>
      <c r="F1052" s="9">
        <v>100446.42</v>
      </c>
      <c r="G1052" s="9">
        <v>-387.33</v>
      </c>
      <c r="H1052" s="9">
        <v>-22.09</v>
      </c>
      <c r="J1052" s="3"/>
      <c r="N1052" s="32">
        <v>62733.16</v>
      </c>
      <c r="O1052" s="3">
        <f t="shared" si="35"/>
        <v>9.0949470177292824E-13</v>
      </c>
      <c r="P1052" s="32">
        <v>-142.33000000000001</v>
      </c>
      <c r="S1052" s="32">
        <v>-142.33000000000001</v>
      </c>
      <c r="T1052" s="1">
        <f t="shared" si="36"/>
        <v>0</v>
      </c>
      <c r="U1052" s="32">
        <v>62590.83</v>
      </c>
      <c r="V1052" s="1">
        <f>U1052-P1052-N1052-Q1052-R1052+N1052-I1053-G1053-F1053-D1052-E1052-B1052-K1053-M1052-H1053-C1052-L1052-J1052</f>
        <v>1.3713474800169934E-11</v>
      </c>
    </row>
    <row r="1053" spans="1:22" x14ac:dyDescent="0.25">
      <c r="A1053" t="s">
        <v>1198</v>
      </c>
      <c r="B1053" s="7">
        <v>7373.08</v>
      </c>
      <c r="F1053" s="32">
        <v>107285.25</v>
      </c>
      <c r="G1053" s="32">
        <v>-48881.79</v>
      </c>
      <c r="H1053" s="32">
        <v>-65.83</v>
      </c>
      <c r="I1053" s="32">
        <v>26.56</v>
      </c>
      <c r="J1053" s="3"/>
      <c r="N1053" s="7">
        <v>79056.72</v>
      </c>
      <c r="O1053" s="3">
        <f t="shared" si="35"/>
        <v>1.8189894035458565E-12</v>
      </c>
      <c r="P1053" s="7">
        <v>-97.28</v>
      </c>
      <c r="S1053" s="7">
        <v>-97.28</v>
      </c>
      <c r="T1053" s="1">
        <f t="shared" si="36"/>
        <v>0</v>
      </c>
      <c r="U1053" s="7">
        <v>78959.44</v>
      </c>
      <c r="V1053" s="1">
        <f>U1053-P1053-N1053-Q1053-R1053+N1053-I1054-G1054-F1054-D1053-E1053-B1053-K1054-M1053-H1054-C1053-L1053-J1053</f>
        <v>-5.1159076974727213E-13</v>
      </c>
    </row>
    <row r="1054" spans="1:22" x14ac:dyDescent="0.25">
      <c r="A1054" t="s">
        <v>1199</v>
      </c>
      <c r="B1054" s="13">
        <v>6973.09</v>
      </c>
      <c r="F1054" s="7">
        <v>72089.81</v>
      </c>
      <c r="G1054" s="7">
        <v>-367.72999999999996</v>
      </c>
      <c r="H1054" s="7">
        <v>-38.44</v>
      </c>
      <c r="J1054" s="3"/>
      <c r="O1054" s="3">
        <f t="shared" si="35"/>
        <v>-64301.789999999994</v>
      </c>
      <c r="P1054" s="13">
        <v>-56.39</v>
      </c>
      <c r="T1054" s="1">
        <f t="shared" si="36"/>
        <v>56.39</v>
      </c>
    </row>
    <row r="1055" spans="1:22" x14ac:dyDescent="0.25">
      <c r="A1055" t="s">
        <v>1200</v>
      </c>
      <c r="B1055" s="13">
        <v>5233.42</v>
      </c>
      <c r="F1055" s="13">
        <v>64423.61</v>
      </c>
      <c r="G1055" s="13">
        <v>-7094.9100000000008</v>
      </c>
      <c r="J1055" s="3"/>
      <c r="O1055" s="3">
        <f t="shared" si="35"/>
        <v>-31768.92</v>
      </c>
      <c r="P1055" s="13">
        <v>-234</v>
      </c>
      <c r="T1055" s="1">
        <f t="shared" si="36"/>
        <v>234</v>
      </c>
    </row>
    <row r="1056" spans="1:22" x14ac:dyDescent="0.25">
      <c r="A1056" t="s">
        <v>1201</v>
      </c>
      <c r="B1056" s="13">
        <v>3929.45</v>
      </c>
      <c r="F1056" s="13">
        <v>26648.1</v>
      </c>
      <c r="G1056" s="13">
        <v>-112.60000000000001</v>
      </c>
      <c r="J1056" s="3"/>
      <c r="M1056" s="13">
        <v>23489.79</v>
      </c>
      <c r="O1056" s="3">
        <f t="shared" si="35"/>
        <v>-76338.91</v>
      </c>
      <c r="R1056" s="13">
        <v>1389.44</v>
      </c>
      <c r="T1056" s="1">
        <f t="shared" si="36"/>
        <v>-1389.44</v>
      </c>
    </row>
    <row r="1057" spans="1:22" x14ac:dyDescent="0.25">
      <c r="A1057" t="s">
        <v>1202</v>
      </c>
      <c r="B1057" s="13">
        <v>9901.77</v>
      </c>
      <c r="F1057" s="13">
        <v>49072</v>
      </c>
      <c r="G1057" s="13">
        <v>-186.81</v>
      </c>
      <c r="I1057" s="13">
        <v>34.480000000000004</v>
      </c>
      <c r="J1057" s="3"/>
      <c r="N1057" s="13">
        <v>275594.95</v>
      </c>
      <c r="O1057" s="3">
        <f t="shared" si="35"/>
        <v>172409.62</v>
      </c>
      <c r="P1057" s="13">
        <v>-195.73</v>
      </c>
      <c r="S1057" s="13">
        <v>903.32</v>
      </c>
      <c r="T1057" s="1">
        <f t="shared" si="36"/>
        <v>1099.05</v>
      </c>
      <c r="U1057" s="13">
        <v>276498.27</v>
      </c>
    </row>
    <row r="1058" spans="1:22" x14ac:dyDescent="0.25">
      <c r="A1058" t="s">
        <v>1203</v>
      </c>
      <c r="B1058" s="38">
        <v>11221.75</v>
      </c>
      <c r="F1058" s="13">
        <v>97028.040000000008</v>
      </c>
      <c r="G1058" s="13">
        <v>-1139.9199999999998</v>
      </c>
      <c r="H1058" s="13">
        <v>-3301.23</v>
      </c>
      <c r="I1058" s="13">
        <v>696.67</v>
      </c>
      <c r="J1058" s="3"/>
      <c r="N1058" s="38">
        <v>64590.61</v>
      </c>
      <c r="O1058" s="3">
        <f t="shared" si="35"/>
        <v>0</v>
      </c>
      <c r="P1058" s="38">
        <v>-48.64</v>
      </c>
      <c r="Q1058" s="38">
        <v>-7.02</v>
      </c>
      <c r="S1058" s="38">
        <v>-55.66</v>
      </c>
      <c r="T1058" s="1">
        <f t="shared" si="36"/>
        <v>0</v>
      </c>
      <c r="U1058" s="38">
        <v>64534.95</v>
      </c>
      <c r="V1058" s="1">
        <f>U1058-P1058-N1058-Q1058-R1058+N1058-I1059-G1059-F1059-D1058-E1058-B1058-K1059-M1058-H1059-C1058-L1058-J1058</f>
        <v>-9.3223206931725144E-12</v>
      </c>
    </row>
    <row r="1059" spans="1:22" x14ac:dyDescent="0.25">
      <c r="A1059" t="s">
        <v>1204</v>
      </c>
      <c r="B1059" s="103">
        <v>11127.66</v>
      </c>
      <c r="D1059" s="103">
        <v>5085.01</v>
      </c>
      <c r="F1059" s="38">
        <v>57418.770000000004</v>
      </c>
      <c r="G1059" s="38">
        <v>-3512.15</v>
      </c>
      <c r="H1059" s="38">
        <v>-537.76</v>
      </c>
      <c r="J1059" s="3"/>
      <c r="N1059" s="103">
        <v>81293.460000000006</v>
      </c>
      <c r="O1059" s="3">
        <f t="shared" si="35"/>
        <v>-1.8189894035458565E-12</v>
      </c>
      <c r="P1059" s="103">
        <v>-153.74</v>
      </c>
      <c r="S1059" s="103">
        <v>-153.74</v>
      </c>
      <c r="T1059" s="1">
        <f t="shared" si="36"/>
        <v>0</v>
      </c>
      <c r="U1059" s="103">
        <v>81139.72</v>
      </c>
      <c r="V1059" s="1">
        <f>U1059-P1059-N1059-Q1059-R1059+N1059-I1060-G1060-F1060-D1059-E1059-B1059-K1060-M1059-H1060-C1059-L1059-J1059</f>
        <v>5.1656456889759284E-12</v>
      </c>
    </row>
    <row r="1060" spans="1:22" x14ac:dyDescent="0.25">
      <c r="A1060" t="s">
        <v>1205</v>
      </c>
      <c r="B1060" s="8">
        <v>14186.060000000001</v>
      </c>
      <c r="F1060" s="103">
        <v>65458.67</v>
      </c>
      <c r="G1060" s="103">
        <v>-357.94</v>
      </c>
      <c r="H1060" s="103">
        <v>-20.93</v>
      </c>
      <c r="I1060" s="103">
        <v>0.99</v>
      </c>
      <c r="J1060" s="3"/>
      <c r="N1060" s="8">
        <v>70166.13</v>
      </c>
      <c r="O1060" s="3">
        <f t="shared" si="35"/>
        <v>3.637978807091713E-12</v>
      </c>
      <c r="P1060" s="8">
        <v>-146.66999999999999</v>
      </c>
      <c r="S1060" s="8">
        <v>-146.66999999999999</v>
      </c>
      <c r="T1060" s="1">
        <f t="shared" si="36"/>
        <v>0</v>
      </c>
      <c r="U1060" s="8">
        <v>70019.460000000006</v>
      </c>
      <c r="V1060" s="1">
        <f>U1060-P1060-N1060-Q1060-R1060+N1060-I1061-G1061-F1061-D1060-E1060-B1060-K1061-M1060-H1061-C1060-L1060-J1060</f>
        <v>1.8918200339612667E-12</v>
      </c>
    </row>
    <row r="1061" spans="1:22" x14ac:dyDescent="0.25">
      <c r="A1061" t="s">
        <v>1206</v>
      </c>
      <c r="B1061" s="72">
        <v>10871.09</v>
      </c>
      <c r="F1061" s="8">
        <v>57764.79</v>
      </c>
      <c r="G1061" s="8">
        <v>-1797.39</v>
      </c>
      <c r="H1061" s="8">
        <v>-11.08</v>
      </c>
      <c r="I1061" s="8">
        <v>23.75</v>
      </c>
      <c r="J1061" s="3"/>
      <c r="O1061" s="3">
        <f t="shared" si="35"/>
        <v>-88157.75</v>
      </c>
      <c r="P1061" s="72">
        <v>-460.62</v>
      </c>
      <c r="T1061" s="1">
        <f t="shared" si="36"/>
        <v>460.62</v>
      </c>
    </row>
    <row r="1062" spans="1:22" x14ac:dyDescent="0.25">
      <c r="A1062" t="s">
        <v>1207</v>
      </c>
      <c r="B1062" s="72">
        <v>8390.48</v>
      </c>
      <c r="F1062" s="72">
        <v>79165.56</v>
      </c>
      <c r="G1062" s="72">
        <v>-1838.6699999999998</v>
      </c>
      <c r="H1062" s="86">
        <v>-40.229999999999997</v>
      </c>
      <c r="J1062" s="3"/>
      <c r="M1062" s="72">
        <v>40567.980000000003</v>
      </c>
      <c r="O1062" s="3">
        <f t="shared" si="35"/>
        <v>-84641.12</v>
      </c>
      <c r="P1062" s="72">
        <v>-99.53</v>
      </c>
      <c r="R1062" s="72">
        <v>26821.85</v>
      </c>
      <c r="T1062" s="1">
        <f t="shared" si="36"/>
        <v>-26722.32</v>
      </c>
    </row>
    <row r="1063" spans="1:22" x14ac:dyDescent="0.25">
      <c r="A1063" t="s">
        <v>1208</v>
      </c>
      <c r="B1063" s="72">
        <v>5034.3900000000003</v>
      </c>
      <c r="F1063" s="72">
        <v>35848.11</v>
      </c>
      <c r="G1063" s="72">
        <v>-165.45</v>
      </c>
      <c r="H1063" s="3"/>
      <c r="J1063" s="3"/>
      <c r="N1063" s="72">
        <v>232166.18</v>
      </c>
      <c r="O1063" s="3">
        <f t="shared" si="35"/>
        <v>172798.87</v>
      </c>
      <c r="P1063" s="72">
        <v>-24.82</v>
      </c>
      <c r="S1063" s="72">
        <v>26236.880000000001</v>
      </c>
      <c r="T1063" s="1">
        <f t="shared" si="36"/>
        <v>26261.7</v>
      </c>
      <c r="U1063" s="72">
        <v>258403.06</v>
      </c>
      <c r="V1063" s="3">
        <f>U1063-P1063-N1063-Q1063-R1063+N1063-I1064-G1064-F1064-D1063-E1063-B1063-M1062-R1062-R1061-Q1062-Q1061-P1061-P1062-K1063-K1062-I1062-G1062-F1062-E1062-E1061-B1062-B1061-M1061-D1061-D1062-M1063-H1062-C1061-H1064-K1064-C1062-L1061-L1062-L1063-F1063-G1063-J1062-H1063</f>
        <v>1.0174971976084635E-11</v>
      </c>
    </row>
    <row r="1064" spans="1:22" x14ac:dyDescent="0.25">
      <c r="A1064" t="s">
        <v>1209</v>
      </c>
      <c r="B1064" s="111">
        <v>12050.89</v>
      </c>
      <c r="F1064" s="72">
        <v>57260.42</v>
      </c>
      <c r="G1064" s="72">
        <v>-2927.5</v>
      </c>
      <c r="J1064" s="3"/>
      <c r="N1064" s="111">
        <v>95605.47</v>
      </c>
      <c r="O1064" s="3">
        <f t="shared" si="35"/>
        <v>1.4551915228366852E-11</v>
      </c>
      <c r="P1064" s="111">
        <v>-363.46</v>
      </c>
      <c r="S1064" s="111">
        <v>-363.46</v>
      </c>
      <c r="T1064" s="1">
        <f t="shared" si="36"/>
        <v>0</v>
      </c>
      <c r="U1064" s="111">
        <v>95242.01</v>
      </c>
      <c r="V1064" s="1">
        <f>U1064-P1064-N1064-Q1064-R1064+N1064-I1065-G1065-F1065-D1064-E1064-B1064-K1065-M1064-H1065-C1064-L1064-J1064</f>
        <v>7.5668360466352169E-12</v>
      </c>
    </row>
    <row r="1065" spans="1:22" x14ac:dyDescent="0.25">
      <c r="A1065" t="s">
        <v>1210</v>
      </c>
      <c r="B1065" s="56">
        <v>10406.26</v>
      </c>
      <c r="F1065" s="111">
        <v>84685.53</v>
      </c>
      <c r="G1065" s="111">
        <v>-1200.74</v>
      </c>
      <c r="H1065" s="111">
        <v>2.93</v>
      </c>
      <c r="I1065" s="111">
        <v>66.86</v>
      </c>
      <c r="J1065" s="3"/>
      <c r="N1065" s="56">
        <v>73948.34</v>
      </c>
      <c r="O1065" s="3">
        <f t="shared" si="35"/>
        <v>-5.4569682106375694E-12</v>
      </c>
      <c r="P1065" s="56">
        <v>-41.43</v>
      </c>
      <c r="S1065" s="56">
        <v>-41.43</v>
      </c>
      <c r="T1065" s="1">
        <f t="shared" si="36"/>
        <v>0</v>
      </c>
      <c r="U1065" s="56">
        <v>73906.91</v>
      </c>
      <c r="V1065" s="1">
        <f>U1065-P1065-N1065-Q1065-R1065+N1065-I1066-G1066-F1066-D1065-E1065-B1065-K1066-M1065-H1066-C1065-L1065-J1065</f>
        <v>-6.0396132539608516E-12</v>
      </c>
    </row>
    <row r="1066" spans="1:22" x14ac:dyDescent="0.25">
      <c r="A1066" t="s">
        <v>1211</v>
      </c>
      <c r="B1066" s="2">
        <v>9770.34</v>
      </c>
      <c r="F1066" s="56">
        <v>65797.490000000005</v>
      </c>
      <c r="G1066" s="56">
        <v>-2225.6</v>
      </c>
      <c r="H1066" s="56">
        <v>-38.11</v>
      </c>
      <c r="I1066" s="56">
        <v>8.2999999999999989</v>
      </c>
      <c r="J1066" s="3"/>
      <c r="N1066" s="2">
        <v>85786.880000000005</v>
      </c>
      <c r="O1066" s="3">
        <f t="shared" si="35"/>
        <v>1.0913936421275139E-11</v>
      </c>
      <c r="P1066" s="2">
        <v>-141.71</v>
      </c>
      <c r="S1066" s="2">
        <v>-141.71</v>
      </c>
      <c r="T1066" s="1">
        <f t="shared" si="36"/>
        <v>0</v>
      </c>
      <c r="U1066" s="2">
        <v>85645.17</v>
      </c>
      <c r="V1066" s="1">
        <f>U1066-P1066-N1066-Q1066-R1066+N1066-I1067-G1067-F1067-D1066-E1066-B1066-K1067-M1066-H1067-C1066-L1066-J1066</f>
        <v>1.4988899010859313E-11</v>
      </c>
    </row>
    <row r="1067" spans="1:22" x14ac:dyDescent="0.25">
      <c r="A1067" t="s">
        <v>1212</v>
      </c>
      <c r="B1067" s="5">
        <v>6181.61</v>
      </c>
      <c r="D1067" s="5">
        <v>61.5</v>
      </c>
      <c r="F1067" s="2">
        <v>76439.569999999992</v>
      </c>
      <c r="G1067" s="2">
        <v>-404.8</v>
      </c>
      <c r="H1067" s="2">
        <v>-18.23</v>
      </c>
      <c r="J1067" s="3"/>
      <c r="M1067" s="5">
        <v>16126.99</v>
      </c>
      <c r="N1067" s="5">
        <v>114258.63</v>
      </c>
      <c r="O1067" s="3">
        <f t="shared" si="35"/>
        <v>5.4569682106375694E-12</v>
      </c>
      <c r="P1067" s="5">
        <v>-110.14</v>
      </c>
      <c r="R1067" s="119">
        <v>400</v>
      </c>
      <c r="S1067" s="5">
        <v>289.86</v>
      </c>
      <c r="T1067" s="1">
        <f t="shared" si="36"/>
        <v>0</v>
      </c>
      <c r="U1067" s="5">
        <v>114548.49</v>
      </c>
      <c r="V1067" s="1">
        <f>U1067-P1067-N1067-Q1067-R1067+N1067-I1068-G1068-F1068-D1067-E1067-B1067-K1068-M1067-H1068-C1067-L1067-J1067</f>
        <v>-3.694822225952521E-13</v>
      </c>
    </row>
    <row r="1068" spans="1:22" x14ac:dyDescent="0.25">
      <c r="A1068" t="s">
        <v>1213</v>
      </c>
      <c r="B1068" s="39">
        <v>11217.06</v>
      </c>
      <c r="D1068" s="39">
        <v>1447.6200000000001</v>
      </c>
      <c r="F1068" s="5">
        <v>93992</v>
      </c>
      <c r="G1068" s="5">
        <v>-2023.62</v>
      </c>
      <c r="H1068" s="5">
        <v>-79.849999999999994</v>
      </c>
      <c r="J1068" s="3"/>
      <c r="O1068" s="3">
        <f t="shared" si="35"/>
        <v>-112698.67000000001</v>
      </c>
      <c r="P1068" s="39">
        <v>-332.91</v>
      </c>
      <c r="R1068" s="3"/>
      <c r="S1068" s="3"/>
      <c r="T1068" s="1">
        <f t="shared" si="36"/>
        <v>332.91</v>
      </c>
    </row>
    <row r="1069" spans="1:22" x14ac:dyDescent="0.25">
      <c r="A1069" t="s">
        <v>1214</v>
      </c>
      <c r="B1069" s="39">
        <v>7409.24</v>
      </c>
      <c r="F1069" s="39">
        <v>101738.67000000001</v>
      </c>
      <c r="G1069" s="39">
        <v>-866.26</v>
      </c>
      <c r="H1069" s="39">
        <v>-858.1</v>
      </c>
      <c r="I1069" s="39">
        <v>19.68</v>
      </c>
      <c r="J1069" s="3"/>
      <c r="M1069" s="39">
        <v>26083.71</v>
      </c>
      <c r="O1069" s="3">
        <f t="shared" si="35"/>
        <v>-137662.70000000001</v>
      </c>
      <c r="P1069" s="39">
        <v>-531.11</v>
      </c>
      <c r="R1069" s="39">
        <v>1850.27</v>
      </c>
      <c r="T1069" s="1">
        <f t="shared" si="36"/>
        <v>-1319.1599999999999</v>
      </c>
    </row>
    <row r="1070" spans="1:22" x14ac:dyDescent="0.25">
      <c r="A1070" t="s">
        <v>1215</v>
      </c>
      <c r="B1070" s="39">
        <v>4246.93</v>
      </c>
      <c r="C1070" s="39">
        <v>-306.57</v>
      </c>
      <c r="F1070" s="39">
        <v>104694.12000000001</v>
      </c>
      <c r="G1070" s="39">
        <v>-524.37</v>
      </c>
      <c r="J1070" s="3"/>
      <c r="O1070" s="3">
        <f t="shared" ref="O1070:O1133" si="37">N1070-K1071-I1071-H1071-G1071-F1071-E1070-D1070-C1070-B1070-M1070-L1070-J1070</f>
        <v>-145603.64999999997</v>
      </c>
      <c r="P1070" s="39">
        <v>-60.47</v>
      </c>
      <c r="T1070" s="1">
        <f t="shared" si="36"/>
        <v>60.47</v>
      </c>
    </row>
    <row r="1071" spans="1:22" x14ac:dyDescent="0.25">
      <c r="A1071" t="s">
        <v>1216</v>
      </c>
      <c r="B1071" s="39">
        <v>6277.8</v>
      </c>
      <c r="D1071" s="3"/>
      <c r="E1071" s="39">
        <v>58.03</v>
      </c>
      <c r="F1071" s="39">
        <v>139577.60999999999</v>
      </c>
      <c r="G1071" s="39">
        <v>-154.12</v>
      </c>
      <c r="I1071" s="39">
        <v>2239.8000000000002</v>
      </c>
      <c r="J1071" s="3"/>
      <c r="N1071" s="39">
        <v>516012.83</v>
      </c>
      <c r="O1071" s="3">
        <f t="shared" si="37"/>
        <v>395965.02</v>
      </c>
      <c r="P1071" s="39">
        <v>-144.78</v>
      </c>
      <c r="S1071" s="39">
        <v>781</v>
      </c>
      <c r="T1071" s="1">
        <f t="shared" si="36"/>
        <v>925.78</v>
      </c>
      <c r="U1071" s="39">
        <v>516793.83</v>
      </c>
    </row>
    <row r="1072" spans="1:22" x14ac:dyDescent="0.25">
      <c r="A1072" t="s">
        <v>1217</v>
      </c>
      <c r="B1072" s="120">
        <v>9685.44</v>
      </c>
      <c r="F1072" s="39">
        <v>115588.79</v>
      </c>
      <c r="G1072" s="39">
        <v>-1476.8500000000001</v>
      </c>
      <c r="H1072" s="39">
        <v>-1012.8800000000001</v>
      </c>
      <c r="I1072" s="39">
        <v>612.92000000000007</v>
      </c>
      <c r="J1072" s="3"/>
      <c r="N1072" s="120">
        <v>137934.65</v>
      </c>
      <c r="O1072" s="3">
        <f t="shared" si="37"/>
        <v>-2.7284841053187847E-11</v>
      </c>
      <c r="P1072" s="120">
        <v>-75.16</v>
      </c>
      <c r="S1072" s="120">
        <v>-75.16</v>
      </c>
      <c r="T1072" s="1">
        <f t="shared" si="36"/>
        <v>0</v>
      </c>
      <c r="U1072" s="120">
        <v>137859.49</v>
      </c>
      <c r="V1072" s="1">
        <f>U1072-P1072-N1072-Q1072-R1072+N1072-I1073-G1073-F1073-D1072-E1072-B1072-K1073-M1072-H1073-C1072-L1072-J1072</f>
        <v>-1.4480860954790842E-11</v>
      </c>
    </row>
    <row r="1073" spans="1:22" x14ac:dyDescent="0.25">
      <c r="A1073" t="s">
        <v>1218</v>
      </c>
      <c r="B1073" s="49">
        <v>7392.24</v>
      </c>
      <c r="F1073" s="120">
        <v>129162.53</v>
      </c>
      <c r="G1073" s="120">
        <v>-853.16</v>
      </c>
      <c r="H1073" s="120">
        <v>-114.83</v>
      </c>
      <c r="I1073" s="120">
        <v>54.67</v>
      </c>
      <c r="J1073" s="3"/>
      <c r="N1073" s="49">
        <v>82942.22</v>
      </c>
      <c r="O1073" s="3">
        <f t="shared" si="37"/>
        <v>5.4569682106375694E-12</v>
      </c>
      <c r="P1073" s="49">
        <v>-143.69999999999999</v>
      </c>
      <c r="S1073" s="49">
        <v>-143.69999999999999</v>
      </c>
      <c r="T1073" s="1">
        <f t="shared" si="36"/>
        <v>0</v>
      </c>
      <c r="U1073" s="49">
        <v>82798.52</v>
      </c>
      <c r="V1073" s="1">
        <f>U1073-P1073-N1073-Q1073-R1073+N1073-I1074-G1074-F1074-D1073-E1073-B1073-K1074-M1073-H1074-C1073-L1073-J1073</f>
        <v>4.8778758809930878E-12</v>
      </c>
    </row>
    <row r="1074" spans="1:22" x14ac:dyDescent="0.25">
      <c r="A1074" t="s">
        <v>1219</v>
      </c>
      <c r="B1074" s="90">
        <v>9722.89</v>
      </c>
      <c r="F1074" s="49">
        <v>77582.44</v>
      </c>
      <c r="G1074" s="49">
        <v>-2030.2999999999997</v>
      </c>
      <c r="H1074" s="49">
        <v>-16.610000000000003</v>
      </c>
      <c r="I1074" s="49">
        <v>14.45</v>
      </c>
      <c r="J1074" s="3"/>
      <c r="N1074" s="90">
        <v>72692.44</v>
      </c>
      <c r="O1074" s="3">
        <f t="shared" si="37"/>
        <v>0</v>
      </c>
      <c r="P1074" s="90">
        <v>-48.01</v>
      </c>
      <c r="S1074" s="90">
        <v>-48.01</v>
      </c>
      <c r="T1074" s="1">
        <f t="shared" si="36"/>
        <v>0</v>
      </c>
      <c r="U1074" s="90">
        <v>72644.429999999993</v>
      </c>
      <c r="V1074" s="1">
        <f>U1074-P1074-N1074-Q1074-R1074+N1074-I1075-G1075-F1075-D1074-E1074-B1074-K1075-M1074-H1075-C1074-L1074-J1074</f>
        <v>-1.5134560271690134E-11</v>
      </c>
    </row>
    <row r="1075" spans="1:22" x14ac:dyDescent="0.25">
      <c r="A1075" t="s">
        <v>1220</v>
      </c>
      <c r="B1075" s="57">
        <v>9190.51</v>
      </c>
      <c r="E1075" s="57">
        <v>24.09</v>
      </c>
      <c r="F1075" s="90">
        <v>64044.83</v>
      </c>
      <c r="G1075" s="90">
        <v>-1006.37</v>
      </c>
      <c r="H1075" s="90">
        <v>-96.61</v>
      </c>
      <c r="I1075" s="90">
        <v>27.7</v>
      </c>
      <c r="J1075" s="3"/>
      <c r="O1075" s="3">
        <f t="shared" si="37"/>
        <v>-85353.849999999991</v>
      </c>
      <c r="P1075" s="57">
        <v>-4.17</v>
      </c>
      <c r="T1075" s="1">
        <f t="shared" si="36"/>
        <v>4.17</v>
      </c>
    </row>
    <row r="1076" spans="1:22" x14ac:dyDescent="0.25">
      <c r="A1076" t="s">
        <v>1221</v>
      </c>
      <c r="B1076" s="57">
        <v>7417.34</v>
      </c>
      <c r="F1076" s="57">
        <v>76600.86</v>
      </c>
      <c r="G1076" s="57">
        <v>-416.69</v>
      </c>
      <c r="H1076" s="57">
        <v>-58.42</v>
      </c>
      <c r="I1076" s="57">
        <v>13.5</v>
      </c>
      <c r="J1076" s="3"/>
      <c r="M1076" s="57">
        <v>30764.25</v>
      </c>
      <c r="O1076" s="3">
        <f t="shared" si="37"/>
        <v>-87912.94</v>
      </c>
      <c r="P1076" s="57">
        <v>-120.2</v>
      </c>
      <c r="R1076" s="57">
        <v>1186.8599999999999</v>
      </c>
      <c r="T1076" s="1">
        <f t="shared" si="36"/>
        <v>-1066.6599999999999</v>
      </c>
    </row>
    <row r="1077" spans="1:22" x14ac:dyDescent="0.25">
      <c r="A1077" t="s">
        <v>1222</v>
      </c>
      <c r="B1077" s="57">
        <v>5679.66</v>
      </c>
      <c r="F1077" s="57">
        <v>49826.740000000005</v>
      </c>
      <c r="G1077" s="57">
        <v>-95.39</v>
      </c>
      <c r="J1077" s="3"/>
      <c r="N1077" s="57">
        <v>245379.88</v>
      </c>
      <c r="O1077" s="3">
        <f t="shared" si="37"/>
        <v>173266.78999999998</v>
      </c>
      <c r="P1077" s="57">
        <v>-145.19</v>
      </c>
      <c r="S1077" s="57">
        <v>917.3</v>
      </c>
      <c r="T1077" s="1">
        <f t="shared" si="36"/>
        <v>1062.49</v>
      </c>
      <c r="U1077" s="57">
        <v>246297.18</v>
      </c>
      <c r="V1077" s="3">
        <f>U1077-P1077-N1077-Q1077-R1077+N1077-I1078-G1078-F1078-D1077-E1077-B1077-M1076-R1076-R1075-Q1076-Q1075-P1075-P1076-K1077-K1076-I1076-G1076-F1076-E1076-E1075-B1076-B1075-M1075-D1075-D1076-M1077-H1076-C1075-H1078-K1078-C1076-L1075-L1076-L1077-F1077-G1077-J1076-H1077</f>
        <v>1.5134560271690134E-11</v>
      </c>
    </row>
    <row r="1078" spans="1:22" x14ac:dyDescent="0.25">
      <c r="A1078" t="s">
        <v>1223</v>
      </c>
      <c r="B1078" s="110">
        <v>13162.88</v>
      </c>
      <c r="F1078" s="57">
        <v>67221.320000000007</v>
      </c>
      <c r="G1078" s="57">
        <v>-775.49</v>
      </c>
      <c r="H1078" s="57">
        <v>-19.68</v>
      </c>
      <c r="I1078" s="57">
        <v>7.28</v>
      </c>
      <c r="J1078" s="3"/>
      <c r="N1078" s="110">
        <v>94668.69</v>
      </c>
      <c r="O1078" s="3">
        <f t="shared" si="37"/>
        <v>-9.0949470177292824E-12</v>
      </c>
      <c r="T1078" s="1">
        <f t="shared" si="36"/>
        <v>0</v>
      </c>
      <c r="U1078" s="110">
        <v>94668.69</v>
      </c>
      <c r="V1078" s="1">
        <f>U1078-P1078-N1078-Q1078-R1078+N1078-I1079-G1079-F1079-D1078-E1078-B1078-K1079-M1078-H1079-C1078-L1078-J1078</f>
        <v>-9.0949470177292824E-12</v>
      </c>
    </row>
    <row r="1079" spans="1:22" x14ac:dyDescent="0.25">
      <c r="A1079" t="s">
        <v>1224</v>
      </c>
      <c r="B1079" s="51">
        <v>15319.93</v>
      </c>
      <c r="F1079" s="110">
        <v>81552.170000000013</v>
      </c>
      <c r="G1079" s="110">
        <v>-666.14</v>
      </c>
      <c r="I1079" s="110">
        <v>619.78</v>
      </c>
      <c r="J1079" s="3"/>
      <c r="N1079" s="51">
        <v>75176.44</v>
      </c>
      <c r="O1079" s="3">
        <f t="shared" si="37"/>
        <v>7.2759576141834259E-12</v>
      </c>
      <c r="P1079" s="51">
        <v>-70.150000000000006</v>
      </c>
      <c r="S1079" s="51">
        <v>-70.150000000000006</v>
      </c>
      <c r="T1079" s="1">
        <f t="shared" si="36"/>
        <v>0</v>
      </c>
      <c r="U1079" s="57">
        <v>75106.289999999994</v>
      </c>
      <c r="V1079" s="1">
        <f>U1079-P1079-N1079-Q1079-R1079+N1079-I1080-G1080-F1080-D1079-E1079-B1079-K1080-M1079-H1080-C1079-L1079-J1079</f>
        <v>-7.2759576141834259E-12</v>
      </c>
    </row>
    <row r="1080" spans="1:22" x14ac:dyDescent="0.25">
      <c r="A1080" t="s">
        <v>1225</v>
      </c>
      <c r="B1080" s="115">
        <v>13913.75</v>
      </c>
      <c r="E1080" s="115">
        <v>87.91</v>
      </c>
      <c r="F1080" s="51">
        <v>60455.08</v>
      </c>
      <c r="G1080" s="51">
        <v>-598.57000000000005</v>
      </c>
      <c r="J1080" s="115">
        <v>0.13</v>
      </c>
      <c r="N1080" s="115">
        <v>124511.81</v>
      </c>
      <c r="O1080" s="3">
        <f t="shared" si="37"/>
        <v>-2.0809243217456697E-11</v>
      </c>
      <c r="P1080" s="115">
        <v>-133.59</v>
      </c>
      <c r="S1080" s="115">
        <v>-133.59</v>
      </c>
      <c r="T1080" s="1">
        <f t="shared" si="36"/>
        <v>0</v>
      </c>
      <c r="U1080" s="115">
        <v>124378.22</v>
      </c>
      <c r="V1080" s="1">
        <f>U1080-P1080-N1080-Q1080-R1080+N1080-I1081-G1081-F1081-D1080-E1080-B1080-K1081-M1080-H1081-C1080-L1080-J1080</f>
        <v>-2.2557178347426543E-11</v>
      </c>
    </row>
    <row r="1081" spans="1:22" x14ac:dyDescent="0.25">
      <c r="A1081" t="s">
        <v>1226</v>
      </c>
      <c r="B1081" s="103">
        <v>16055.75</v>
      </c>
      <c r="F1081" s="115">
        <v>112563.90000000001</v>
      </c>
      <c r="G1081" s="115">
        <v>-2006.12</v>
      </c>
      <c r="H1081" s="115">
        <v>-66.83</v>
      </c>
      <c r="I1081" s="115">
        <v>19.07</v>
      </c>
      <c r="J1081" s="3"/>
      <c r="N1081" s="103">
        <v>106514.34</v>
      </c>
      <c r="O1081" s="3">
        <f t="shared" si="37"/>
        <v>0</v>
      </c>
      <c r="P1081" s="103">
        <v>-71.97</v>
      </c>
      <c r="S1081" s="103">
        <v>-71.97</v>
      </c>
      <c r="T1081" s="1">
        <f t="shared" si="36"/>
        <v>0</v>
      </c>
      <c r="U1081" s="103">
        <v>106442.37</v>
      </c>
      <c r="V1081" s="1">
        <f>U1081-P1081-N1081-Q1081-R1081+N1081-I1082-G1082-F1082-D1081-E1081-B1081-K1082-M1081-H1082-C1081-L1081-J1081</f>
        <v>-1.1644019082268642E-12</v>
      </c>
    </row>
    <row r="1082" spans="1:22" x14ac:dyDescent="0.25">
      <c r="A1082" t="s">
        <v>1227</v>
      </c>
      <c r="B1082" s="72">
        <v>10739.46</v>
      </c>
      <c r="E1082" s="72">
        <v>4.63</v>
      </c>
      <c r="F1082" s="103">
        <v>92039.37999999999</v>
      </c>
      <c r="G1082" s="103">
        <v>-1652.39</v>
      </c>
      <c r="H1082" s="103">
        <v>-4.22</v>
      </c>
      <c r="I1082" s="103">
        <v>75.819999999999993</v>
      </c>
      <c r="J1082" s="3"/>
      <c r="O1082" s="3">
        <f t="shared" si="37"/>
        <v>-130889.88</v>
      </c>
      <c r="P1082" s="72">
        <v>-168.02</v>
      </c>
      <c r="T1082" s="1">
        <f t="shared" si="36"/>
        <v>168.02</v>
      </c>
    </row>
    <row r="1083" spans="1:22" x14ac:dyDescent="0.25">
      <c r="A1083" t="s">
        <v>1228</v>
      </c>
      <c r="B1083" s="72">
        <v>4385.88</v>
      </c>
      <c r="E1083" s="72">
        <v>9.24</v>
      </c>
      <c r="F1083" s="72">
        <v>122530.44</v>
      </c>
      <c r="G1083" s="72">
        <v>-1898.35</v>
      </c>
      <c r="H1083" s="72">
        <v>-499.74</v>
      </c>
      <c r="I1083" s="72">
        <v>13.44</v>
      </c>
      <c r="J1083" s="3"/>
      <c r="M1083" s="72">
        <v>27218.03</v>
      </c>
      <c r="O1083" s="3">
        <f t="shared" si="37"/>
        <v>-105660.18000000001</v>
      </c>
      <c r="P1083" s="72">
        <v>-355.85</v>
      </c>
      <c r="R1083" s="72">
        <v>1130.6400000000001</v>
      </c>
      <c r="T1083" s="1">
        <f t="shared" si="36"/>
        <v>-774.79000000000008</v>
      </c>
    </row>
    <row r="1084" spans="1:22" x14ac:dyDescent="0.25">
      <c r="A1084" t="s">
        <v>1229</v>
      </c>
      <c r="B1084" s="72">
        <v>9606.2899999999991</v>
      </c>
      <c r="F1084" s="72">
        <v>74621.61</v>
      </c>
      <c r="G1084" s="72">
        <v>-574.58000000000004</v>
      </c>
      <c r="J1084" s="3"/>
      <c r="N1084" s="72">
        <v>303334.92</v>
      </c>
      <c r="O1084" s="3">
        <f t="shared" si="37"/>
        <v>236550.05999999997</v>
      </c>
      <c r="P1084" s="72">
        <v>-313.69</v>
      </c>
      <c r="S1084" s="72">
        <v>293.08</v>
      </c>
      <c r="T1084" s="1">
        <f t="shared" si="36"/>
        <v>606.77</v>
      </c>
      <c r="U1084" s="72">
        <v>303628</v>
      </c>
      <c r="V1084" s="3">
        <f>U1084-P1084-N1084-Q1084-R1084+N1084-I1085-G1085-F1085-D1084-E1084-B1084-M1083-R1083-R1082-Q1083-Q1082-P1082-P1083-K1084-K1083-I1083-G1083-F1083-E1083-E1082-B1083-B1082-M1082-D1082-D1083-M1084-H1083-C1082-H1085-K1085-C1083-L1082-L1083-L1084-F1084-G1084-J1083-H1084</f>
        <v>-4.5361048250924796E-11</v>
      </c>
    </row>
    <row r="1085" spans="1:22" x14ac:dyDescent="0.25">
      <c r="A1085" t="s">
        <v>1230</v>
      </c>
      <c r="B1085" s="89">
        <v>10705.710000000001</v>
      </c>
      <c r="F1085" s="72">
        <v>59398.270000000004</v>
      </c>
      <c r="G1085" s="72">
        <v>-2460.84</v>
      </c>
      <c r="I1085" s="72">
        <v>241.14</v>
      </c>
      <c r="J1085" s="3"/>
      <c r="N1085" s="89">
        <v>100483.1</v>
      </c>
      <c r="O1085" s="3">
        <f t="shared" si="37"/>
        <v>5.4569682106375694E-12</v>
      </c>
      <c r="P1085" s="89">
        <v>-624.45000000000005</v>
      </c>
      <c r="S1085" s="89">
        <v>-624.45000000000005</v>
      </c>
      <c r="T1085" s="1">
        <f t="shared" si="36"/>
        <v>0</v>
      </c>
      <c r="U1085" s="89">
        <v>99858.65</v>
      </c>
      <c r="V1085" s="1">
        <f>U1085-P1085-N1085-Q1085-R1085+N1085-I1086-G1086-F1086-D1085-E1085-B1085-K1086-M1085-H1086-C1085-L1085-J1085</f>
        <v>-5.0022208597511053E-12</v>
      </c>
    </row>
    <row r="1086" spans="1:22" x14ac:dyDescent="0.25">
      <c r="A1086" t="s">
        <v>1231</v>
      </c>
      <c r="B1086" s="39">
        <v>7119.71</v>
      </c>
      <c r="F1086" s="89">
        <v>91380.03</v>
      </c>
      <c r="G1086" s="89">
        <v>-1483.96</v>
      </c>
      <c r="H1086" s="89">
        <v>-153.23000000000002</v>
      </c>
      <c r="I1086" s="89">
        <v>34.549999999999997</v>
      </c>
      <c r="J1086" s="3"/>
      <c r="N1086" s="39">
        <v>124007.1</v>
      </c>
      <c r="O1086" s="3">
        <f t="shared" si="37"/>
        <v>2.0918378140777349E-11</v>
      </c>
      <c r="P1086" s="39">
        <v>-735.33</v>
      </c>
      <c r="S1086" s="39">
        <v>-735.33</v>
      </c>
      <c r="T1086" s="1">
        <f t="shared" si="36"/>
        <v>0</v>
      </c>
      <c r="U1086" s="39">
        <v>123271.77</v>
      </c>
      <c r="V1086" s="1">
        <f>U1086-P1086-N1086-Q1086-R1086+N1086-I1087-G1087-F1087-D1086-E1086-B1086-K1087-M1086-H1087-C1086-L1086-J1086</f>
        <v>1.3933743048255565E-11</v>
      </c>
    </row>
    <row r="1087" spans="1:22" x14ac:dyDescent="0.25">
      <c r="A1087" t="s">
        <v>1232</v>
      </c>
      <c r="B1087" s="37">
        <v>9940.67</v>
      </c>
      <c r="F1087" s="39">
        <v>119611.54</v>
      </c>
      <c r="G1087" s="39">
        <v>-2715.3700000000003</v>
      </c>
      <c r="H1087" s="39">
        <v>-23.07</v>
      </c>
      <c r="I1087" s="39">
        <v>14.29</v>
      </c>
      <c r="J1087" s="3"/>
      <c r="N1087" s="37">
        <v>71428.3</v>
      </c>
      <c r="O1087" s="3">
        <f t="shared" si="37"/>
        <v>1.2732925824820995E-11</v>
      </c>
      <c r="P1087" s="37">
        <v>-145.47</v>
      </c>
      <c r="S1087" s="37">
        <v>-145.47</v>
      </c>
      <c r="T1087" s="1">
        <f t="shared" si="36"/>
        <v>0</v>
      </c>
      <c r="U1087" s="37">
        <v>71282.83</v>
      </c>
      <c r="V1087" s="1">
        <f>U1087-P1087-N1087-Q1087-R1087+N1087-I1088-G1088-F1088-D1087-E1087-B1087-K1088-M1087-H1088-C1087-L1087-J1087</f>
        <v>8.6686213762732223E-12</v>
      </c>
    </row>
    <row r="1088" spans="1:22" x14ac:dyDescent="0.25">
      <c r="A1088" t="s">
        <v>1233</v>
      </c>
      <c r="B1088" s="2">
        <v>6736.3200000000006</v>
      </c>
      <c r="F1088" s="37">
        <v>67298.59</v>
      </c>
      <c r="G1088" s="37">
        <v>-5673.27</v>
      </c>
      <c r="H1088" s="37">
        <v>-157.27000000000001</v>
      </c>
      <c r="I1088" s="37">
        <v>19.579999999999998</v>
      </c>
      <c r="J1088" s="3"/>
      <c r="N1088" s="2">
        <v>59577.73</v>
      </c>
      <c r="O1088" s="3">
        <f t="shared" si="37"/>
        <v>6.3664629124104977E-12</v>
      </c>
      <c r="P1088" s="2">
        <v>-82.35</v>
      </c>
      <c r="S1088" s="2">
        <v>-82.35</v>
      </c>
      <c r="T1088" s="1">
        <f t="shared" si="36"/>
        <v>0</v>
      </c>
      <c r="U1088" s="2">
        <v>59495.38</v>
      </c>
      <c r="V1088" s="1">
        <f>U1088-P1088-N1088-Q1088-R1088+N1088-I1089-G1089-F1089-D1088-E1088-B1088-K1089-M1088-H1089-C1088-L1088-J1088</f>
        <v>-2.6503244043851737E-12</v>
      </c>
    </row>
    <row r="1089" spans="1:22" x14ac:dyDescent="0.25">
      <c r="A1089" t="s">
        <v>1234</v>
      </c>
      <c r="B1089" s="32">
        <v>8811.8100000000013</v>
      </c>
      <c r="E1089" s="32">
        <v>201.78</v>
      </c>
      <c r="F1089" s="2">
        <v>52893.49</v>
      </c>
      <c r="G1089" s="2">
        <v>-1082.9399999999998</v>
      </c>
      <c r="H1089" s="2">
        <v>-59.830000000000005</v>
      </c>
      <c r="I1089" s="2">
        <v>1090.6899999999998</v>
      </c>
      <c r="J1089" s="3"/>
      <c r="O1089" s="3">
        <f t="shared" si="37"/>
        <v>-72500.800000000003</v>
      </c>
      <c r="P1089" s="32">
        <v>-29.08</v>
      </c>
      <c r="T1089" s="1">
        <f t="shared" si="36"/>
        <v>29.08</v>
      </c>
    </row>
    <row r="1090" spans="1:22" x14ac:dyDescent="0.25">
      <c r="A1090" t="s">
        <v>1235</v>
      </c>
      <c r="B1090" s="32">
        <v>5971.44</v>
      </c>
      <c r="F1090" s="32">
        <v>68486.77</v>
      </c>
      <c r="G1090" s="32">
        <v>-4139.4799999999996</v>
      </c>
      <c r="H1090" s="32">
        <v>-900.49</v>
      </c>
      <c r="I1090" s="32">
        <v>40.410000000000004</v>
      </c>
      <c r="J1090"/>
      <c r="M1090" s="32">
        <v>28591.31</v>
      </c>
      <c r="O1090" s="3">
        <f t="shared" si="37"/>
        <v>-75969.45</v>
      </c>
      <c r="P1090" s="32">
        <v>-373.64</v>
      </c>
      <c r="R1090" s="32">
        <v>1075.4100000000001</v>
      </c>
      <c r="T1090" s="1">
        <f t="shared" si="36"/>
        <v>-701.7700000000001</v>
      </c>
    </row>
    <row r="1091" spans="1:22" x14ac:dyDescent="0.25">
      <c r="A1091" t="s">
        <v>1236</v>
      </c>
      <c r="B1091" s="32">
        <v>6503.4400000000005</v>
      </c>
      <c r="F1091" s="32">
        <v>41906.71</v>
      </c>
      <c r="G1091" s="32">
        <v>-500.01</v>
      </c>
      <c r="J1091" s="3"/>
      <c r="N1091" s="32">
        <v>208947.62</v>
      </c>
      <c r="O1091" s="3">
        <f t="shared" si="37"/>
        <v>148470.25</v>
      </c>
      <c r="P1091" s="32">
        <v>-224.65</v>
      </c>
      <c r="S1091" s="32">
        <v>448.04</v>
      </c>
      <c r="T1091" s="1">
        <f t="shared" si="36"/>
        <v>672.69</v>
      </c>
      <c r="U1091" s="32">
        <v>209395.66</v>
      </c>
      <c r="V1091" s="3">
        <f>U1091-P1091-N1091-Q1091-R1091+N1091-I1092-G1092-F1092-D1091-E1091-B1091-M1090-R1090-R1089-Q1090-Q1089-P1089-P1090-K1091-K1090-I1090-G1090-F1090-E1090-E1089-B1090-B1089-M1089-D1089-D1090-M1091-H1090-C1089-H1092-K1092-C1090-L1089-L1090-L1091-F1091-G1091-J1090-H1091</f>
        <v>-9.3223206931725144E-12</v>
      </c>
    </row>
    <row r="1092" spans="1:22" x14ac:dyDescent="0.25">
      <c r="A1092" t="s">
        <v>1237</v>
      </c>
      <c r="B1092" s="62">
        <v>7935.88</v>
      </c>
      <c r="F1092" s="32">
        <v>58174.859999999993</v>
      </c>
      <c r="G1092" s="32">
        <v>-4146.7699999999995</v>
      </c>
      <c r="H1092" s="32">
        <v>-76.75</v>
      </c>
      <c r="I1092" s="32">
        <v>22.59</v>
      </c>
      <c r="J1092" s="3"/>
      <c r="N1092" s="62">
        <v>81390.73</v>
      </c>
      <c r="O1092" s="3">
        <f t="shared" si="37"/>
        <v>4.5474735088646412E-12</v>
      </c>
      <c r="P1092" s="62">
        <v>-24.08</v>
      </c>
      <c r="S1092" s="62">
        <v>-24.08</v>
      </c>
      <c r="T1092" s="1">
        <f t="shared" si="36"/>
        <v>0</v>
      </c>
      <c r="U1092" s="62">
        <v>81366.649999999994</v>
      </c>
      <c r="V1092" s="1">
        <f>U1092-P1092-N1092-Q1092-R1092+N1092-I1093-G1093-F1093-D1092-E1092-B1092-K1093-M1092-H1093-C1092-L1092-J1092</f>
        <v>1.6378010059270309E-12</v>
      </c>
    </row>
    <row r="1093" spans="1:22" x14ac:dyDescent="0.25">
      <c r="A1093" t="s">
        <v>1238</v>
      </c>
      <c r="B1093" s="35">
        <v>8207.1</v>
      </c>
      <c r="F1093" s="62">
        <v>74701.960000000006</v>
      </c>
      <c r="G1093" s="62">
        <v>-1189.07</v>
      </c>
      <c r="H1093" s="62">
        <v>-24.55</v>
      </c>
      <c r="I1093" s="62">
        <v>-33.489999999999995</v>
      </c>
      <c r="J1093" s="3"/>
      <c r="N1093" s="35">
        <v>72798.490000000005</v>
      </c>
      <c r="O1093" s="3">
        <f t="shared" si="37"/>
        <v>-9.0949470177292824E-12</v>
      </c>
      <c r="P1093" s="35">
        <v>-72.87</v>
      </c>
      <c r="S1093" s="35">
        <v>-72.87</v>
      </c>
      <c r="T1093" s="1">
        <f t="shared" si="36"/>
        <v>0</v>
      </c>
      <c r="U1093" s="35">
        <v>72725.62</v>
      </c>
      <c r="V1093" s="1">
        <f>U1093-P1093-N1093-Q1093-R1093+N1093-I1094-G1094-F1094-D1093-E1093-B1093-K1094-M1093-H1094-C1093-L1093-J1093</f>
        <v>-2.1827872842550278E-11</v>
      </c>
    </row>
    <row r="1094" spans="1:22" x14ac:dyDescent="0.25">
      <c r="A1094" t="s">
        <v>1239</v>
      </c>
      <c r="B1094" s="9">
        <v>4703.47</v>
      </c>
      <c r="F1094" s="35">
        <v>83678.510000000009</v>
      </c>
      <c r="G1094" s="35">
        <v>-1723.47</v>
      </c>
      <c r="H1094" s="35">
        <v>-17396.669999999998</v>
      </c>
      <c r="I1094" s="35">
        <v>33.020000000000003</v>
      </c>
      <c r="J1094" s="3"/>
      <c r="N1094" s="9">
        <v>86003.9</v>
      </c>
      <c r="O1094" s="3">
        <f t="shared" si="37"/>
        <v>-1.3642420526593924E-11</v>
      </c>
      <c r="T1094" s="1">
        <f t="shared" si="36"/>
        <v>0</v>
      </c>
      <c r="U1094" s="9">
        <v>86003.9</v>
      </c>
      <c r="V1094" s="1">
        <f>U1094-P1094-N1094-Q1094-R1094+N1094-I1095-G1095-F1095-D1094-E1094-B1094-K1095-M1094-H1095-C1094-L1094-J1094</f>
        <v>-6.6577854340721387E-12</v>
      </c>
    </row>
    <row r="1095" spans="1:22" x14ac:dyDescent="0.25">
      <c r="A1095" t="s">
        <v>1240</v>
      </c>
      <c r="B1095" s="39">
        <v>8340.17</v>
      </c>
      <c r="F1095" s="9">
        <v>86576.53</v>
      </c>
      <c r="G1095" s="9">
        <v>-5340.4000000000005</v>
      </c>
      <c r="H1095" s="9">
        <v>-33.68</v>
      </c>
      <c r="I1095" s="9">
        <v>97.98</v>
      </c>
      <c r="J1095" s="3"/>
      <c r="N1095" s="39">
        <v>84441.45</v>
      </c>
      <c r="O1095" s="3">
        <f t="shared" si="37"/>
        <v>-1.6370904631912708E-11</v>
      </c>
      <c r="P1095" s="39">
        <v>-427.6</v>
      </c>
      <c r="S1095" s="39">
        <v>-427.6</v>
      </c>
      <c r="T1095" s="1">
        <f t="shared" si="36"/>
        <v>0</v>
      </c>
      <c r="U1095" s="39">
        <v>84013.85</v>
      </c>
      <c r="V1095" s="1">
        <f>U1095-P1095-N1095-Q1095-R1095+N1095-I1096-G1096-F1096-D1095-E1095-B1095-K1096-M1095-H1096-C1095-L1095-J1095</f>
        <v>4.5474735088646412E-13</v>
      </c>
    </row>
    <row r="1096" spans="1:22" x14ac:dyDescent="0.25">
      <c r="A1096" t="s">
        <v>1241</v>
      </c>
      <c r="B1096" s="38">
        <v>10903.93</v>
      </c>
      <c r="E1096" s="29"/>
      <c r="F1096" s="121">
        <v>77845.16</v>
      </c>
      <c r="G1096" s="122">
        <v>-1423.79</v>
      </c>
      <c r="H1096" s="39">
        <v>-722.31</v>
      </c>
      <c r="I1096" s="39">
        <v>402.22</v>
      </c>
      <c r="J1096" s="3"/>
      <c r="O1096" s="3">
        <f t="shared" si="37"/>
        <v>-102051.79000000001</v>
      </c>
      <c r="P1096" s="38">
        <v>-339.95</v>
      </c>
      <c r="T1096" s="1">
        <f t="shared" si="36"/>
        <v>339.95</v>
      </c>
    </row>
    <row r="1097" spans="1:22" x14ac:dyDescent="0.25">
      <c r="A1097" t="s">
        <v>1242</v>
      </c>
      <c r="B1097" s="38">
        <v>7352.41</v>
      </c>
      <c r="F1097" s="38">
        <v>91995.76</v>
      </c>
      <c r="G1097" s="38">
        <v>-638.65000000000009</v>
      </c>
      <c r="H1097" s="38">
        <v>-208.08</v>
      </c>
      <c r="I1097" s="38">
        <v>-1.1700000000000002</v>
      </c>
      <c r="J1097" s="3"/>
      <c r="M1097" s="38">
        <v>77550.009999999995</v>
      </c>
      <c r="O1097" s="3">
        <f t="shared" si="37"/>
        <v>-147403.19</v>
      </c>
      <c r="P1097" s="38">
        <v>-119.75</v>
      </c>
      <c r="R1097" s="38">
        <v>1847.11</v>
      </c>
      <c r="T1097" s="1">
        <f t="shared" si="36"/>
        <v>-1727.36</v>
      </c>
    </row>
    <row r="1098" spans="1:22" x14ac:dyDescent="0.25">
      <c r="A1098" t="s">
        <v>1243</v>
      </c>
      <c r="B1098" s="38">
        <v>4471.72</v>
      </c>
      <c r="F1098" s="38">
        <v>64135.22</v>
      </c>
      <c r="G1098" s="38">
        <v>-1634.45</v>
      </c>
      <c r="J1098" s="3"/>
      <c r="N1098" s="38">
        <v>313399.13</v>
      </c>
      <c r="O1098" s="3">
        <f t="shared" si="37"/>
        <v>249454.97999999998</v>
      </c>
      <c r="P1098" s="38">
        <v>-155.91999999999999</v>
      </c>
      <c r="S1098" s="38">
        <v>1231.49</v>
      </c>
      <c r="T1098" s="1">
        <f t="shared" si="36"/>
        <v>1387.41</v>
      </c>
      <c r="U1098" s="38">
        <v>314630.62</v>
      </c>
      <c r="V1098" s="3">
        <f>U1098-P1098-N1098-Q1098-R1098+N1098-I1099-G1099-F1099-D1098-E1098-B1098-M1097-R1097-R1096-Q1097-Q1096-P1096-P1097-K1098-K1097-I1097-G1097-F1097-E1097-E1096-B1097-B1096-M1096-D1096-D1097-M1098-H1097-C1096-H1099-K1099-C1097-L1096-L1097-L1098-F1098-G1098-J1097-H1098</f>
        <v>-1.8872015061788261E-11</v>
      </c>
    </row>
    <row r="1099" spans="1:22" x14ac:dyDescent="0.25">
      <c r="A1099" t="s">
        <v>1244</v>
      </c>
      <c r="B1099" s="72">
        <v>6253.4800000000005</v>
      </c>
      <c r="F1099" s="38">
        <v>59335.59</v>
      </c>
      <c r="G1099" s="38">
        <v>-1258.8599999999999</v>
      </c>
      <c r="I1099" s="38">
        <v>1395.7</v>
      </c>
      <c r="J1099" s="3"/>
      <c r="M1099" s="72">
        <v>3300</v>
      </c>
      <c r="N1099" s="72">
        <v>108820.56</v>
      </c>
      <c r="O1099" s="3">
        <f t="shared" si="37"/>
        <v>-4.5474735088646412E-12</v>
      </c>
      <c r="P1099" s="72">
        <v>-324.73</v>
      </c>
      <c r="S1099" s="72">
        <v>-324.73</v>
      </c>
      <c r="T1099" s="1">
        <f t="shared" si="36"/>
        <v>0</v>
      </c>
      <c r="U1099" s="72">
        <v>108495.83</v>
      </c>
      <c r="V1099" s="1">
        <f>U1099-P1099-N1099-Q1099-R1099+N1099-I1100-G1100-F1100-D1099-E1099-B1099-K1100-M1099-H1100-C1099-L1099-J1099</f>
        <v>-9.7770680440589786E-12</v>
      </c>
    </row>
    <row r="1100" spans="1:22" x14ac:dyDescent="0.25">
      <c r="A1100" t="s">
        <v>1245</v>
      </c>
      <c r="B1100" s="107">
        <v>7100.32</v>
      </c>
      <c r="F1100" s="72">
        <v>99273.16</v>
      </c>
      <c r="G1100" s="72">
        <v>-552.48</v>
      </c>
      <c r="H1100" s="72">
        <v>-772.99</v>
      </c>
      <c r="I1100" s="72">
        <v>1319.39</v>
      </c>
      <c r="J1100" s="3"/>
      <c r="N1100" s="107">
        <v>117552.13</v>
      </c>
      <c r="O1100" s="3">
        <f t="shared" si="37"/>
        <v>2.1827872842550278E-11</v>
      </c>
      <c r="P1100" s="107">
        <v>-60.65</v>
      </c>
      <c r="S1100" s="107">
        <v>-60.65</v>
      </c>
      <c r="T1100" s="1">
        <f t="shared" si="36"/>
        <v>0</v>
      </c>
      <c r="U1100" s="107">
        <v>117491.48</v>
      </c>
      <c r="V1100" s="1">
        <f>U1100-P1100-N1100-Q1100-R1100+N1100-I1101-G1101-F1101-D1100-E1100-B1100-K1101-M1100-H1101-C1100-L1100-J1100</f>
        <v>0</v>
      </c>
    </row>
    <row r="1101" spans="1:22" x14ac:dyDescent="0.25">
      <c r="A1101" t="s">
        <v>1246</v>
      </c>
      <c r="B1101" s="37">
        <v>2985.38</v>
      </c>
      <c r="F1101" s="107">
        <v>117438.66</v>
      </c>
      <c r="G1101" s="107">
        <v>-3728.46</v>
      </c>
      <c r="H1101" s="107">
        <v>-4029.0699999999997</v>
      </c>
      <c r="I1101" s="107">
        <v>770.68000000000006</v>
      </c>
      <c r="J1101" s="3"/>
      <c r="N1101" s="37">
        <v>102273.33</v>
      </c>
      <c r="O1101" s="3">
        <f t="shared" si="37"/>
        <v>4.5474735088646412E-12</v>
      </c>
      <c r="P1101" s="37">
        <v>-465.72</v>
      </c>
      <c r="S1101" s="37">
        <v>-465.72</v>
      </c>
      <c r="T1101" s="1">
        <f t="shared" si="36"/>
        <v>0</v>
      </c>
      <c r="U1101" s="37">
        <v>101807.61</v>
      </c>
      <c r="V1101" s="1">
        <f>U1101-P1101-N1101-Q1101-R1101+N1101-I1102-G1102-F1102-D1101-E1101-B1101-K1102-M1101-H1102-C1101-L1101-J1101</f>
        <v>2.2737367544323206E-12</v>
      </c>
    </row>
    <row r="1102" spans="1:22" x14ac:dyDescent="0.25">
      <c r="A1102" t="s">
        <v>1247</v>
      </c>
      <c r="B1102" s="9">
        <v>5908.18</v>
      </c>
      <c r="E1102" s="9">
        <v>35.200000000000003</v>
      </c>
      <c r="F1102" s="37">
        <v>101420.55</v>
      </c>
      <c r="G1102" s="37">
        <v>-717.82</v>
      </c>
      <c r="H1102" s="37">
        <v>-3508.69</v>
      </c>
      <c r="I1102" s="37">
        <v>2093.91</v>
      </c>
      <c r="J1102" s="3"/>
      <c r="N1102" s="9">
        <v>82924.75</v>
      </c>
      <c r="O1102" s="3">
        <f t="shared" si="37"/>
        <v>-1.0004441719502211E-11</v>
      </c>
      <c r="P1102" s="9">
        <v>-119.75</v>
      </c>
      <c r="S1102" s="9">
        <v>-119.75</v>
      </c>
      <c r="T1102" s="1">
        <f t="shared" si="36"/>
        <v>0</v>
      </c>
      <c r="U1102" s="9">
        <v>82805</v>
      </c>
      <c r="V1102" s="1">
        <f>U1102-P1102-N1102-Q1102-R1102+N1102-I1103-G1103-F1103-D1102-E1102-B1102-K1103-M1102-H1103-C1102-L1102-J1102</f>
        <v>-7.73070496506989E-12</v>
      </c>
    </row>
    <row r="1103" spans="1:22" x14ac:dyDescent="0.25">
      <c r="A1103" t="s">
        <v>1248</v>
      </c>
      <c r="B1103" s="107">
        <v>6208.9400000000005</v>
      </c>
      <c r="F1103" s="9">
        <v>81157.820000000007</v>
      </c>
      <c r="G1103" s="9">
        <v>-2433.8000000000002</v>
      </c>
      <c r="H1103" s="9">
        <v>-2047.06</v>
      </c>
      <c r="I1103" s="9">
        <v>304.40999999999997</v>
      </c>
      <c r="J1103" s="3"/>
      <c r="O1103" s="3">
        <f t="shared" si="37"/>
        <v>-114929.95000000001</v>
      </c>
      <c r="P1103" s="107">
        <v>-658.4</v>
      </c>
      <c r="T1103" s="1">
        <f t="shared" si="36"/>
        <v>658.4</v>
      </c>
    </row>
    <row r="1104" spans="1:22" x14ac:dyDescent="0.25">
      <c r="A1104" t="s">
        <v>1249</v>
      </c>
      <c r="B1104" s="107">
        <v>3041.14</v>
      </c>
      <c r="F1104" s="107">
        <v>112091.56000000001</v>
      </c>
      <c r="G1104" s="107">
        <v>-4600.6600000000008</v>
      </c>
      <c r="H1104" s="107">
        <v>-20.46</v>
      </c>
      <c r="I1104" s="107">
        <v>1250.57</v>
      </c>
      <c r="J1104" s="3"/>
      <c r="M1104" s="107">
        <v>56187.19</v>
      </c>
      <c r="O1104" s="3">
        <f t="shared" si="37"/>
        <v>-136350.65</v>
      </c>
      <c r="P1104" s="107">
        <v>-481.55</v>
      </c>
      <c r="R1104" s="107">
        <v>1383.42</v>
      </c>
      <c r="T1104" s="1">
        <f t="shared" ref="T1104:T1167" si="38">S1104-R1104-Q1104-P1104</f>
        <v>-901.87000000000012</v>
      </c>
    </row>
    <row r="1105" spans="1:22" x14ac:dyDescent="0.25">
      <c r="A1105" t="s">
        <v>1250</v>
      </c>
      <c r="B1105" s="107">
        <v>2642.83</v>
      </c>
      <c r="F1105" s="107">
        <v>77896.53</v>
      </c>
      <c r="G1105" s="107">
        <v>-774.21</v>
      </c>
      <c r="J1105" s="3"/>
      <c r="N1105" s="107">
        <v>335340.7</v>
      </c>
      <c r="O1105" s="3">
        <f t="shared" si="37"/>
        <v>251280.6</v>
      </c>
      <c r="P1105" s="107">
        <v>-147.27000000000001</v>
      </c>
      <c r="S1105" s="107">
        <v>96.2</v>
      </c>
      <c r="T1105" s="1">
        <f t="shared" si="38"/>
        <v>243.47000000000003</v>
      </c>
      <c r="U1105" s="107">
        <v>335436.90000000002</v>
      </c>
      <c r="V1105" s="3">
        <f>U1105-P1105-N1105-Q1105-R1105+N1105-I1106-G1106-F1106-D1105-E1105-B1105-M1104-R1104-R1103-Q1104-Q1103-P1103-P1104-K1105-K1104-I1104-G1104-F1104-E1104-E1103-B1104-B1103-M1103-D1103-D1104-M1105-H1104-C1103-H1106-K1106-C1104-L1103-L1104-L1105-F1105-G1105-J1104-H1105</f>
        <v>-6.3664629124104977E-12</v>
      </c>
    </row>
    <row r="1106" spans="1:22" x14ac:dyDescent="0.25">
      <c r="A1106" t="s">
        <v>1251</v>
      </c>
      <c r="B1106" s="103">
        <v>10364.49</v>
      </c>
      <c r="F1106" s="107">
        <v>77995.179999999993</v>
      </c>
      <c r="G1106" s="107">
        <v>-191.98999999999998</v>
      </c>
      <c r="I1106" s="107">
        <v>3614.08</v>
      </c>
      <c r="J1106" s="3"/>
      <c r="N1106" s="103">
        <v>127659.22</v>
      </c>
      <c r="O1106" s="3">
        <f t="shared" si="37"/>
        <v>5.4569682106375694E-12</v>
      </c>
      <c r="P1106" s="103">
        <v>-0.5</v>
      </c>
      <c r="S1106" s="103">
        <v>-0.5</v>
      </c>
      <c r="T1106" s="1">
        <f t="shared" si="38"/>
        <v>0</v>
      </c>
      <c r="U1106" s="103">
        <v>127658.72</v>
      </c>
      <c r="V1106" s="1">
        <f>U1106-P1106-N1106-Q1106-R1106+N1106-I1107-G1107-F1107-D1106-E1106-B1106-K1107-M1106-H1107-C1106-L1106-J1106</f>
        <v>5.4569682106375694E-12</v>
      </c>
    </row>
    <row r="1107" spans="1:22" x14ac:dyDescent="0.25">
      <c r="A1107" t="s">
        <v>1252</v>
      </c>
      <c r="B1107" s="48">
        <v>3754.6099999999997</v>
      </c>
      <c r="F1107" s="103">
        <v>116598.61</v>
      </c>
      <c r="G1107" s="103">
        <v>-498.19</v>
      </c>
      <c r="I1107" s="103">
        <v>1194.3100000000002</v>
      </c>
      <c r="J1107" s="3"/>
      <c r="N1107" s="48">
        <v>116762.41</v>
      </c>
      <c r="O1107" s="3">
        <f t="shared" si="37"/>
        <v>1.546140993013978E-11</v>
      </c>
      <c r="P1107" s="48">
        <v>-12.36</v>
      </c>
      <c r="S1107" s="48">
        <v>-12.36</v>
      </c>
      <c r="T1107" s="1">
        <f t="shared" si="38"/>
        <v>0</v>
      </c>
      <c r="U1107" s="48">
        <v>116750.05</v>
      </c>
      <c r="V1107" s="1">
        <f>U1107-P1107-N1107-Q1107-R1107+N1107-I1108-G1108-F1108-D1107-E1107-B1107-K1108-M1107-H1108-C1107-L1107-J1107</f>
        <v>1.8943069335364271E-11</v>
      </c>
    </row>
    <row r="1108" spans="1:22" x14ac:dyDescent="0.25">
      <c r="A1108" t="s">
        <v>1253</v>
      </c>
      <c r="B1108" s="51">
        <v>5482.08</v>
      </c>
      <c r="F1108" s="48">
        <v>113807.79</v>
      </c>
      <c r="G1108" s="48">
        <v>-968.91000000000008</v>
      </c>
      <c r="H1108" s="48">
        <v>-107.08999999999999</v>
      </c>
      <c r="I1108" s="48">
        <v>276.01000000000005</v>
      </c>
      <c r="J1108" s="3"/>
      <c r="N1108" s="51">
        <v>127945.63</v>
      </c>
      <c r="O1108" s="3">
        <f t="shared" si="37"/>
        <v>1.6370904631912708E-11</v>
      </c>
      <c r="P1108" s="51">
        <v>-72.39</v>
      </c>
      <c r="S1108" s="51">
        <v>-72.39</v>
      </c>
      <c r="T1108" s="1">
        <f t="shared" si="38"/>
        <v>0</v>
      </c>
      <c r="U1108" s="51">
        <v>127873.24</v>
      </c>
      <c r="V1108" s="1">
        <f>U1108-P1108-N1108-Q1108-R1108+N1108-I1109-G1109-F1109-D1108-E1108-B1108-K1109-M1108-H1109-C1108-L1108-J1108</f>
        <v>1.2875034371973015E-11</v>
      </c>
    </row>
    <row r="1109" spans="1:22" x14ac:dyDescent="0.25">
      <c r="A1109" t="s">
        <v>1254</v>
      </c>
      <c r="B1109" s="56">
        <v>7139.87</v>
      </c>
      <c r="F1109" s="51">
        <v>124943.25</v>
      </c>
      <c r="G1109" s="51">
        <v>-2700.85</v>
      </c>
      <c r="H1109" s="51">
        <v>-186.41</v>
      </c>
      <c r="I1109" s="51">
        <v>407.56</v>
      </c>
      <c r="J1109" s="3"/>
      <c r="N1109" s="56">
        <v>111293.21</v>
      </c>
      <c r="O1109" s="3">
        <f t="shared" si="37"/>
        <v>1.0004441719502211E-11</v>
      </c>
      <c r="P1109" s="56">
        <v>-95.59</v>
      </c>
      <c r="S1109" s="56">
        <v>-95.59</v>
      </c>
      <c r="T1109" s="1">
        <f t="shared" si="38"/>
        <v>0</v>
      </c>
      <c r="U1109" s="56">
        <v>111197.62</v>
      </c>
      <c r="V1109" s="1">
        <f>U1109-P1109-N1109-Q1109-R1109+N1109-I1110-G1110-F1110-D1109-E1109-B1109-K1110-M1109-H1110-C1109-L1109-J1109</f>
        <v>1.8474111129762605E-12</v>
      </c>
    </row>
    <row r="1110" spans="1:22" x14ac:dyDescent="0.25">
      <c r="A1110" t="s">
        <v>1255</v>
      </c>
      <c r="B1110" s="5">
        <v>4743.5200000000004</v>
      </c>
      <c r="F1110" s="56">
        <v>109047.56</v>
      </c>
      <c r="G1110" s="56">
        <v>-5243.2999999999993</v>
      </c>
      <c r="H1110" s="56">
        <v>-82.789999999999992</v>
      </c>
      <c r="I1110" s="56">
        <v>431.87</v>
      </c>
      <c r="J1110" s="3"/>
      <c r="O1110" s="3">
        <f t="shared" si="37"/>
        <v>-119033.47</v>
      </c>
      <c r="P1110" s="5">
        <v>-348.86</v>
      </c>
      <c r="T1110" s="1">
        <f t="shared" si="38"/>
        <v>348.86</v>
      </c>
    </row>
    <row r="1111" spans="1:22" x14ac:dyDescent="0.25">
      <c r="A1111" t="s">
        <v>1256</v>
      </c>
      <c r="B1111" s="5">
        <v>4112.9400000000005</v>
      </c>
      <c r="F1111" s="5">
        <v>117033.47</v>
      </c>
      <c r="G1111" s="5">
        <v>-2827.13</v>
      </c>
      <c r="H1111" s="5">
        <v>-61.46</v>
      </c>
      <c r="I1111" s="5">
        <v>145.07</v>
      </c>
      <c r="J1111" s="3"/>
      <c r="M1111" s="5">
        <v>26774.09</v>
      </c>
      <c r="O1111" s="3">
        <f t="shared" si="37"/>
        <v>-97557.72</v>
      </c>
      <c r="P1111" s="5">
        <v>-96.49</v>
      </c>
      <c r="R1111" s="5">
        <v>25737.49</v>
      </c>
      <c r="T1111" s="1">
        <f t="shared" si="38"/>
        <v>-25641</v>
      </c>
    </row>
    <row r="1112" spans="1:22" x14ac:dyDescent="0.25">
      <c r="A1112" t="s">
        <v>1257</v>
      </c>
      <c r="B1112" s="5">
        <v>2107.2800000000002</v>
      </c>
      <c r="E1112" s="5">
        <v>93.7</v>
      </c>
      <c r="F1112" s="5">
        <v>66859.02</v>
      </c>
      <c r="G1112" s="5">
        <v>-188.33</v>
      </c>
      <c r="J1112" s="3"/>
      <c r="N1112" s="5">
        <v>298968.33</v>
      </c>
      <c r="O1112" s="3">
        <f t="shared" si="37"/>
        <v>216591.19000000003</v>
      </c>
      <c r="P1112" s="5">
        <v>-260.61</v>
      </c>
      <c r="S1112" s="5">
        <v>25031.53</v>
      </c>
      <c r="T1112" s="1">
        <f t="shared" si="38"/>
        <v>25292.14</v>
      </c>
      <c r="U1112" s="5">
        <v>323999.86</v>
      </c>
      <c r="V1112" s="3">
        <f>U1112-P1112-N1112-Q1112-R1112+N1112-I1113-G1113-F1113-D1112-E1112-B1112-M1111-R1111-R1110-Q1111-Q1110-P1110-P1111-K1112-K1111-I1111-G1111-F1111-E1111-E1110-B1111-B1110-M1110-D1110-D1111-M1112-H1111-C1110-H1113-K1113-C1111-L1110-L1111-L1112-F1112-G1112-J1111-H1112</f>
        <v>-3.0837554731988348E-11</v>
      </c>
    </row>
    <row r="1113" spans="1:22" x14ac:dyDescent="0.25">
      <c r="A1113" t="s">
        <v>1258</v>
      </c>
      <c r="B1113" s="103">
        <v>6722.9299999999994</v>
      </c>
      <c r="F1113" s="5">
        <v>83394.789999999994</v>
      </c>
      <c r="G1113" s="5">
        <v>-3309.1400000000003</v>
      </c>
      <c r="I1113" s="5">
        <v>90.51</v>
      </c>
      <c r="J1113" s="3"/>
      <c r="N1113" s="103">
        <v>119564.31</v>
      </c>
      <c r="O1113" s="3">
        <f t="shared" si="37"/>
        <v>-2.0918378140777349E-11</v>
      </c>
      <c r="P1113" s="103">
        <v>-210.88</v>
      </c>
      <c r="S1113" s="103">
        <v>-210.88</v>
      </c>
      <c r="T1113" s="1">
        <f t="shared" si="38"/>
        <v>0</v>
      </c>
      <c r="U1113" s="103">
        <v>119353.43</v>
      </c>
      <c r="V1113" s="1">
        <f>U1113-P1113-N1113-Q1113-R1113+N1113-I1114-G1114-F1114-D1113-E1113-B1113-K1114-M1113-H1114-C1113-L1113-J1113</f>
        <v>-1.6257217794191092E-11</v>
      </c>
    </row>
    <row r="1114" spans="1:22" x14ac:dyDescent="0.25">
      <c r="A1114" t="s">
        <v>1259</v>
      </c>
      <c r="B1114" s="57">
        <v>7946.97</v>
      </c>
      <c r="F1114" s="103">
        <v>116126.29000000001</v>
      </c>
      <c r="G1114" s="103">
        <v>-3269.9199999999996</v>
      </c>
      <c r="H1114" s="103">
        <v>-728.37</v>
      </c>
      <c r="I1114" s="103">
        <v>713.38</v>
      </c>
      <c r="J1114" s="3"/>
      <c r="N1114" s="57">
        <v>127103.67</v>
      </c>
      <c r="O1114" s="3">
        <f t="shared" si="37"/>
        <v>-1.3642420526593924E-11</v>
      </c>
      <c r="P1114" s="57">
        <v>-155.16999999999999</v>
      </c>
      <c r="S1114" s="57">
        <v>-155.16999999999999</v>
      </c>
      <c r="T1114" s="1">
        <f t="shared" si="38"/>
        <v>0</v>
      </c>
      <c r="U1114" s="57">
        <v>126948.5</v>
      </c>
      <c r="V1114" s="1">
        <f>U1114-P1114-N1114-Q1114-R1114+N1114-I1115-G1115-F1115-D1114-E1114-B1114-K1115-M1114-H1115-C1114-L1114-J1114</f>
        <v>-1.3642420526593924E-11</v>
      </c>
    </row>
    <row r="1115" spans="1:22" x14ac:dyDescent="0.25">
      <c r="A1115" t="s">
        <v>1260</v>
      </c>
      <c r="B1115" s="115">
        <v>11527.95</v>
      </c>
      <c r="E1115" s="115">
        <v>15.56</v>
      </c>
      <c r="F1115" s="57">
        <v>118907.8</v>
      </c>
      <c r="G1115" s="57">
        <v>-987.43</v>
      </c>
      <c r="H1115" s="57">
        <v>-14</v>
      </c>
      <c r="I1115" s="57">
        <v>1250.33</v>
      </c>
      <c r="J1115" s="3"/>
      <c r="N1115" s="115">
        <v>117716.26</v>
      </c>
      <c r="O1115" s="3">
        <f t="shared" si="37"/>
        <v>-5.4569682106375694E-12</v>
      </c>
      <c r="P1115" s="123">
        <v>-274.64</v>
      </c>
      <c r="S1115" s="123">
        <v>-274.64</v>
      </c>
      <c r="T1115" s="1">
        <f t="shared" si="38"/>
        <v>0</v>
      </c>
      <c r="U1115" s="115">
        <v>117441.62</v>
      </c>
      <c r="V1115" s="1">
        <f>U1115-P1115-N1115-Q1115-R1115+N1115-I1116-G1116-F1116-D1115-E1115-B1115-K1116-M1115-H1116-C1115-L1115-J1115</f>
        <v>-2.5437429940211587E-12</v>
      </c>
    </row>
    <row r="1116" spans="1:22" x14ac:dyDescent="0.25">
      <c r="A1116" t="s">
        <v>1261</v>
      </c>
      <c r="B1116" s="2">
        <v>7134.7300000000005</v>
      </c>
      <c r="F1116" s="115">
        <v>112409.18</v>
      </c>
      <c r="G1116" s="115">
        <v>-6552.12</v>
      </c>
      <c r="H1116" s="115">
        <v>-107.7</v>
      </c>
      <c r="I1116" s="115">
        <v>423.39000000000004</v>
      </c>
      <c r="J1116" s="3"/>
      <c r="N1116" s="2">
        <v>162184.51999999999</v>
      </c>
      <c r="O1116" s="3">
        <f t="shared" si="37"/>
        <v>-1.9099388737231493E-11</v>
      </c>
      <c r="P1116" s="2">
        <v>-218.58</v>
      </c>
      <c r="S1116" s="2">
        <v>-218.58</v>
      </c>
      <c r="T1116" s="1">
        <f t="shared" si="38"/>
        <v>0</v>
      </c>
      <c r="U1116" s="2">
        <v>161965.94</v>
      </c>
      <c r="V1116" s="1">
        <f>U1116-P1116-N1116-Q1116-R1116+N1116-I1117-G1117-F1117-D1116-E1116-B1116-K1117-M1116-H1117-C1116-L1116-J1116</f>
        <v>-1.4438228390645236E-11</v>
      </c>
    </row>
    <row r="1117" spans="1:22" x14ac:dyDescent="0.25">
      <c r="A1117" t="s">
        <v>1262</v>
      </c>
      <c r="B1117" s="37">
        <v>8144.74</v>
      </c>
      <c r="F1117" s="2">
        <v>156444.01999999999</v>
      </c>
      <c r="G1117" s="2">
        <v>-1343.0600000000002</v>
      </c>
      <c r="H1117" s="2">
        <v>-266.62</v>
      </c>
      <c r="I1117" s="2">
        <v>215.45</v>
      </c>
      <c r="J1117" s="3"/>
      <c r="O1117" s="3">
        <f t="shared" si="37"/>
        <v>-130972.15000000001</v>
      </c>
      <c r="P1117" s="37">
        <v>-95.24</v>
      </c>
      <c r="T1117" s="1">
        <f t="shared" si="38"/>
        <v>95.24</v>
      </c>
    </row>
    <row r="1118" spans="1:22" x14ac:dyDescent="0.25">
      <c r="A1118" t="s">
        <v>1263</v>
      </c>
      <c r="B1118" s="37">
        <v>8955.5499999999993</v>
      </c>
      <c r="F1118" s="37">
        <v>123878.96</v>
      </c>
      <c r="G1118" s="37">
        <v>-1693.77</v>
      </c>
      <c r="H1118" s="37">
        <v>-88.009999999999991</v>
      </c>
      <c r="I1118" s="37">
        <v>730.23</v>
      </c>
      <c r="J1118" s="3"/>
      <c r="M1118" s="37">
        <v>36048.99</v>
      </c>
      <c r="O1118" s="3">
        <f t="shared" si="37"/>
        <v>-118739.76000000001</v>
      </c>
      <c r="P1118" s="37">
        <v>-286.66000000000003</v>
      </c>
      <c r="R1118" s="37">
        <v>1086.54</v>
      </c>
      <c r="T1118" s="1">
        <f t="shared" si="38"/>
        <v>-799.87999999999988</v>
      </c>
    </row>
    <row r="1119" spans="1:22" x14ac:dyDescent="0.25">
      <c r="A1119" t="s">
        <v>1264</v>
      </c>
      <c r="B1119" s="37">
        <v>4147.13</v>
      </c>
      <c r="E1119" s="37">
        <v>18.330000000000002</v>
      </c>
      <c r="F1119" s="37">
        <v>74256.25</v>
      </c>
      <c r="G1119" s="37">
        <v>-521.03</v>
      </c>
      <c r="J1119" s="3"/>
      <c r="N1119" s="37">
        <v>321659.01</v>
      </c>
      <c r="O1119" s="3">
        <f t="shared" si="37"/>
        <v>249711.91</v>
      </c>
      <c r="P1119" s="37">
        <v>-95.12</v>
      </c>
      <c r="S1119" s="37">
        <v>609.52</v>
      </c>
      <c r="T1119" s="1">
        <f t="shared" si="38"/>
        <v>704.64</v>
      </c>
      <c r="U1119" s="37">
        <v>322268.53000000003</v>
      </c>
      <c r="V1119" s="3">
        <f>U1119-P1119-N1119-Q1119-R1119+N1119-I1120-G1120-F1120-D1119-E1119-B1119-M1118-R1118-R1117-Q1118-Q1117-P1117-P1118-K1119-K1118-I1118-G1118-F1118-E1118-E1117-B1118-B1117-M1117-D1117-D1118-M1119-H1118-C1117-H1120-K1120-C1118-L1117-L1118-L1119-F1119-G1119-J1118-H1119</f>
        <v>-2.7966962079517543E-11</v>
      </c>
    </row>
    <row r="1120" spans="1:22" x14ac:dyDescent="0.25">
      <c r="A1120" t="s">
        <v>1265</v>
      </c>
      <c r="B1120" s="93">
        <v>6936.0999999999995</v>
      </c>
      <c r="F1120" s="37">
        <v>71564.390000000014</v>
      </c>
      <c r="G1120" s="37">
        <v>-3890.24</v>
      </c>
      <c r="I1120" s="37">
        <v>107.49</v>
      </c>
      <c r="J1120" s="3"/>
      <c r="N1120" s="93">
        <v>132942.59</v>
      </c>
      <c r="O1120" s="3">
        <f t="shared" si="37"/>
        <v>6.3664629124104977E-12</v>
      </c>
      <c r="P1120" s="93">
        <v>-475.85</v>
      </c>
      <c r="S1120" s="93">
        <v>-475.85</v>
      </c>
      <c r="T1120" s="1">
        <f t="shared" si="38"/>
        <v>0</v>
      </c>
      <c r="U1120" s="93">
        <v>132466.74</v>
      </c>
      <c r="V1120" s="1">
        <f>U1120-P1120-N1120-Q1120-R1120+N1120-I1121-G1121-F1121-D1120-E1120-B1120-K1121-M1120-H1121-C1120-L1120-J1120</f>
        <v>1.2164491636212915E-11</v>
      </c>
    </row>
    <row r="1121" spans="1:22" x14ac:dyDescent="0.25">
      <c r="A1121" t="s">
        <v>1266</v>
      </c>
      <c r="B1121" s="57">
        <v>12368.14</v>
      </c>
      <c r="E1121" s="57">
        <v>153.52000000000001</v>
      </c>
      <c r="F1121" s="93">
        <v>128973.03</v>
      </c>
      <c r="G1121" s="93">
        <v>-2115.6600000000003</v>
      </c>
      <c r="H1121" s="93">
        <v>-886.9</v>
      </c>
      <c r="I1121" s="93">
        <v>36.019999999999996</v>
      </c>
      <c r="J1121" s="3"/>
      <c r="N1121" s="57">
        <v>151146.32</v>
      </c>
      <c r="O1121" s="3">
        <f t="shared" si="37"/>
        <v>3.637978807091713E-12</v>
      </c>
      <c r="P1121" s="57">
        <v>-172.36</v>
      </c>
      <c r="S1121" s="57">
        <v>-172.36</v>
      </c>
      <c r="T1121" s="1">
        <f t="shared" si="38"/>
        <v>0</v>
      </c>
      <c r="U1121" s="57">
        <v>150973.96</v>
      </c>
      <c r="V1121" s="1">
        <f>U1121-P1121-N1121-Q1121-R1121+N1121-I1122-G1122-F1122-D1121-E1121-B1121-K1122-M1121-H1122-C1121-L1121-J1121</f>
        <v>-1.6150636383827077E-11</v>
      </c>
    </row>
    <row r="1122" spans="1:22" x14ac:dyDescent="0.25">
      <c r="A1122" t="s">
        <v>1267</v>
      </c>
      <c r="B1122" s="13">
        <v>9388</v>
      </c>
      <c r="F1122" s="57">
        <v>139476.84</v>
      </c>
      <c r="G1122" s="57">
        <v>-1279.96</v>
      </c>
      <c r="H1122" s="57">
        <v>-16.490000000000002</v>
      </c>
      <c r="I1122" s="57">
        <v>444.27</v>
      </c>
      <c r="J1122" s="3"/>
      <c r="N1122" s="13">
        <v>151248.70000000001</v>
      </c>
      <c r="O1122" s="3">
        <f t="shared" si="37"/>
        <v>0</v>
      </c>
      <c r="P1122" s="13">
        <v>-143.04</v>
      </c>
      <c r="S1122" s="13">
        <v>-143.04</v>
      </c>
      <c r="T1122" s="1">
        <f t="shared" si="38"/>
        <v>0</v>
      </c>
      <c r="U1122" s="13">
        <v>151105.66</v>
      </c>
      <c r="V1122" s="1">
        <f>U1122-P1122-N1122-Q1122-R1122+N1122-I1123-G1123-F1123-D1122-E1122-B1122-K1123-M1122-H1123-C1122-L1122-J1122</f>
        <v>1.396927018504357E-11</v>
      </c>
    </row>
    <row r="1123" spans="1:22" x14ac:dyDescent="0.25">
      <c r="A1123" t="s">
        <v>1268</v>
      </c>
      <c r="B1123" s="5">
        <v>15189.7</v>
      </c>
      <c r="F1123" s="13">
        <v>144956.09</v>
      </c>
      <c r="G1123" s="13">
        <v>-3068.8700000000003</v>
      </c>
      <c r="H1123" s="13">
        <v>-97.86</v>
      </c>
      <c r="I1123" s="13">
        <v>71.34</v>
      </c>
      <c r="J1123" s="3"/>
      <c r="N1123" s="5">
        <v>165484.41</v>
      </c>
      <c r="O1123" s="3">
        <f t="shared" si="37"/>
        <v>-1.8189894035458565E-11</v>
      </c>
      <c r="P1123" s="5">
        <v>-36.6</v>
      </c>
      <c r="S1123" s="5">
        <v>-36.6</v>
      </c>
      <c r="T1123" s="1">
        <f t="shared" si="38"/>
        <v>0</v>
      </c>
      <c r="U1123" s="5">
        <v>165447.81</v>
      </c>
      <c r="V1123" s="1">
        <f>U1123-P1123-N1123-Q1123-R1123+N1123-I1124-G1124-F1124-D1123-E1123-B1123-K1124-M1123-H1124-C1123-L1123-J1123</f>
        <v>-4.2206238504149951E-12</v>
      </c>
    </row>
    <row r="1124" spans="1:22" x14ac:dyDescent="0.25">
      <c r="A1124" t="s">
        <v>1269</v>
      </c>
      <c r="B1124" s="33">
        <v>10605.13</v>
      </c>
      <c r="E1124" s="33">
        <v>93.42</v>
      </c>
      <c r="F1124" s="5">
        <v>150665.95000000001</v>
      </c>
      <c r="G1124" s="5">
        <v>-490.09</v>
      </c>
      <c r="H1124" s="5">
        <v>-91.61</v>
      </c>
      <c r="I1124" s="5">
        <v>210.46</v>
      </c>
      <c r="J1124" s="3"/>
      <c r="O1124" s="3">
        <f t="shared" si="37"/>
        <v>-151413.15000000002</v>
      </c>
      <c r="P1124" s="33">
        <v>-309.14</v>
      </c>
      <c r="T1124" s="1">
        <f t="shared" si="38"/>
        <v>309.14</v>
      </c>
    </row>
    <row r="1125" spans="1:22" x14ac:dyDescent="0.25">
      <c r="A1125" t="s">
        <v>1270</v>
      </c>
      <c r="B1125" s="33">
        <v>9027.61</v>
      </c>
      <c r="F1125" s="33">
        <v>144284.21</v>
      </c>
      <c r="G1125" s="33">
        <v>-3377.61</v>
      </c>
      <c r="H1125" s="33">
        <v>-192</v>
      </c>
      <c r="J1125" s="3"/>
      <c r="M1125" s="33">
        <v>55883.95</v>
      </c>
      <c r="O1125" s="3">
        <f t="shared" si="37"/>
        <v>-137933.49</v>
      </c>
      <c r="P1125" s="33">
        <v>-71.34</v>
      </c>
      <c r="R1125" s="33">
        <v>26544.16</v>
      </c>
      <c r="T1125" s="1">
        <f t="shared" si="38"/>
        <v>-26472.82</v>
      </c>
    </row>
    <row r="1126" spans="1:22" x14ac:dyDescent="0.25">
      <c r="A1126" t="s">
        <v>1271</v>
      </c>
      <c r="B1126" s="33">
        <v>6121.52</v>
      </c>
      <c r="F1126" s="33">
        <v>73398.14</v>
      </c>
      <c r="G1126" s="33">
        <v>-341.72</v>
      </c>
      <c r="H1126" s="33">
        <v>-34.489999999999995</v>
      </c>
      <c r="J1126" s="3"/>
      <c r="M1126" s="33">
        <v>739</v>
      </c>
      <c r="N1126" s="33">
        <v>419465.28</v>
      </c>
      <c r="O1126" s="3">
        <f t="shared" si="37"/>
        <v>289346.64000000007</v>
      </c>
      <c r="S1126" s="33">
        <v>26163.68</v>
      </c>
      <c r="T1126" s="1">
        <f t="shared" si="38"/>
        <v>26163.68</v>
      </c>
      <c r="U1126" s="33">
        <v>445628.96</v>
      </c>
      <c r="V1126" s="3">
        <f>U1126-P1126-N1126-Q1126-R1126+N1126-I1127-G1127-F1127-D1126-E1126-B1126-M1125-R1125-R1124-Q1125-Q1124-P1124-P1125-K1126-K1125-I1125-G1125-F1125-E1125-E1124-B1125-B1124-M1124-D1124-D1125-M1126-H1125-C1124-H1127-K1127-C1125-L1124-L1125-L1126-F1126-G1126-J1125-H1126</f>
        <v>5.1826987146341708E-11</v>
      </c>
    </row>
    <row r="1127" spans="1:22" x14ac:dyDescent="0.25">
      <c r="A1127" t="s">
        <v>1272</v>
      </c>
      <c r="B1127" s="35">
        <v>6911.9000000000005</v>
      </c>
      <c r="E1127" s="35">
        <v>93.36</v>
      </c>
      <c r="F1127" s="35">
        <v>124074.86</v>
      </c>
      <c r="G1127" s="35">
        <v>-938.28</v>
      </c>
      <c r="H1127" s="35">
        <v>-66.38</v>
      </c>
      <c r="I1127" s="35">
        <v>187.92</v>
      </c>
      <c r="J1127" s="3"/>
      <c r="N1127" s="35">
        <v>126507.66</v>
      </c>
      <c r="O1127" s="3">
        <f t="shared" si="37"/>
        <v>9.0949470177292824E-12</v>
      </c>
      <c r="P1127" s="35">
        <v>-214.27</v>
      </c>
      <c r="S1127" s="35">
        <v>-214.27</v>
      </c>
      <c r="T1127" s="1">
        <f t="shared" si="38"/>
        <v>0</v>
      </c>
      <c r="U1127" s="35">
        <v>126293.39</v>
      </c>
      <c r="V1127" s="1">
        <f>U1127-P1127-N1127-Q1127-R1127+N1127-I1128-G1128-F1128-D1127-E1127-B1127-K1128-M1127-H1128-C1127-L1127-J1127</f>
        <v>2.7000623958883807E-12</v>
      </c>
    </row>
    <row r="1128" spans="1:22" x14ac:dyDescent="0.25">
      <c r="A1128" t="s">
        <v>1273</v>
      </c>
      <c r="B1128" s="49">
        <v>9238.2900000000009</v>
      </c>
      <c r="F1128" s="49">
        <v>121600.34</v>
      </c>
      <c r="G1128" s="49">
        <v>-2130.39</v>
      </c>
      <c r="H1128" s="49">
        <v>-92.710000000000008</v>
      </c>
      <c r="I1128" s="49">
        <v>125.16</v>
      </c>
      <c r="J1128" s="3"/>
      <c r="N1128" s="49">
        <v>163165.68</v>
      </c>
      <c r="O1128" s="3">
        <f t="shared" si="37"/>
        <v>7.2759576141834259E-12</v>
      </c>
      <c r="P1128" s="49">
        <v>-430.99</v>
      </c>
      <c r="S1128" s="49">
        <v>-430.99</v>
      </c>
      <c r="T1128" s="1">
        <f t="shared" si="38"/>
        <v>0</v>
      </c>
      <c r="U1128" s="49">
        <v>162734.69</v>
      </c>
      <c r="V1128" s="1">
        <f>U1128-P1128-N1128-Q1128-R1128+N1128-I1129-G1129-F1129-D1128-E1128-B1128-K1129-M1128-H1129-C1128-L1128-J1128</f>
        <v>6.1106675275368616E-12</v>
      </c>
    </row>
    <row r="1129" spans="1:22" x14ac:dyDescent="0.25">
      <c r="A1129" t="s">
        <v>1274</v>
      </c>
      <c r="B1129" s="103">
        <v>9270.49</v>
      </c>
      <c r="F1129" s="103">
        <v>155609.32999999999</v>
      </c>
      <c r="G1129" s="103">
        <v>-1520.07</v>
      </c>
      <c r="H1129" s="103">
        <v>-197.47</v>
      </c>
      <c r="I1129" s="103">
        <v>35.6</v>
      </c>
      <c r="J1129" s="3"/>
      <c r="M1129" s="103">
        <v>26351.02</v>
      </c>
      <c r="N1129" s="103">
        <v>171621.99</v>
      </c>
      <c r="O1129" s="3">
        <f t="shared" si="37"/>
        <v>1.0913936421275139E-11</v>
      </c>
      <c r="P1129" s="103">
        <v>-143.43</v>
      </c>
      <c r="R1129" s="103">
        <v>603.5</v>
      </c>
      <c r="S1129" s="103">
        <v>460.07</v>
      </c>
      <c r="T1129" s="1">
        <f t="shared" si="38"/>
        <v>0</v>
      </c>
      <c r="U1129" s="103">
        <v>172082.06</v>
      </c>
      <c r="V1129" s="1">
        <f>U1129-P1129-N1129-Q1129-R1129+N1129-I1130-G1130-F1130-D1129-E1129-B1129-K1130-M1129-H1130-C1129-L1129-J1129</f>
        <v>2.7284841053187847E-12</v>
      </c>
    </row>
    <row r="1130" spans="1:22" x14ac:dyDescent="0.25">
      <c r="A1130" t="s">
        <v>1275</v>
      </c>
      <c r="B1130" s="37">
        <v>10865.57</v>
      </c>
      <c r="E1130" s="37">
        <v>6.55</v>
      </c>
      <c r="F1130" s="1">
        <v>138413.24</v>
      </c>
      <c r="G1130" s="1">
        <v>-1405.46</v>
      </c>
      <c r="H1130" s="1">
        <v>-1244.29</v>
      </c>
      <c r="I1130" s="1">
        <v>236.99</v>
      </c>
      <c r="J1130" s="3"/>
      <c r="N1130" s="37">
        <v>104943.23</v>
      </c>
      <c r="O1130" s="3">
        <f t="shared" si="37"/>
        <v>1.0913936421275139E-11</v>
      </c>
      <c r="P1130" s="37">
        <v>-72</v>
      </c>
      <c r="S1130" s="37">
        <v>-72</v>
      </c>
      <c r="T1130" s="1">
        <f t="shared" si="38"/>
        <v>0</v>
      </c>
      <c r="U1130" s="37">
        <v>104871.23</v>
      </c>
      <c r="V1130" s="1">
        <f t="shared" ref="V1130:V1137" si="39">U1130-P1130-N1130-Q1130-R1130+N1130-I1131-G1131-F1131-D1130-E1130-B1130-K1131-M1130-H1131-C1130-L1130-J1130</f>
        <v>5.6843418860808015E-12</v>
      </c>
    </row>
    <row r="1131" spans="1:22" x14ac:dyDescent="0.25">
      <c r="A1131" t="s">
        <v>1276</v>
      </c>
      <c r="B1131" s="6">
        <v>7156.82</v>
      </c>
      <c r="F1131" s="37">
        <v>97195.09</v>
      </c>
      <c r="G1131" s="37">
        <v>-2410.63</v>
      </c>
      <c r="H1131" s="37">
        <v>-755.99</v>
      </c>
      <c r="I1131" s="37">
        <v>42.64</v>
      </c>
      <c r="J1131" s="3"/>
      <c r="O1131" s="3">
        <f t="shared" si="37"/>
        <v>-106323.85</v>
      </c>
      <c r="P1131" s="6">
        <v>-133.66</v>
      </c>
      <c r="T1131" s="1">
        <f t="shared" si="38"/>
        <v>133.66</v>
      </c>
      <c r="V1131" s="1">
        <f t="shared" si="39"/>
        <v>-106190.19</v>
      </c>
    </row>
    <row r="1132" spans="1:22" x14ac:dyDescent="0.25">
      <c r="A1132" t="s">
        <v>1277</v>
      </c>
      <c r="B1132" s="6">
        <v>11607.08</v>
      </c>
      <c r="F1132" s="6">
        <v>100755.81</v>
      </c>
      <c r="G1132" s="6">
        <v>-1421.38</v>
      </c>
      <c r="H1132" s="6">
        <v>-356.5</v>
      </c>
      <c r="I1132" s="6">
        <v>189.1</v>
      </c>
      <c r="J1132" s="3"/>
      <c r="M1132" s="6">
        <v>33202.1</v>
      </c>
      <c r="O1132" s="3">
        <f t="shared" si="37"/>
        <v>-121048.83000000002</v>
      </c>
      <c r="P1132" s="6">
        <v>-142.83000000000001</v>
      </c>
      <c r="T1132" s="1">
        <f t="shared" si="38"/>
        <v>142.83000000000001</v>
      </c>
      <c r="V1132" s="1">
        <f t="shared" si="39"/>
        <v>-120906</v>
      </c>
    </row>
    <row r="1133" spans="1:22" x14ac:dyDescent="0.25">
      <c r="A1133" t="s">
        <v>1278</v>
      </c>
      <c r="B1133" s="6">
        <v>6307.45</v>
      </c>
      <c r="F1133" s="6">
        <v>76738.430000000008</v>
      </c>
      <c r="G1133" s="6">
        <v>-425.59</v>
      </c>
      <c r="H1133" s="6">
        <v>-73.19</v>
      </c>
      <c r="J1133" s="3"/>
      <c r="M1133" s="6">
        <v>500</v>
      </c>
      <c r="O1133" s="3">
        <f t="shared" si="37"/>
        <v>-78428.12999999999</v>
      </c>
      <c r="P1133" s="6">
        <v>-0.5</v>
      </c>
      <c r="R1133" s="6">
        <v>1063.33</v>
      </c>
      <c r="T1133" s="1">
        <f t="shared" si="38"/>
        <v>-1062.83</v>
      </c>
      <c r="V1133" s="1">
        <f t="shared" si="39"/>
        <v>-79490.959999999992</v>
      </c>
    </row>
    <row r="1134" spans="1:22" x14ac:dyDescent="0.25">
      <c r="A1134" t="s">
        <v>1279</v>
      </c>
      <c r="B1134" s="6">
        <v>5266.0199999999995</v>
      </c>
      <c r="E1134" s="6">
        <v>20.549999999999997</v>
      </c>
      <c r="F1134" s="6">
        <v>74427.37</v>
      </c>
      <c r="G1134" s="6">
        <v>-2827.05</v>
      </c>
      <c r="I1134" s="6">
        <v>20.36</v>
      </c>
      <c r="J1134" s="3"/>
      <c r="M1134" s="6">
        <v>536.30999999999995</v>
      </c>
      <c r="N1134" s="6">
        <v>417296.16</v>
      </c>
      <c r="O1134" s="3">
        <f t="shared" ref="O1134:O1164" si="40">N1134-K1135-I1135-H1135-G1135-F1135-E1134-D1134-C1134-B1134-M1134-L1134-J1134</f>
        <v>305800.81000000006</v>
      </c>
      <c r="P1134" s="6">
        <v>-0.5</v>
      </c>
      <c r="S1134" s="6">
        <v>785.84</v>
      </c>
      <c r="T1134" s="1">
        <f t="shared" si="38"/>
        <v>786.34</v>
      </c>
      <c r="U1134" s="6">
        <v>418082</v>
      </c>
      <c r="V1134" s="1">
        <f t="shared" si="39"/>
        <v>306587.15000000002</v>
      </c>
    </row>
    <row r="1135" spans="1:22" x14ac:dyDescent="0.25">
      <c r="A1135" t="s">
        <v>1280</v>
      </c>
      <c r="B1135" s="56">
        <v>7338.77</v>
      </c>
      <c r="F1135" s="6">
        <v>108192.53</v>
      </c>
      <c r="G1135" s="6">
        <v>-3077.53</v>
      </c>
      <c r="H1135" s="6">
        <v>-888.76</v>
      </c>
      <c r="I1135" s="6">
        <v>1446.23</v>
      </c>
      <c r="J1135" s="3"/>
      <c r="N1135" s="56">
        <v>122597.95</v>
      </c>
      <c r="O1135" s="3">
        <f t="shared" si="40"/>
        <v>-1.0913936421275139E-11</v>
      </c>
      <c r="T1135" s="1">
        <f t="shared" si="38"/>
        <v>0</v>
      </c>
      <c r="U1135" s="56">
        <v>122597.95</v>
      </c>
      <c r="V1135" s="1">
        <f t="shared" si="39"/>
        <v>-9.7202246251981705E-12</v>
      </c>
    </row>
    <row r="1136" spans="1:22" x14ac:dyDescent="0.25">
      <c r="A1136" t="s">
        <v>1281</v>
      </c>
      <c r="B1136" s="112">
        <v>8348.58</v>
      </c>
      <c r="F1136" s="56">
        <v>118023.6</v>
      </c>
      <c r="G1136" s="56">
        <v>-3455.1299999999997</v>
      </c>
      <c r="H1136" s="56">
        <v>-504.53000000000003</v>
      </c>
      <c r="I1136" s="56">
        <v>1195.24</v>
      </c>
      <c r="J1136" s="3"/>
      <c r="N1136" s="112">
        <v>91802.58</v>
      </c>
      <c r="O1136" s="3">
        <f t="shared" si="40"/>
        <v>1.6370904631912708E-11</v>
      </c>
      <c r="P1136" s="112">
        <v>-43.53</v>
      </c>
      <c r="S1136" s="112">
        <v>-43.53</v>
      </c>
      <c r="T1136" s="1">
        <f t="shared" si="38"/>
        <v>0</v>
      </c>
      <c r="U1136" s="112">
        <v>91759.05</v>
      </c>
      <c r="V1136" s="1">
        <f t="shared" si="39"/>
        <v>1.1709744285326451E-11</v>
      </c>
    </row>
    <row r="1137" spans="1:23" x14ac:dyDescent="0.25">
      <c r="A1137" t="s">
        <v>1282</v>
      </c>
      <c r="B1137" s="57">
        <v>12061.19</v>
      </c>
      <c r="F1137" s="112">
        <v>87081.56</v>
      </c>
      <c r="G1137" s="112">
        <v>-4334.24</v>
      </c>
      <c r="H1137" s="112">
        <v>-451.63</v>
      </c>
      <c r="I1137" s="112">
        <v>1158.3100000000002</v>
      </c>
      <c r="J1137" s="3"/>
      <c r="N1137" s="57">
        <v>139381.65</v>
      </c>
      <c r="O1137" s="3">
        <f t="shared" si="40"/>
        <v>-1.2732925824820995E-11</v>
      </c>
      <c r="T1137" s="1">
        <f t="shared" si="38"/>
        <v>0</v>
      </c>
      <c r="U1137" s="57">
        <v>139381.65</v>
      </c>
      <c r="V1137" s="1">
        <f t="shared" si="39"/>
        <v>-1.2732925824820995E-11</v>
      </c>
    </row>
    <row r="1138" spans="1:23" x14ac:dyDescent="0.25">
      <c r="A1138" t="s">
        <v>1283</v>
      </c>
      <c r="B1138" s="9">
        <v>8583.5300000000007</v>
      </c>
      <c r="F1138" s="57">
        <v>130565.22000000002</v>
      </c>
      <c r="G1138" s="57">
        <v>-2698.81</v>
      </c>
      <c r="H1138" s="57">
        <v>-651.25</v>
      </c>
      <c r="I1138" s="57">
        <v>105.30000000000001</v>
      </c>
      <c r="J1138" s="3"/>
      <c r="O1138" s="3">
        <f t="shared" si="40"/>
        <v>-104198.06</v>
      </c>
      <c r="P1138" s="9">
        <v>-35.25</v>
      </c>
      <c r="T1138" s="1">
        <f t="shared" si="38"/>
        <v>35.25</v>
      </c>
    </row>
    <row r="1139" spans="1:23" x14ac:dyDescent="0.25">
      <c r="A1139" t="s">
        <v>1284</v>
      </c>
      <c r="B1139" s="9">
        <v>8366.1200000000008</v>
      </c>
      <c r="F1139" s="9">
        <v>99096.319999999992</v>
      </c>
      <c r="G1139" s="9">
        <v>-2980.7400000000002</v>
      </c>
      <c r="H1139" s="9">
        <v>-678.53000000000009</v>
      </c>
      <c r="I1139" s="9">
        <v>177.48</v>
      </c>
      <c r="J1139" s="3"/>
      <c r="M1139" s="9">
        <v>27916.2</v>
      </c>
      <c r="O1139" s="3">
        <f t="shared" si="40"/>
        <v>-84088.25</v>
      </c>
      <c r="P1139" s="9">
        <v>-222.85</v>
      </c>
      <c r="R1139" s="9">
        <v>906.45</v>
      </c>
      <c r="T1139" s="1">
        <f t="shared" si="38"/>
        <v>-683.6</v>
      </c>
    </row>
    <row r="1140" spans="1:23" x14ac:dyDescent="0.25">
      <c r="A1140" t="s">
        <v>1285</v>
      </c>
      <c r="B1140" s="9">
        <v>8695.64</v>
      </c>
      <c r="F1140" s="9">
        <v>49790.75</v>
      </c>
      <c r="G1140" s="9">
        <v>-1984.82</v>
      </c>
      <c r="J1140" s="3"/>
      <c r="N1140" s="9">
        <v>257214.1</v>
      </c>
      <c r="O1140" s="3">
        <f t="shared" si="40"/>
        <v>188286.31</v>
      </c>
      <c r="P1140" s="9">
        <v>-327.45999999999998</v>
      </c>
      <c r="S1140" s="9">
        <v>320.89</v>
      </c>
      <c r="T1140" s="1">
        <f t="shared" si="38"/>
        <v>648.34999999999991</v>
      </c>
      <c r="U1140" s="9">
        <v>257534.99</v>
      </c>
      <c r="V1140" s="3">
        <f>U1140-P1140-N1140-Q1140-R1140+N1140-I1141-G1141-F1141-D1140-E1140-B1140-M1139-R1139-R1138-Q1139-Q1138-P1138-P1139-K1140-K1139-I1139-G1139-F1139-E1139-E1138-B1139-B1138-M1138-D1138-D1139-M1140-H1139-C1138-H1141-K1141-C1139-L1138-L1139-L1140-F1140-G1140-J1139-H1140</f>
        <v>-5.7980287238024175E-11</v>
      </c>
    </row>
    <row r="1141" spans="1:23" x14ac:dyDescent="0.25">
      <c r="A1141" t="s">
        <v>1286</v>
      </c>
      <c r="B1141" s="5">
        <v>10041.839999999998</v>
      </c>
      <c r="E1141" s="5">
        <v>211.83</v>
      </c>
      <c r="F1141" s="9">
        <v>61636.880000000005</v>
      </c>
      <c r="G1141" s="9">
        <v>-1481.38</v>
      </c>
      <c r="I1141" s="9">
        <v>76.650000000000006</v>
      </c>
      <c r="J1141" s="3"/>
      <c r="N1141" s="5">
        <v>115899.24</v>
      </c>
      <c r="O1141" s="3">
        <f t="shared" si="40"/>
        <v>0</v>
      </c>
      <c r="P1141" s="5">
        <v>-23.39</v>
      </c>
      <c r="S1141" s="5">
        <v>-23.39</v>
      </c>
      <c r="T1141" s="1">
        <f t="shared" si="38"/>
        <v>0</v>
      </c>
      <c r="U1141" s="5">
        <v>115875.85</v>
      </c>
      <c r="V1141" s="1">
        <f>U1141-P1141-N1141-Q1141-R1141+N1141-I1142-G1142-F1142-D1141-E1141-B1141-K1142-M1141-H1142-C1141-L1141-J1141</f>
        <v>-1.7621459846850485E-12</v>
      </c>
    </row>
    <row r="1142" spans="1:23" x14ac:dyDescent="0.25">
      <c r="A1142" t="s">
        <v>1287</v>
      </c>
      <c r="B1142" s="115">
        <v>8135.86</v>
      </c>
      <c r="F1142" s="5">
        <v>107174.74</v>
      </c>
      <c r="G1142" s="5">
        <v>-1371.5</v>
      </c>
      <c r="H1142" s="5">
        <v>-423.83</v>
      </c>
      <c r="I1142" s="5">
        <v>266.16000000000003</v>
      </c>
      <c r="J1142" s="3"/>
      <c r="N1142" s="115">
        <v>108141.34</v>
      </c>
      <c r="O1142" s="3">
        <f t="shared" si="40"/>
        <v>1.546140993013978E-11</v>
      </c>
      <c r="T1142" s="1">
        <f t="shared" si="38"/>
        <v>0</v>
      </c>
      <c r="U1142" s="115">
        <v>108141.34</v>
      </c>
      <c r="V1142" s="1">
        <f>U1142-P1142-N1142-Q1142-R1142+N1142-I1143-G1143-F1143-D1142-E1142-B1142-K1143-M1142-H1143-C1142-L1142-J1142</f>
        <v>9.0381035988684744E-12</v>
      </c>
    </row>
    <row r="1143" spans="1:23" x14ac:dyDescent="0.25">
      <c r="A1143" t="s">
        <v>1288</v>
      </c>
      <c r="B1143" s="37">
        <v>7381.15</v>
      </c>
      <c r="F1143" s="115">
        <v>103308.11</v>
      </c>
      <c r="G1143" s="115">
        <v>-3567.32</v>
      </c>
      <c r="H1143" s="115">
        <v>-466.71</v>
      </c>
      <c r="I1143" s="115">
        <v>731.4</v>
      </c>
      <c r="J1143" s="3"/>
      <c r="N1143" s="37">
        <v>84303.15</v>
      </c>
      <c r="O1143" s="3">
        <f t="shared" si="40"/>
        <v>-2.0008883439004421E-11</v>
      </c>
      <c r="P1143" s="37">
        <v>-186.19</v>
      </c>
      <c r="S1143" s="37">
        <v>-186.19</v>
      </c>
      <c r="T1143" s="1">
        <f t="shared" si="38"/>
        <v>0</v>
      </c>
      <c r="U1143" s="37">
        <v>84116.96</v>
      </c>
      <c r="V1143" s="1">
        <f>U1143-P1143-N1143-Q1143-R1143+N1143-I1144-G1144-F1144-D1143-E1143-B1143-K1144-M1143-H1144-C1143-L1143-J1143</f>
        <v>-4.3200998334214091E-12</v>
      </c>
    </row>
    <row r="1144" spans="1:23" x14ac:dyDescent="0.25">
      <c r="A1144" t="s">
        <v>1289</v>
      </c>
      <c r="B1144" s="90">
        <v>6850.9800000000005</v>
      </c>
      <c r="F1144" s="37">
        <v>80993.05</v>
      </c>
      <c r="G1144" s="37">
        <v>-3399.0899999999997</v>
      </c>
      <c r="H1144" s="37">
        <v>-1062.78</v>
      </c>
      <c r="I1144" s="37">
        <v>390.82</v>
      </c>
      <c r="J1144" s="3"/>
      <c r="N1144" s="90">
        <v>97709.119999999995</v>
      </c>
      <c r="O1144" s="3">
        <f t="shared" si="40"/>
        <v>-1.9099388737231493E-11</v>
      </c>
      <c r="P1144" s="90">
        <v>-152.68</v>
      </c>
      <c r="S1144" s="90">
        <v>-152.68</v>
      </c>
      <c r="T1144" s="1">
        <f t="shared" si="38"/>
        <v>0</v>
      </c>
      <c r="U1144" s="90">
        <v>97556.44</v>
      </c>
      <c r="V1144" s="1">
        <f>U1144-P1144-N1144-Q1144-R1144+N1144-I1145-G1145-F1145-D1144-E1144-B1144-K1145-M1144-H1145-C1144-L1144-J1144</f>
        <v>-1.2278178473934531E-11</v>
      </c>
    </row>
    <row r="1145" spans="1:23" x14ac:dyDescent="0.25">
      <c r="A1145" t="s">
        <v>1290</v>
      </c>
      <c r="B1145" s="49">
        <v>8666.119999999999</v>
      </c>
      <c r="F1145" s="90">
        <v>94757.86</v>
      </c>
      <c r="G1145" s="90">
        <v>-2510.0300000000002</v>
      </c>
      <c r="H1145" s="90">
        <v>-1657.9299999999998</v>
      </c>
      <c r="I1145" s="90">
        <v>268.24</v>
      </c>
      <c r="J1145" s="3"/>
      <c r="O1145" s="3">
        <f t="shared" si="40"/>
        <v>-90585.12</v>
      </c>
      <c r="P1145" s="49">
        <v>-234.9</v>
      </c>
      <c r="T1145" s="1">
        <f t="shared" si="38"/>
        <v>234.9</v>
      </c>
    </row>
    <row r="1146" spans="1:23" x14ac:dyDescent="0.25">
      <c r="A1146" t="s">
        <v>1291</v>
      </c>
      <c r="B1146" s="49">
        <v>12284.35</v>
      </c>
      <c r="F1146" s="49">
        <v>84964.45</v>
      </c>
      <c r="G1146" s="49">
        <v>-2600.3700000000003</v>
      </c>
      <c r="H1146" s="49">
        <v>-478.77000000000004</v>
      </c>
      <c r="I1146" s="49">
        <v>33.69</v>
      </c>
      <c r="J1146" s="3"/>
      <c r="M1146" s="49">
        <v>28052.26</v>
      </c>
      <c r="O1146" s="3">
        <f t="shared" si="40"/>
        <v>-92376.2</v>
      </c>
      <c r="P1146" s="49">
        <v>-466.43</v>
      </c>
      <c r="R1146" s="49">
        <v>1045.49</v>
      </c>
      <c r="T1146" s="1">
        <f t="shared" si="38"/>
        <v>-579.05999999999995</v>
      </c>
    </row>
    <row r="1147" spans="1:23" x14ac:dyDescent="0.25">
      <c r="A1147" t="s">
        <v>1292</v>
      </c>
      <c r="B1147" s="49">
        <v>4299.6799999999994</v>
      </c>
      <c r="F1147" s="49">
        <v>54883.259999999995</v>
      </c>
      <c r="G1147" s="49">
        <v>-2745.27</v>
      </c>
      <c r="H1147" s="49">
        <v>-98.4</v>
      </c>
      <c r="J1147" s="3"/>
      <c r="N1147" s="49">
        <v>292820.32</v>
      </c>
      <c r="O1147" s="3">
        <f t="shared" si="40"/>
        <v>182961.32000000007</v>
      </c>
      <c r="P1147" s="49">
        <v>-117.25</v>
      </c>
      <c r="S1147" s="49">
        <v>226.91</v>
      </c>
      <c r="T1147" s="1">
        <f t="shared" si="38"/>
        <v>344.15999999999997</v>
      </c>
      <c r="U1147" s="49">
        <v>293047.23</v>
      </c>
      <c r="V1147" s="3">
        <f>U1147-P1147-N1147-Q1147-R1147+N1147-I1148-G1148-F1148-D1147-E1147-B1147-M1146-R1146-R1145-Q1146-Q1145-P1145-P1146-K1147-K1146-I1146-G1146-F1146-E1146-E1145-B1146-B1145-M1145-D1145-D1146-M1147-H1146-C1145-H1148-K1148-C1146-L1145-L1146-L1147-F1147-G1147-J1146-H1147</f>
        <v>1.7337242752546445E-12</v>
      </c>
    </row>
    <row r="1148" spans="1:23" x14ac:dyDescent="0.25">
      <c r="A1148" t="s">
        <v>1293</v>
      </c>
      <c r="B1148" s="4">
        <v>5189.0600000000004</v>
      </c>
      <c r="E1148" s="4">
        <v>289.45</v>
      </c>
      <c r="F1148" s="49">
        <v>107661.32</v>
      </c>
      <c r="G1148" s="49">
        <v>-2109.5699999999997</v>
      </c>
      <c r="H1148" s="49">
        <v>-98.4</v>
      </c>
      <c r="I1148" s="49">
        <v>105.97</v>
      </c>
      <c r="J1148" s="3"/>
      <c r="N1148" s="4">
        <v>114050.29</v>
      </c>
      <c r="O1148" s="3">
        <f t="shared" si="40"/>
        <v>-5.4569682106375694E-12</v>
      </c>
      <c r="P1148" s="4">
        <v>-398.35</v>
      </c>
      <c r="S1148" s="4">
        <v>-398.35</v>
      </c>
      <c r="T1148" s="1">
        <f t="shared" si="38"/>
        <v>0</v>
      </c>
      <c r="U1148" s="4">
        <v>113651.94</v>
      </c>
      <c r="V1148" s="1">
        <f>U1148-P1148-N1148-Q1148-R1148+N1148-I1149-G1149-F1149-D1148-E1148-B1148-K1149-M1148-H1149-C1148-L1148-J1148</f>
        <v>1.1482370609883219E-11</v>
      </c>
    </row>
    <row r="1149" spans="1:23" x14ac:dyDescent="0.25">
      <c r="A1149" t="s">
        <v>1294</v>
      </c>
      <c r="B1149" s="57">
        <v>12095.26</v>
      </c>
      <c r="C1149" s="3"/>
      <c r="D1149" s="3"/>
      <c r="E1149" s="3"/>
      <c r="F1149" s="4">
        <v>111645</v>
      </c>
      <c r="G1149" s="4">
        <v>-2848.33</v>
      </c>
      <c r="H1149" s="4">
        <v>-532.06000000000006</v>
      </c>
      <c r="I1149" s="4">
        <v>307.16999999999996</v>
      </c>
      <c r="J1149" s="3"/>
      <c r="K1149" s="3"/>
      <c r="L1149" s="3"/>
      <c r="M1149" s="3"/>
      <c r="N1149" s="57">
        <v>133203.51999999999</v>
      </c>
      <c r="O1149" s="3">
        <f t="shared" si="40"/>
        <v>9.0949470177292824E-12</v>
      </c>
      <c r="P1149" s="57">
        <v>-40.67</v>
      </c>
      <c r="Q1149" s="3"/>
      <c r="R1149" s="3"/>
      <c r="S1149" s="57">
        <v>-40.67</v>
      </c>
      <c r="T1149" s="1">
        <f t="shared" si="38"/>
        <v>0</v>
      </c>
      <c r="U1149" s="57">
        <v>133162.85</v>
      </c>
      <c r="V1149" s="1">
        <f>U1149-P1149-N1149-Q1149-R1149+N1149-I1150-G1150-F1150-D1149-E1149-B1149-K1150-M1149-H1150-C1149-L1149-J1149</f>
        <v>3.5925040720030665E-11</v>
      </c>
      <c r="W1149" s="3"/>
    </row>
    <row r="1150" spans="1:23" x14ac:dyDescent="0.25">
      <c r="A1150" t="s">
        <v>1295</v>
      </c>
      <c r="B1150" s="72">
        <v>7593.74</v>
      </c>
      <c r="C1150" s="3"/>
      <c r="D1150" s="3"/>
      <c r="E1150" s="57">
        <v>7.6400000000000006</v>
      </c>
      <c r="F1150" s="57">
        <v>129614.04999999999</v>
      </c>
      <c r="G1150" s="57">
        <v>-7974.32</v>
      </c>
      <c r="H1150" s="57">
        <v>-722.94</v>
      </c>
      <c r="I1150" s="57">
        <v>191.47</v>
      </c>
      <c r="J1150" s="3"/>
      <c r="K1150" s="3"/>
      <c r="L1150" s="3"/>
      <c r="M1150" s="3"/>
      <c r="N1150" s="72">
        <v>137924.43</v>
      </c>
      <c r="O1150" s="3">
        <f t="shared" si="40"/>
        <v>-2.4556356947869062E-11</v>
      </c>
      <c r="P1150" s="72">
        <v>-117</v>
      </c>
      <c r="Q1150" s="3"/>
      <c r="R1150" s="3"/>
      <c r="S1150" s="72">
        <v>-117</v>
      </c>
      <c r="T1150" s="1">
        <f t="shared" si="38"/>
        <v>0</v>
      </c>
      <c r="U1150" s="72">
        <v>137807.43</v>
      </c>
      <c r="V1150" s="1">
        <f>U1150-P1150-N1150-Q1150-R1150+N1150-I1151-G1151-F1151-D1150-E1150-B1150-K1151-M1150-H1151-C1150-L1150-J1150</f>
        <v>-3.1548097467748448E-11</v>
      </c>
      <c r="W1150" s="3"/>
    </row>
    <row r="1151" spans="1:23" x14ac:dyDescent="0.25">
      <c r="A1151" t="s">
        <v>1296</v>
      </c>
      <c r="B1151" s="2">
        <v>9574.24</v>
      </c>
      <c r="E1151" s="2">
        <v>24.87</v>
      </c>
      <c r="F1151" s="72">
        <v>134860.52000000002</v>
      </c>
      <c r="G1151" s="72">
        <v>-4140.54</v>
      </c>
      <c r="H1151" s="72">
        <v>-419.32</v>
      </c>
      <c r="I1151" s="72">
        <v>22.389999999999997</v>
      </c>
      <c r="J1151" s="3"/>
      <c r="N1151" s="2">
        <v>214904.7</v>
      </c>
      <c r="O1151" s="3">
        <f t="shared" si="40"/>
        <v>1.4551915228366852E-11</v>
      </c>
      <c r="P1151" s="2">
        <v>-281.8</v>
      </c>
      <c r="S1151" s="2">
        <v>-281.8</v>
      </c>
      <c r="T1151" s="1">
        <f t="shared" si="38"/>
        <v>0</v>
      </c>
      <c r="U1151" s="2">
        <v>214622.9</v>
      </c>
      <c r="V1151" s="1">
        <f>U1151-P1151-N1151-Q1151-R1151+N1151-I1152-G1152-F1152-D1151-E1151-B1151-K1152-M1151-H1152-C1151-L1151-J1151</f>
        <v>-3.8994585338514298E-11</v>
      </c>
    </row>
    <row r="1152" spans="1:23" x14ac:dyDescent="0.25">
      <c r="A1152" t="s">
        <v>1297</v>
      </c>
      <c r="B1152" s="5">
        <v>12086.210000000001</v>
      </c>
      <c r="F1152" s="2">
        <v>212842.78</v>
      </c>
      <c r="G1152" s="2">
        <v>-7478.6100000000006</v>
      </c>
      <c r="H1152" s="2">
        <v>-214.37</v>
      </c>
      <c r="I1152" s="2">
        <v>155.79</v>
      </c>
      <c r="J1152" s="3"/>
      <c r="O1152" s="3">
        <f t="shared" si="40"/>
        <v>-179673.45</v>
      </c>
      <c r="P1152" s="5">
        <v>-129.30000000000001</v>
      </c>
      <c r="T1152" s="1">
        <f t="shared" si="38"/>
        <v>129.30000000000001</v>
      </c>
    </row>
    <row r="1153" spans="1:22" x14ac:dyDescent="0.25">
      <c r="A1153" t="s">
        <v>1298</v>
      </c>
      <c r="B1153" s="5">
        <v>8048.72</v>
      </c>
      <c r="E1153" s="5">
        <v>92.039999999999992</v>
      </c>
      <c r="F1153" s="5">
        <v>174892.62000000002</v>
      </c>
      <c r="G1153" s="5">
        <v>-6080.26</v>
      </c>
      <c r="H1153" s="5">
        <v>-1339.79</v>
      </c>
      <c r="I1153" s="5">
        <v>114.67</v>
      </c>
      <c r="J1153" s="3"/>
      <c r="L1153" s="5">
        <v>-0.04</v>
      </c>
      <c r="M1153" s="5">
        <v>51582.28</v>
      </c>
      <c r="O1153" s="3">
        <f t="shared" si="40"/>
        <v>-192490.88999999998</v>
      </c>
      <c r="P1153" s="5">
        <v>-104.39</v>
      </c>
      <c r="R1153" s="5">
        <v>26407.42</v>
      </c>
      <c r="T1153" s="1">
        <f t="shared" si="38"/>
        <v>-26303.03</v>
      </c>
    </row>
    <row r="1154" spans="1:22" x14ac:dyDescent="0.25">
      <c r="A1154" t="s">
        <v>1299</v>
      </c>
      <c r="B1154" s="5">
        <v>7488.7</v>
      </c>
      <c r="F1154" s="5">
        <v>134169.56</v>
      </c>
      <c r="G1154" s="5">
        <v>-846.56999999999994</v>
      </c>
      <c r="H1154" s="5">
        <v>-555.1</v>
      </c>
      <c r="I1154" s="1">
        <v>0</v>
      </c>
      <c r="J1154" s="3"/>
      <c r="N1154" s="5">
        <v>568655.81999999995</v>
      </c>
      <c r="O1154" s="3">
        <f t="shared" si="40"/>
        <v>372164.33999999991</v>
      </c>
      <c r="S1154" s="5">
        <v>26173.73</v>
      </c>
      <c r="T1154" s="1">
        <f t="shared" si="38"/>
        <v>26173.73</v>
      </c>
      <c r="U1154" s="5">
        <v>594829.55000000005</v>
      </c>
      <c r="V1154" s="3">
        <f>U1154-P1154-N1154-Q1154-R1154+N1154-I1155-G1155-F1155-D1154-E1154-B1154-M1153-R1153-R1152-Q1153-Q1152-P1152-P1153-K1154-K1153-I1153-G1153-F1153-E1153-E1152-B1153-B1152-M1152-D1152-D1153-M1154-H1153-C1152-H1155-K1155-C1153-L1152-L1153-L1154-F1154-G1154-J1153-H1154</f>
        <v>7.4464878707658499E-11</v>
      </c>
    </row>
    <row r="1155" spans="1:22" x14ac:dyDescent="0.25">
      <c r="A1155" t="s">
        <v>1300</v>
      </c>
      <c r="B1155" s="107">
        <v>11367.14</v>
      </c>
      <c r="F1155" s="5">
        <v>200916.52</v>
      </c>
      <c r="G1155" s="5">
        <v>-12147.72</v>
      </c>
      <c r="I1155" s="5">
        <v>233.98000000000002</v>
      </c>
      <c r="J1155" s="3"/>
      <c r="M1155" s="124">
        <v>2000</v>
      </c>
      <c r="N1155" s="107">
        <v>248238.28</v>
      </c>
      <c r="O1155" s="3">
        <f t="shared" si="40"/>
        <v>1.4551915228366852E-11</v>
      </c>
      <c r="P1155" s="107">
        <v>-269.75</v>
      </c>
      <c r="S1155" s="107">
        <v>-269.75</v>
      </c>
      <c r="T1155" s="1">
        <f t="shared" si="38"/>
        <v>0</v>
      </c>
      <c r="U1155" s="107">
        <v>247968.53</v>
      </c>
      <c r="V1155" s="1">
        <f>U1155-P1155-N1155-Q1155-R1155+N1155-I1156-G1156-F1156-D1155-E1155-B1155-K1156-M1155-H1156-C1155-L1155-J1155</f>
        <v>1.3415046851150692E-11</v>
      </c>
    </row>
    <row r="1156" spans="1:22" x14ac:dyDescent="0.25">
      <c r="A1156" t="s">
        <v>1301</v>
      </c>
      <c r="B1156" s="34">
        <v>17666.37</v>
      </c>
      <c r="F1156" s="107">
        <v>241446.36</v>
      </c>
      <c r="G1156" s="107">
        <v>-6203.22</v>
      </c>
      <c r="H1156" s="107">
        <v>-382.22</v>
      </c>
      <c r="I1156" s="107">
        <v>10.220000000000001</v>
      </c>
      <c r="J1156" s="3"/>
      <c r="N1156" s="34">
        <v>168415.94</v>
      </c>
      <c r="O1156" s="3">
        <f t="shared" si="40"/>
        <v>-3.637978807091713E-12</v>
      </c>
      <c r="P1156" s="34">
        <v>-175.52</v>
      </c>
      <c r="S1156" s="34">
        <v>-175.52</v>
      </c>
      <c r="T1156" s="1">
        <f t="shared" si="38"/>
        <v>0</v>
      </c>
      <c r="U1156" s="34">
        <v>168240.42</v>
      </c>
      <c r="V1156" s="1">
        <f>U1156-P1156-N1156-Q1156-R1156+N1156-I1157-G1157-F1157-D1156-E1156-B1156-K1157-M1156-H1157-C1156-L1156-J1156</f>
        <v>0</v>
      </c>
    </row>
    <row r="1157" spans="1:22" x14ac:dyDescent="0.25">
      <c r="A1157" t="s">
        <v>1302</v>
      </c>
      <c r="B1157" s="56">
        <v>10815.33</v>
      </c>
      <c r="C1157" s="56">
        <v>-762.66</v>
      </c>
      <c r="E1157" s="56">
        <v>88.44</v>
      </c>
      <c r="F1157" s="34">
        <v>161614.47</v>
      </c>
      <c r="G1157" s="34">
        <v>-10529.76</v>
      </c>
      <c r="H1157" s="34">
        <v>-1075.8400000000001</v>
      </c>
      <c r="I1157" s="34">
        <v>740.69999999999993</v>
      </c>
      <c r="J1157" s="3"/>
      <c r="N1157" s="56">
        <v>244366.7</v>
      </c>
      <c r="O1157" s="3">
        <f t="shared" si="40"/>
        <v>1.4551915228366852E-11</v>
      </c>
      <c r="P1157" s="56">
        <v>-161.65</v>
      </c>
      <c r="S1157" s="56">
        <v>-161.65</v>
      </c>
      <c r="T1157" s="1">
        <f t="shared" si="38"/>
        <v>0</v>
      </c>
      <c r="U1157" s="56">
        <v>244205.05</v>
      </c>
      <c r="V1157" s="1">
        <f>U1157-P1157-N1157-Q1157-R1157+N1157-I1158-G1158-F1158-D1157-E1157-B1157-K1158-M1157-H1158-C1157-L1157-J1157</f>
        <v>-7.617018127348274E-12</v>
      </c>
    </row>
    <row r="1158" spans="1:22" x14ac:dyDescent="0.25">
      <c r="A1158" t="s">
        <v>1303</v>
      </c>
      <c r="B1158" s="110">
        <v>17716.98</v>
      </c>
      <c r="F1158" s="56">
        <v>242222.48</v>
      </c>
      <c r="G1158" s="56">
        <v>-6163.04</v>
      </c>
      <c r="H1158" s="56">
        <v>-1932.15</v>
      </c>
      <c r="I1158" s="56">
        <v>98.300000000000011</v>
      </c>
      <c r="J1158" s="3"/>
      <c r="N1158" s="110">
        <v>184749.12</v>
      </c>
      <c r="O1158" s="3">
        <f t="shared" si="40"/>
        <v>1.0913936421275139E-11</v>
      </c>
      <c r="P1158" s="110">
        <v>-93.04</v>
      </c>
      <c r="S1158" s="110">
        <v>-93.04</v>
      </c>
      <c r="T1158" s="1">
        <f t="shared" si="38"/>
        <v>0</v>
      </c>
      <c r="U1158" s="110">
        <v>184656.08</v>
      </c>
      <c r="V1158" s="1">
        <f>U1158-P1158-N1158-Q1158-R1158+N1158-I1159-G1159-F1159-D1158-E1158-B1158-K1159-M1158-H1159-C1158-L1158-J1158</f>
        <v>-6.8212102632969618E-13</v>
      </c>
    </row>
    <row r="1159" spans="1:22" x14ac:dyDescent="0.25">
      <c r="A1159" t="s">
        <v>1304</v>
      </c>
      <c r="B1159" s="6">
        <v>16915.22</v>
      </c>
      <c r="F1159" s="110">
        <v>180742.63999999998</v>
      </c>
      <c r="G1159" s="110">
        <v>-13064.81</v>
      </c>
      <c r="H1159" s="110">
        <v>-665.95</v>
      </c>
      <c r="I1159" s="110">
        <v>20.260000000000002</v>
      </c>
      <c r="J1159" s="3"/>
      <c r="M1159" s="6">
        <v>18819.61</v>
      </c>
      <c r="O1159" s="3">
        <f t="shared" si="40"/>
        <v>-166489.25</v>
      </c>
      <c r="P1159" s="6">
        <v>-93.32</v>
      </c>
      <c r="R1159" s="6">
        <v>558</v>
      </c>
      <c r="T1159" s="1">
        <f t="shared" si="38"/>
        <v>-464.68</v>
      </c>
    </row>
    <row r="1160" spans="1:22" x14ac:dyDescent="0.25">
      <c r="A1160" t="s">
        <v>1305</v>
      </c>
      <c r="B1160" s="6">
        <v>13168.16</v>
      </c>
      <c r="F1160" s="6">
        <v>133825.85</v>
      </c>
      <c r="G1160" s="6">
        <v>-3496.0299999999997</v>
      </c>
      <c r="H1160" s="6">
        <v>97.04</v>
      </c>
      <c r="I1160" s="6">
        <v>327.56</v>
      </c>
      <c r="J1160" s="3"/>
      <c r="M1160" s="6">
        <v>45192.89</v>
      </c>
      <c r="O1160" s="3">
        <f t="shared" si="40"/>
        <v>-134060.29999999999</v>
      </c>
      <c r="P1160" s="6">
        <v>-566.12</v>
      </c>
      <c r="R1160" s="6">
        <v>1148.53</v>
      </c>
      <c r="T1160" s="1">
        <f t="shared" si="38"/>
        <v>-582.41</v>
      </c>
    </row>
    <row r="1161" spans="1:22" x14ac:dyDescent="0.25">
      <c r="A1161" t="s">
        <v>1306</v>
      </c>
      <c r="B1161" s="6">
        <v>2345.8100000000004</v>
      </c>
      <c r="F1161" s="6">
        <v>76772.45</v>
      </c>
      <c r="G1161" s="6">
        <v>-1073.2</v>
      </c>
      <c r="J1161" s="3"/>
      <c r="N1161" s="6">
        <v>356988.85</v>
      </c>
      <c r="O1161" s="3">
        <f t="shared" si="40"/>
        <v>300549.55</v>
      </c>
      <c r="P1161" s="6">
        <v>-139.68</v>
      </c>
      <c r="S1161" s="6">
        <v>-907.41</v>
      </c>
      <c r="T1161" s="1">
        <f t="shared" si="38"/>
        <v>-767.73</v>
      </c>
      <c r="U1161" s="6">
        <v>357896.26</v>
      </c>
      <c r="V1161" s="3">
        <f>U1161-P1161-N1161-Q1161-R1161+N1161-I1162-G1162-F1162-D1161-E1161-B1161-M1160-R1160-R1159-Q1160-Q1159-P1159-P1160-K1161-K1160-I1160-G1160-F1160-E1160-E1159-B1160-B1159-M1159-D1159-D1160-M1161-H1160-C1159-H1162-K1162-C1160-L1159-L1160-L1161-F1161-G1161-J1160-H1161</f>
        <v>2.9558577807620168E-12</v>
      </c>
    </row>
    <row r="1162" spans="1:22" x14ac:dyDescent="0.25">
      <c r="A1162" t="s">
        <v>1307</v>
      </c>
      <c r="B1162" s="111">
        <v>13298.07</v>
      </c>
      <c r="F1162" s="6">
        <v>57649.57</v>
      </c>
      <c r="G1162" s="6">
        <v>-3680.49</v>
      </c>
      <c r="I1162" s="6">
        <v>124.41</v>
      </c>
      <c r="J1162" s="3"/>
      <c r="N1162" s="111">
        <v>89911.06</v>
      </c>
      <c r="O1162" s="3">
        <f t="shared" si="40"/>
        <v>7.2759576141834259E-12</v>
      </c>
      <c r="P1162" s="111">
        <v>-491.38</v>
      </c>
      <c r="S1162" s="111">
        <v>-491.38</v>
      </c>
      <c r="T1162" s="1">
        <f t="shared" si="38"/>
        <v>0</v>
      </c>
      <c r="U1162" s="111">
        <v>89419.68</v>
      </c>
      <c r="V1162" s="1">
        <f>U1162-P1162-N1162-Q1162-R1162+N1162-I1163-G1163-F1163-D1162-E1162-B1162-K1163-M1162-H1163-C1162-L1162-J1162</f>
        <v>2.0321522242738865E-12</v>
      </c>
    </row>
    <row r="1163" spans="1:22" x14ac:dyDescent="0.25">
      <c r="A1163" t="s">
        <v>1308</v>
      </c>
      <c r="B1163" s="13">
        <v>6845.79</v>
      </c>
      <c r="F1163" s="111">
        <v>79933.099999999991</v>
      </c>
      <c r="G1163" s="111">
        <v>-3424.2200000000003</v>
      </c>
      <c r="H1163" s="111">
        <v>-70.739999999999995</v>
      </c>
      <c r="I1163" s="111">
        <v>174.85</v>
      </c>
      <c r="N1163" s="13">
        <v>80832.800000000003</v>
      </c>
      <c r="O1163" s="3">
        <f t="shared" si="40"/>
        <v>-6.3664629124104977E-12</v>
      </c>
      <c r="P1163" s="13">
        <v>-116.65</v>
      </c>
      <c r="S1163" s="13">
        <v>-116.65</v>
      </c>
      <c r="T1163" s="1">
        <f t="shared" si="38"/>
        <v>0</v>
      </c>
      <c r="U1163" s="13">
        <v>80716.149999999994</v>
      </c>
      <c r="V1163" s="1">
        <f>U1163-P1163-N1163-Q1163-R1163+N1163-I1164-G1164-F1164-D1163-E1163-B1163-K1164-M1163-H1164-C1163-L1163-J1163</f>
        <v>-2.5920599000528455E-11</v>
      </c>
    </row>
    <row r="1164" spans="1:22" x14ac:dyDescent="0.25">
      <c r="A1164" t="s">
        <v>1309</v>
      </c>
      <c r="B1164" s="112">
        <v>10843.26</v>
      </c>
      <c r="F1164" s="13">
        <v>84570.260000000009</v>
      </c>
      <c r="G1164" s="13">
        <v>-6884.2</v>
      </c>
      <c r="H1164" s="13">
        <v>-3999.9900000000002</v>
      </c>
      <c r="I1164" s="13">
        <v>300.94</v>
      </c>
      <c r="J1164" s="3"/>
      <c r="N1164" s="112">
        <v>102363.96</v>
      </c>
      <c r="O1164" s="3">
        <f t="shared" si="40"/>
        <v>9.0949470177292824E-12</v>
      </c>
      <c r="P1164" s="112">
        <v>-422.93</v>
      </c>
      <c r="Q1164" s="112">
        <f>-16.29-21.92</f>
        <v>-38.21</v>
      </c>
      <c r="S1164" s="112">
        <v>-461.14</v>
      </c>
      <c r="T1164" s="1">
        <f t="shared" si="38"/>
        <v>0</v>
      </c>
      <c r="U1164" s="112">
        <v>101902.82</v>
      </c>
      <c r="V1164" s="1">
        <f>U1164-P1164-N1164-Q1164-R1164+N1164-I1165-G1165-F1165-D1164-E1164-B1164-K1165-M1164-H1165-C1164-L1164-J1164</f>
        <v>1.546140993013978E-11</v>
      </c>
    </row>
    <row r="1165" spans="1:22" x14ac:dyDescent="0.25">
      <c r="A1165" t="s">
        <v>1310</v>
      </c>
      <c r="B1165" s="125">
        <v>10626.25</v>
      </c>
      <c r="F1165" s="112">
        <v>96392.8</v>
      </c>
      <c r="G1165" s="112">
        <v>-4415.1000000000004</v>
      </c>
      <c r="H1165" s="112">
        <v>-778.29</v>
      </c>
      <c r="I1165" s="112">
        <v>321.29000000000002</v>
      </c>
      <c r="J1165" s="3"/>
      <c r="N1165" s="125">
        <v>120396.08</v>
      </c>
      <c r="O1165" s="3">
        <f>N1165-K1166-I1166-H1166-G1166-F1166-E1165-D1165-C1165-B1165-M1165-L1165-J1165</f>
        <v>0</v>
      </c>
      <c r="P1165" s="125">
        <v>-163.92</v>
      </c>
      <c r="S1165" s="125">
        <v>-163.92</v>
      </c>
      <c r="T1165" s="1">
        <f t="shared" si="38"/>
        <v>0</v>
      </c>
      <c r="U1165" s="125">
        <v>120232.16</v>
      </c>
      <c r="V1165" s="1">
        <f>U1165-P1165-N1165-Q1165-R1165+N1165-I1166-G1166-F1166-D1165-E1165-B1165-K1166-M1165-H1166-C1165-L1165-J1165</f>
        <v>2.3874235921539366E-12</v>
      </c>
    </row>
    <row r="1166" spans="1:22" x14ac:dyDescent="0.25">
      <c r="A1166" t="s">
        <v>1311</v>
      </c>
      <c r="B1166" s="9">
        <v>12142.41</v>
      </c>
      <c r="F1166" s="125">
        <v>111087</v>
      </c>
      <c r="G1166" s="125">
        <v>-1053.28</v>
      </c>
      <c r="H1166" s="125">
        <v>-814.06000000000006</v>
      </c>
      <c r="I1166" s="125">
        <v>550.17000000000007</v>
      </c>
      <c r="J1166" s="3"/>
      <c r="O1166" s="3">
        <f t="shared" ref="O1166:O1171" si="41">N1166-K1167-I1167-H1167-G1167-F1167-E1166-D1166-C1166-B1166-M1166-L1166-J1166</f>
        <v>-77055.12</v>
      </c>
      <c r="P1166" s="9">
        <v>-555.97</v>
      </c>
      <c r="T1166" s="1">
        <f t="shared" si="38"/>
        <v>555.97</v>
      </c>
    </row>
    <row r="1167" spans="1:22" x14ac:dyDescent="0.25">
      <c r="A1167" t="s">
        <v>1312</v>
      </c>
      <c r="B1167" s="9">
        <v>3867.03</v>
      </c>
      <c r="F1167" s="9">
        <v>70528.95</v>
      </c>
      <c r="G1167" s="9">
        <v>-4445.26</v>
      </c>
      <c r="H1167" s="9">
        <v>-1346.02</v>
      </c>
      <c r="I1167" s="9">
        <v>175.04</v>
      </c>
      <c r="J1167" s="3"/>
      <c r="M1167" s="9">
        <v>30002.76</v>
      </c>
      <c r="O1167" s="3">
        <f t="shared" si="41"/>
        <v>-85765.069999999992</v>
      </c>
      <c r="P1167" s="9">
        <v>-651.61</v>
      </c>
      <c r="R1167" s="9">
        <v>1184.07</v>
      </c>
      <c r="T1167" s="1">
        <f t="shared" si="38"/>
        <v>-532.45999999999992</v>
      </c>
    </row>
    <row r="1168" spans="1:22" x14ac:dyDescent="0.25">
      <c r="A1168" t="s">
        <v>1313</v>
      </c>
      <c r="B1168" s="9">
        <v>5177.16</v>
      </c>
      <c r="F1168" s="9">
        <v>52495.74</v>
      </c>
      <c r="G1168" s="9">
        <v>-600.46</v>
      </c>
      <c r="J1168" s="3"/>
      <c r="O1168" s="3">
        <f t="shared" si="41"/>
        <v>-48344.740000000005</v>
      </c>
      <c r="P1168" s="9">
        <v>-70.67</v>
      </c>
      <c r="T1168" s="1">
        <f>S1168-R1168-Q1168-P1168</f>
        <v>70.67</v>
      </c>
    </row>
    <row r="1169" spans="1:22" x14ac:dyDescent="0.25">
      <c r="A1169" t="s">
        <v>1314</v>
      </c>
      <c r="B1169" s="9">
        <v>7344.2699999999995</v>
      </c>
      <c r="F1169" s="9">
        <v>44136.93</v>
      </c>
      <c r="G1169" s="9">
        <v>-1217.9499999999998</v>
      </c>
      <c r="H1169" s="9">
        <v>-139.51</v>
      </c>
      <c r="I1169" s="9">
        <v>388.11</v>
      </c>
      <c r="J1169" s="3"/>
      <c r="N1169" s="9">
        <v>278015.64</v>
      </c>
      <c r="O1169" s="3">
        <f t="shared" si="41"/>
        <v>211164.93</v>
      </c>
      <c r="P1169" s="9">
        <v>-136.22</v>
      </c>
      <c r="S1169" s="9">
        <v>-230.4</v>
      </c>
      <c r="T1169" s="1">
        <f>S1169-R1169-Q1169-P1169</f>
        <v>-94.18</v>
      </c>
      <c r="U1169" s="9">
        <v>277785.24</v>
      </c>
    </row>
    <row r="1170" spans="1:22" x14ac:dyDescent="0.25">
      <c r="A1170" t="s">
        <v>1315</v>
      </c>
      <c r="B1170" s="57">
        <v>9512.9399999999987</v>
      </c>
      <c r="F1170" s="9">
        <v>61339.409999999996</v>
      </c>
      <c r="G1170" s="9">
        <v>-1987.23</v>
      </c>
      <c r="H1170" s="9">
        <v>-88.55</v>
      </c>
      <c r="I1170" s="9">
        <v>242.81</v>
      </c>
      <c r="J1170" s="3"/>
      <c r="N1170" s="57">
        <v>107337.65</v>
      </c>
      <c r="O1170" s="3">
        <f t="shared" si="41"/>
        <v>-1.0913936421275139E-11</v>
      </c>
      <c r="P1170" s="57">
        <v>-70.67</v>
      </c>
      <c r="S1170" s="57">
        <v>-70.67</v>
      </c>
      <c r="T1170" s="1">
        <f>S1170-R1170-Q1170-P1170</f>
        <v>0</v>
      </c>
      <c r="U1170" s="57">
        <v>107266.98</v>
      </c>
      <c r="V1170" s="1">
        <f>U1170-P1170-N1170-Q1170-R1170+N1170-I1171-G1171-F1171-D1170-E1170-B1170-K1171-M1170-H1171-C1170-L1170-J1170</f>
        <v>-1.6143530956469476E-11</v>
      </c>
    </row>
    <row r="1171" spans="1:22" x14ac:dyDescent="0.25">
      <c r="A1171" t="s">
        <v>1316</v>
      </c>
      <c r="B1171" s="57">
        <v>11579.45</v>
      </c>
      <c r="F1171" s="57">
        <v>98695.8</v>
      </c>
      <c r="G1171" s="57">
        <v>-1235.42</v>
      </c>
      <c r="H1171" s="57">
        <v>-927.99</v>
      </c>
      <c r="I1171" s="57">
        <v>1292.32</v>
      </c>
      <c r="J1171" s="3"/>
      <c r="N1171" s="57">
        <v>64530.76</v>
      </c>
      <c r="O1171" s="3">
        <f t="shared" si="41"/>
        <v>3.637978807091713E-12</v>
      </c>
      <c r="P1171" s="57">
        <v>-23.95</v>
      </c>
      <c r="S1171" s="57">
        <v>-23.95</v>
      </c>
      <c r="T1171" s="1">
        <f>S1171-R1171-Q1171-P1171</f>
        <v>0</v>
      </c>
      <c r="U1171" s="57">
        <v>64506.81</v>
      </c>
      <c r="V1171" s="1">
        <f>U1171-P1171-N1171-Q1171-R1171+N1171-I1172-G1172-F1172-D1171-E1171-B1171-K1172-M1171-H1172-C1171-L1171-J1171</f>
        <v>2.2737367544323206E-13</v>
      </c>
    </row>
    <row r="1172" spans="1:22" x14ac:dyDescent="0.25">
      <c r="A1172" t="s">
        <v>1317</v>
      </c>
      <c r="B1172" s="1">
        <v>11796.3</v>
      </c>
      <c r="C1172" s="1">
        <v>-673.06000000000006</v>
      </c>
      <c r="E1172" s="1">
        <v>88.53</v>
      </c>
      <c r="F1172" s="57">
        <v>55518.18</v>
      </c>
      <c r="G1172" s="57">
        <v>-1359.05</v>
      </c>
      <c r="H1172" s="57">
        <v>-1496.66</v>
      </c>
      <c r="I1172" s="57">
        <v>288.83999999999997</v>
      </c>
      <c r="J1172" s="3"/>
      <c r="N1172" s="1">
        <v>95425.279999999999</v>
      </c>
      <c r="O1172" s="3">
        <f>N1172-K1173-I1173-H1173-G1173-F1173-E1172-D1172-C1172-B1172-M1172-L1172-J1172</f>
        <v>74.999999999989086</v>
      </c>
      <c r="P1172" s="1">
        <v>-161.97999999999999</v>
      </c>
      <c r="S1172" s="1">
        <v>-161.97999999999999</v>
      </c>
      <c r="T1172" s="1">
        <f>S1172-R1172-Q1172-P1172</f>
        <v>0</v>
      </c>
      <c r="U1172" s="1">
        <v>95263.3</v>
      </c>
      <c r="V1172" s="1">
        <f>U1172-P1172-N1172-Q1172-R1172+N1172-I1173-G1173-F1173-D1172-E1172-B1172-K1173-M1172-H1173-C1172-L1172-J1172</f>
        <v>74.999999999983174</v>
      </c>
    </row>
    <row r="1173" spans="1:22" x14ac:dyDescent="0.25">
      <c r="A1173" t="s">
        <v>1318</v>
      </c>
      <c r="B1173" s="115">
        <v>7776.0700000000006</v>
      </c>
      <c r="E1173" s="115">
        <v>67.11999999999999</v>
      </c>
      <c r="F1173" s="1">
        <v>85837.12000000001</v>
      </c>
      <c r="G1173" s="1">
        <v>-1665.22</v>
      </c>
      <c r="H1173" s="1">
        <v>-696.95999999999992</v>
      </c>
      <c r="I1173" s="1">
        <v>663.56999999999994</v>
      </c>
      <c r="J1173" s="3"/>
      <c r="O1173" s="3">
        <f t="shared" ref="O1173:O1236" si="42">N1173-K1174-I1174-H1174-G1174-F1174-E1173-D1173-C1173-B1173-M1173-L1173-J1173</f>
        <v>-63591.81</v>
      </c>
      <c r="P1173" s="115">
        <v>-245.93</v>
      </c>
      <c r="T1173" s="1">
        <f t="shared" ref="T1173:T1181" si="43">S1173-R1173-Q1173-P1173</f>
        <v>245.93</v>
      </c>
    </row>
    <row r="1174" spans="1:22" x14ac:dyDescent="0.25">
      <c r="A1174" t="s">
        <v>1319</v>
      </c>
      <c r="B1174" s="115">
        <v>10369.050000000001</v>
      </c>
      <c r="E1174" s="115">
        <v>2.14</v>
      </c>
      <c r="F1174" s="115">
        <v>65468.85</v>
      </c>
      <c r="G1174" s="115">
        <v>-9654.98</v>
      </c>
      <c r="H1174" s="115">
        <v>-272.59999999999997</v>
      </c>
      <c r="I1174" s="115">
        <v>207.35</v>
      </c>
      <c r="M1174" s="115">
        <v>22536.880000000001</v>
      </c>
      <c r="O1174" s="3">
        <f t="shared" si="42"/>
        <v>-65230.16</v>
      </c>
      <c r="P1174" s="115">
        <v>-92.81</v>
      </c>
      <c r="R1174" s="115">
        <v>1245.06</v>
      </c>
      <c r="T1174" s="1">
        <f t="shared" si="43"/>
        <v>-1152.25</v>
      </c>
    </row>
    <row r="1175" spans="1:22" x14ac:dyDescent="0.25">
      <c r="A1175" t="s">
        <v>1320</v>
      </c>
      <c r="B1175" s="115">
        <v>8048.01</v>
      </c>
      <c r="F1175" s="115">
        <v>34237.340000000004</v>
      </c>
      <c r="G1175" s="115">
        <v>-1852.08</v>
      </c>
      <c r="H1175" s="115">
        <v>-63.17</v>
      </c>
      <c r="N1175" s="115">
        <v>211725.13</v>
      </c>
      <c r="O1175" s="3">
        <f t="shared" si="42"/>
        <v>128821.96999999999</v>
      </c>
      <c r="P1175" s="115">
        <v>-138.84</v>
      </c>
      <c r="S1175" s="115">
        <v>767.48</v>
      </c>
      <c r="T1175" s="1">
        <f t="shared" si="43"/>
        <v>906.32</v>
      </c>
      <c r="U1175" s="115">
        <v>212492.61</v>
      </c>
      <c r="V1175" s="3">
        <f>U1175-P1175-N1175-Q1175-R1175+N1175-I1176-G1176-F1176-D1175-E1175-B1175-M1174-R1174-R1173-Q1174-Q1173-P1173-P1174-K1175-K1174-I1174-G1174-F1174-E1174-E1173-B1174-B1173-M1173-D1173-D1174-M1175-H1174-C1173-H1176-K1176-C1174-L1173-L1174-L1175-F1175-G1175-J1174-H1175</f>
        <v>-4.0088821151584852E-11</v>
      </c>
    </row>
    <row r="1176" spans="1:22" x14ac:dyDescent="0.25">
      <c r="A1176" t="s">
        <v>1321</v>
      </c>
      <c r="B1176" s="110">
        <v>12150.58</v>
      </c>
      <c r="E1176" s="110">
        <v>42.18</v>
      </c>
      <c r="F1176" s="115">
        <v>75107.37000000001</v>
      </c>
      <c r="G1176" s="115">
        <v>-265.59000000000003</v>
      </c>
      <c r="H1176" s="115">
        <v>-96.88</v>
      </c>
      <c r="I1176" s="115">
        <v>110.25</v>
      </c>
      <c r="J1176" s="3"/>
      <c r="N1176" s="110">
        <v>84328.26</v>
      </c>
      <c r="O1176" s="3">
        <f t="shared" si="42"/>
        <v>-5.4569682106375694E-12</v>
      </c>
      <c r="P1176" s="110">
        <v>-168.6</v>
      </c>
      <c r="S1176" s="110">
        <v>-168.6</v>
      </c>
      <c r="T1176" s="1">
        <f t="shared" si="43"/>
        <v>0</v>
      </c>
      <c r="U1176" s="110">
        <v>84159.66</v>
      </c>
      <c r="V1176" s="1">
        <f>U1176-P1176-N1176-Q1176-R1176+N1176-I1177-G1177-F1177-D1176-E1176-B1176-K1177-M1176-H1177-C1176-L1176-J1176</f>
        <v>7.9580786405131221E-12</v>
      </c>
    </row>
    <row r="1177" spans="1:22" x14ac:dyDescent="0.25">
      <c r="A1177" t="s">
        <v>1322</v>
      </c>
      <c r="B1177" s="72">
        <v>13590.359999999999</v>
      </c>
      <c r="F1177" s="110">
        <v>78128.47</v>
      </c>
      <c r="G1177" s="110">
        <v>-5465.96</v>
      </c>
      <c r="H1177" s="110">
        <v>-576.97</v>
      </c>
      <c r="I1177" s="110">
        <v>49.96</v>
      </c>
      <c r="J1177" s="3"/>
      <c r="N1177" s="72">
        <v>72498</v>
      </c>
      <c r="O1177" s="3">
        <f t="shared" si="42"/>
        <v>9.0949470177292824E-12</v>
      </c>
      <c r="P1177" s="72">
        <v>-155.56</v>
      </c>
      <c r="S1177" s="72">
        <v>-155.56</v>
      </c>
      <c r="T1177" s="1">
        <f t="shared" si="43"/>
        <v>0</v>
      </c>
      <c r="U1177" s="72">
        <v>72342.44</v>
      </c>
      <c r="V1177" s="1">
        <f>U1177-P1177-N1177-Q1177-R1177+N1177-I1178-G1178-F1178-D1177-E1177-B1177-K1178-M1177-H1178-C1177-L1177-J1177</f>
        <v>2.1316282072803006E-12</v>
      </c>
    </row>
    <row r="1178" spans="1:22" x14ac:dyDescent="0.25">
      <c r="A1178" t="s">
        <v>1323</v>
      </c>
      <c r="B1178" s="56">
        <v>9264.66</v>
      </c>
      <c r="C1178" s="56">
        <v>-34.549999999999997</v>
      </c>
      <c r="F1178" s="72">
        <v>60977.54</v>
      </c>
      <c r="G1178" s="72">
        <v>-1899.74</v>
      </c>
      <c r="H1178" s="72">
        <v>-195.32000000000002</v>
      </c>
      <c r="I1178" s="72">
        <v>25.16</v>
      </c>
      <c r="J1178" s="3"/>
      <c r="N1178" s="56">
        <v>79221.259999999995</v>
      </c>
      <c r="O1178" s="3">
        <f t="shared" si="42"/>
        <v>-2.9103830456733704E-11</v>
      </c>
      <c r="P1178" s="56">
        <v>-451.99</v>
      </c>
      <c r="S1178" s="56">
        <v>-451.99</v>
      </c>
      <c r="T1178" s="1">
        <f t="shared" si="43"/>
        <v>0</v>
      </c>
      <c r="U1178" s="56">
        <v>78769.27</v>
      </c>
      <c r="V1178" s="1">
        <f>U1178-P1178-N1178-Q1178-R1178+N1178-I1179-G1179-F1179-D1178-E1178-B1178-K1179-M1178-H1179-C1178-L1178-J1178</f>
        <v>-1.0928147275990341E-11</v>
      </c>
    </row>
    <row r="1179" spans="1:22" x14ac:dyDescent="0.25">
      <c r="A1179" t="s">
        <v>1324</v>
      </c>
      <c r="B1179" s="90">
        <v>13229.56</v>
      </c>
      <c r="F1179" s="56">
        <v>75146.12000000001</v>
      </c>
      <c r="G1179" s="56">
        <v>-5171.1200000000008</v>
      </c>
      <c r="H1179" s="56">
        <v>-174.7</v>
      </c>
      <c r="I1179" s="56">
        <v>190.85</v>
      </c>
      <c r="J1179" s="3"/>
      <c r="N1179" s="90">
        <v>98639.47</v>
      </c>
      <c r="O1179" s="3">
        <f t="shared" si="42"/>
        <v>-1.8189894035458565E-12</v>
      </c>
      <c r="P1179" s="90">
        <v>-116.6</v>
      </c>
      <c r="S1179" s="90">
        <v>-116.6</v>
      </c>
      <c r="T1179" s="1">
        <f t="shared" si="43"/>
        <v>0</v>
      </c>
      <c r="U1179" s="90">
        <v>98522.87</v>
      </c>
      <c r="V1179" s="1">
        <f>U1179-P1179-N1179-Q1179-R1179+N1179-I1180-G1180-F1180-D1179-E1179-B1179-K1180-M1179-H1180-C1179-L1179-J1179</f>
        <v>3.4106051316484809E-12</v>
      </c>
    </row>
    <row r="1180" spans="1:22" x14ac:dyDescent="0.25">
      <c r="A1180" t="s">
        <v>1325</v>
      </c>
      <c r="B1180" s="37">
        <v>8400.92</v>
      </c>
      <c r="E1180" s="37">
        <v>59.82</v>
      </c>
      <c r="F1180" s="90">
        <v>84033.8</v>
      </c>
      <c r="G1180" s="90">
        <v>-1870.67</v>
      </c>
      <c r="H1180" s="90">
        <v>-373.76</v>
      </c>
      <c r="I1180" s="90">
        <v>3620.54</v>
      </c>
      <c r="J1180" s="3"/>
      <c r="O1180" s="3">
        <f t="shared" si="42"/>
        <v>-88684.38</v>
      </c>
      <c r="P1180" s="37">
        <v>-81.849999999999994</v>
      </c>
      <c r="T1180" s="1">
        <f t="shared" si="43"/>
        <v>81.849999999999994</v>
      </c>
    </row>
    <row r="1181" spans="1:22" x14ac:dyDescent="0.25">
      <c r="A1181" t="s">
        <v>1326</v>
      </c>
      <c r="B1181" s="37">
        <v>5804.03</v>
      </c>
      <c r="F1181" s="37">
        <v>81820.25</v>
      </c>
      <c r="G1181" s="37">
        <v>-2209.08</v>
      </c>
      <c r="H1181" s="37">
        <v>-240.69000000000003</v>
      </c>
      <c r="I1181" s="37">
        <v>853.16</v>
      </c>
      <c r="J1181" s="3"/>
      <c r="M1181" s="37">
        <v>23602.34</v>
      </c>
      <c r="O1181" s="3">
        <f t="shared" si="42"/>
        <v>-65217.09</v>
      </c>
      <c r="P1181" s="37">
        <v>-114.21</v>
      </c>
      <c r="Q1181" s="37">
        <v>-40.92</v>
      </c>
      <c r="R1181" s="37">
        <v>962.64</v>
      </c>
      <c r="T1181" s="1">
        <f t="shared" si="43"/>
        <v>-807.51</v>
      </c>
    </row>
    <row r="1182" spans="1:22" x14ac:dyDescent="0.25">
      <c r="A1182" t="s">
        <v>1327</v>
      </c>
      <c r="B1182" s="37">
        <v>8953.93</v>
      </c>
      <c r="F1182" s="37">
        <v>37860.369999999995</v>
      </c>
      <c r="G1182" s="37">
        <v>-2049.65</v>
      </c>
      <c r="J1182" s="3"/>
      <c r="N1182" s="37">
        <v>215303.75</v>
      </c>
      <c r="O1182" s="3">
        <f t="shared" si="42"/>
        <v>153901.47000000003</v>
      </c>
      <c r="P1182" s="37">
        <v>-165.31</v>
      </c>
      <c r="S1182" s="37">
        <v>560.35</v>
      </c>
      <c r="T1182" s="1">
        <f>S1182-R1182-Q1182-P1182</f>
        <v>725.66000000000008</v>
      </c>
      <c r="U1182" s="37">
        <v>215864.1</v>
      </c>
      <c r="V1182" s="3">
        <f>U1182-P1182-N1182-Q1182-R1182+N1182-I1183-G1183-F1183-D1182-E1182-B1182-M1181-R1181-R1180-Q1181-Q1180-P1180-P1181-K1182-K1181-I1181-G1181-F1181-E1181-E1180-B1181-B1180-M1180-D1180-D1181-M1182-H1181-C1180-H1183-K1183-C1181-L1180-L1181-L1182-F1182-G1182-J1181-H1182</f>
        <v>2.7739588404074311E-11</v>
      </c>
    </row>
    <row r="1183" spans="1:22" x14ac:dyDescent="0.25">
      <c r="A1183" t="s">
        <v>1328</v>
      </c>
      <c r="B1183" s="89">
        <v>11523.289999999999</v>
      </c>
      <c r="F1183" s="37">
        <v>52976.17</v>
      </c>
      <c r="G1183" s="37">
        <v>-678.32</v>
      </c>
      <c r="I1183" s="37">
        <v>150.5</v>
      </c>
      <c r="J1183" s="3"/>
      <c r="N1183" s="89">
        <v>77355.47</v>
      </c>
      <c r="O1183" s="3">
        <f t="shared" si="42"/>
        <v>-5.4569682106375694E-12</v>
      </c>
      <c r="P1183" s="89">
        <v>-101.21</v>
      </c>
      <c r="Q1183" s="89">
        <v>-56.13</v>
      </c>
      <c r="S1183" s="89">
        <v>-157.34</v>
      </c>
      <c r="T1183" s="1">
        <f>S1183-R1183-Q1183-P1183</f>
        <v>0</v>
      </c>
      <c r="U1183" s="89">
        <v>77198.13</v>
      </c>
      <c r="V1183" s="1">
        <f>U1183-P1183-N1183-Q1183-R1183+N1183-I1184-G1184-F1184-D1183-E1183-B1183-K1184-M1183-H1184-C1183-L1183-J1183</f>
        <v>1.3727685654885136E-11</v>
      </c>
    </row>
    <row r="1184" spans="1:22" x14ac:dyDescent="0.25">
      <c r="A1184" t="s">
        <v>1329</v>
      </c>
      <c r="B1184" s="7">
        <v>8984.86</v>
      </c>
      <c r="F1184" s="89">
        <v>70151.360000000001</v>
      </c>
      <c r="G1184" s="89">
        <v>-6323.2199999999993</v>
      </c>
      <c r="H1184" s="89">
        <v>-131.86999999999998</v>
      </c>
      <c r="I1184" s="89">
        <v>2135.91</v>
      </c>
      <c r="N1184" s="7">
        <v>90251.93</v>
      </c>
      <c r="O1184" s="3">
        <f t="shared" si="42"/>
        <v>-1.4551915228366852E-11</v>
      </c>
      <c r="P1184" s="7">
        <v>-116.65</v>
      </c>
      <c r="S1184" s="7">
        <v>-116.65</v>
      </c>
      <c r="T1184" s="1">
        <f>S1184-R1184-Q1184-P1184</f>
        <v>0</v>
      </c>
      <c r="U1184" s="7">
        <v>90135.28</v>
      </c>
      <c r="V1184" s="1">
        <f>U1184-P1184-N1184-Q1184-R1184+N1184-I1185-G1185-F1185-D1184-E1184-B1184-K1185-M1184-H1185-C1184-L1184-J1184</f>
        <v>-1.1638690011750441E-11</v>
      </c>
    </row>
    <row r="1185" spans="1:22" x14ac:dyDescent="0.25">
      <c r="A1185" t="s">
        <v>1330</v>
      </c>
      <c r="B1185" s="5">
        <v>10585.820000000002</v>
      </c>
      <c r="F1185" s="7">
        <v>85435.760000000009</v>
      </c>
      <c r="G1185" s="7">
        <v>-4685.0200000000004</v>
      </c>
      <c r="H1185" s="7">
        <v>-116.2</v>
      </c>
      <c r="I1185" s="7">
        <v>632.53</v>
      </c>
      <c r="N1185" s="5">
        <v>108978.7</v>
      </c>
      <c r="O1185" s="3">
        <f t="shared" si="42"/>
        <v>-9.0949470177292824E-12</v>
      </c>
      <c r="P1185" s="5">
        <v>-58.4</v>
      </c>
      <c r="S1185" s="5">
        <v>-58.4</v>
      </c>
      <c r="T1185" s="1">
        <f>S1185-R1185-Q1185-P1185</f>
        <v>0</v>
      </c>
      <c r="U1185" s="5">
        <v>108920.3</v>
      </c>
      <c r="V1185" s="1">
        <f>U1185-P1185-N1185-Q1185-R1185+N1185-I1186-G1186-F1186-D1185-E1185-B1185-K1186-M1185-H1186-C1185-L1185-J1185</f>
        <v>-1.3187673175707459E-11</v>
      </c>
    </row>
    <row r="1186" spans="1:22" x14ac:dyDescent="0.25">
      <c r="A1186" t="s">
        <v>1331</v>
      </c>
      <c r="B1186" s="2">
        <v>12474.660000000002</v>
      </c>
      <c r="F1186" s="5">
        <v>102539.90000000001</v>
      </c>
      <c r="G1186" s="5">
        <v>-4070.1400000000003</v>
      </c>
      <c r="H1186" s="5">
        <v>-172.76999999999998</v>
      </c>
      <c r="I1186" s="5">
        <v>95.89</v>
      </c>
      <c r="N1186" s="2">
        <v>102172.55</v>
      </c>
      <c r="O1186" s="3">
        <f t="shared" si="42"/>
        <v>1.8189894035458565E-12</v>
      </c>
      <c r="P1186" s="2">
        <v>-311.98</v>
      </c>
      <c r="S1186" s="2">
        <v>-311.98</v>
      </c>
      <c r="T1186" s="1">
        <f>S1186-R1186-Q1186-P1186</f>
        <v>0</v>
      </c>
      <c r="U1186" s="2">
        <v>101860.57</v>
      </c>
      <c r="V1186" s="1">
        <f>U1186-P1186-N1186-Q1186-R1186+N1186-I1187-G1187-F1187-D1186-E1186-B1186-K1187-M1186-H1187-C1186-L1186-J1186</f>
        <v>-4.007461029686965E-12</v>
      </c>
    </row>
    <row r="1187" spans="1:22" x14ac:dyDescent="0.25">
      <c r="A1187" t="s">
        <v>1332</v>
      </c>
      <c r="B1187" s="55">
        <v>8917.5499999999993</v>
      </c>
      <c r="F1187" s="2">
        <v>95714.8</v>
      </c>
      <c r="G1187" s="2">
        <v>-6667.12</v>
      </c>
      <c r="H1187" s="2">
        <v>-147.6</v>
      </c>
      <c r="I1187" s="2">
        <v>797.81000000000006</v>
      </c>
      <c r="J1187" s="3"/>
      <c r="O1187" s="3">
        <f t="shared" si="42"/>
        <v>-106874.05</v>
      </c>
      <c r="P1187" s="55">
        <v>-116.4</v>
      </c>
      <c r="T1187" s="1">
        <f t="shared" ref="T1187:T1250" si="44">S1187-R1187-Q1187-P1187</f>
        <v>116.4</v>
      </c>
    </row>
    <row r="1188" spans="1:22" x14ac:dyDescent="0.25">
      <c r="A1188" t="s">
        <v>1333</v>
      </c>
      <c r="B1188" s="55">
        <v>10423.19</v>
      </c>
      <c r="F1188" s="55">
        <v>100128.13</v>
      </c>
      <c r="G1188" s="55">
        <v>-1864.19</v>
      </c>
      <c r="H1188" s="55">
        <v>-307.44</v>
      </c>
      <c r="M1188" s="55">
        <v>82460.78</v>
      </c>
      <c r="O1188" s="3">
        <f t="shared" si="42"/>
        <v>-162578.93</v>
      </c>
      <c r="P1188" s="55">
        <v>-150.1</v>
      </c>
      <c r="R1188" s="55">
        <v>26674.080000000002</v>
      </c>
      <c r="T1188" s="1">
        <f t="shared" si="44"/>
        <v>-26523.980000000003</v>
      </c>
    </row>
    <row r="1189" spans="1:22" x14ac:dyDescent="0.25">
      <c r="A1189" t="s">
        <v>1334</v>
      </c>
      <c r="B1189" s="55">
        <v>6551.6600000000008</v>
      </c>
      <c r="F1189" s="55">
        <v>73724.429999999993</v>
      </c>
      <c r="G1189" s="55">
        <v>-4029.4700000000003</v>
      </c>
      <c r="J1189" s="3"/>
      <c r="N1189" s="55">
        <v>330356.33</v>
      </c>
      <c r="O1189" s="3">
        <f t="shared" si="42"/>
        <v>269452.98000000004</v>
      </c>
      <c r="P1189" s="55">
        <v>-34.950000000000003</v>
      </c>
      <c r="S1189" s="55">
        <v>26372.63</v>
      </c>
      <c r="T1189" s="1">
        <f t="shared" si="44"/>
        <v>26407.58</v>
      </c>
      <c r="U1189" s="55">
        <v>356728.96</v>
      </c>
      <c r="V1189" s="3">
        <f>U1189-P1189-N1189-Q1189-R1189+N1189-I1190-G1190-F1190-D1189-E1189-B1189-M1188-R1188-R1187-Q1188-Q1187-P1187-P1188-K1189-K1188-I1188-G1188-F1188-E1188-E1187-B1188-B1187-M1187-D1187-D1188-M1189-H1188-C1187-H1190-K1190-C1188-L1187-L1188-L1189-F1189-G1189-J1188-H1189</f>
        <v>1.3005774235352874E-10</v>
      </c>
    </row>
    <row r="1190" spans="1:22" x14ac:dyDescent="0.25">
      <c r="A1190" t="s">
        <v>1335</v>
      </c>
      <c r="B1190" s="43">
        <v>10722.51</v>
      </c>
      <c r="F1190" s="55">
        <v>55328.47</v>
      </c>
      <c r="G1190" s="55">
        <v>-1052.52</v>
      </c>
      <c r="I1190" s="55">
        <v>75.739999999999995</v>
      </c>
      <c r="J1190" s="3"/>
      <c r="M1190" s="43">
        <v>19170.259999999998</v>
      </c>
      <c r="N1190" s="43">
        <v>97392.99</v>
      </c>
      <c r="O1190" s="3">
        <f t="shared" si="42"/>
        <v>1.8189894035458565E-11</v>
      </c>
      <c r="P1190" s="43">
        <v>-92.37</v>
      </c>
      <c r="R1190" s="43">
        <v>766.55</v>
      </c>
      <c r="S1190" s="43">
        <v>674.18</v>
      </c>
      <c r="T1190" s="1">
        <f t="shared" si="44"/>
        <v>0</v>
      </c>
      <c r="U1190" s="43">
        <v>98067.17</v>
      </c>
      <c r="V1190" s="1">
        <f>U1190-P1190-N1190-Q1190-R1190+N1190-I1191-G1191-F1191-D1190-E1190-B1190-K1191-M1190-H1191-C1190-L1190-J1190</f>
        <v>-9.7202246251981705E-12</v>
      </c>
    </row>
    <row r="1191" spans="1:22" x14ac:dyDescent="0.25">
      <c r="A1191" t="s">
        <v>1336</v>
      </c>
      <c r="B1191" s="82">
        <v>10485.9</v>
      </c>
      <c r="F1191" s="43">
        <v>76109.739999999991</v>
      </c>
      <c r="G1191" s="43">
        <v>-8436.07</v>
      </c>
      <c r="H1191" s="43">
        <v>-382.53000000000003</v>
      </c>
      <c r="I1191" s="43">
        <v>209.07999999999998</v>
      </c>
      <c r="J1191" s="3"/>
      <c r="N1191" s="82">
        <v>63610.59</v>
      </c>
      <c r="O1191" s="3">
        <f t="shared" si="42"/>
        <v>1.8189894035458565E-12</v>
      </c>
      <c r="P1191" s="82">
        <v>-138.56</v>
      </c>
      <c r="S1191" s="82">
        <v>-138.56</v>
      </c>
      <c r="T1191" s="1">
        <f t="shared" si="44"/>
        <v>0</v>
      </c>
      <c r="U1191" s="82">
        <v>63472.03</v>
      </c>
      <c r="V1191" s="1">
        <f>U1191-P1191-N1191-Q1191-R1191+N1191-I1192-G1192-F1192-D1191-E1191-B1191-K1192-M1191-H1192-C1191-L1191-J1191</f>
        <v>5.8975047068088315E-12</v>
      </c>
    </row>
    <row r="1192" spans="1:22" x14ac:dyDescent="0.25">
      <c r="A1192" t="s">
        <v>1337</v>
      </c>
      <c r="B1192" s="53">
        <v>7825.39</v>
      </c>
      <c r="F1192" s="82">
        <v>60633.24</v>
      </c>
      <c r="G1192" s="82">
        <v>-7412.57</v>
      </c>
      <c r="H1192" s="82">
        <v>-95.98</v>
      </c>
      <c r="J1192" s="3"/>
      <c r="N1192" s="53">
        <v>67640.160000000003</v>
      </c>
      <c r="O1192" s="3">
        <f t="shared" si="42"/>
        <v>6.3664629124104977E-12</v>
      </c>
      <c r="P1192" s="53">
        <v>-127.12</v>
      </c>
      <c r="Q1192" s="53">
        <v>-31.29</v>
      </c>
      <c r="S1192" s="53">
        <v>-158.41</v>
      </c>
      <c r="T1192" s="1">
        <f t="shared" si="44"/>
        <v>0</v>
      </c>
      <c r="U1192" s="53">
        <v>67481.75</v>
      </c>
      <c r="V1192" s="1">
        <f>U1192-P1192-N1192-Q1192-R1192+N1192-I1193-G1193-F1193-D1192-E1192-B1192-K1193-M1192-H1193-C1192-L1192-J1192</f>
        <v>-1.1027623258996755E-11</v>
      </c>
    </row>
    <row r="1193" spans="1:22" x14ac:dyDescent="0.25">
      <c r="A1193" t="s">
        <v>1338</v>
      </c>
      <c r="B1193" s="33">
        <v>10459.58</v>
      </c>
      <c r="F1193" s="53">
        <v>62705.88</v>
      </c>
      <c r="G1193" s="53">
        <v>-2373.81</v>
      </c>
      <c r="H1193" s="53">
        <v>-693.80000000000007</v>
      </c>
      <c r="I1193" s="53">
        <v>176.5</v>
      </c>
      <c r="J1193" s="3"/>
      <c r="N1193" s="33">
        <v>64827.25</v>
      </c>
      <c r="O1193" s="3">
        <f t="shared" si="42"/>
        <v>1.8189894035458565E-12</v>
      </c>
      <c r="P1193" s="33">
        <v>-58.43</v>
      </c>
      <c r="S1193" s="33">
        <v>-58.43</v>
      </c>
      <c r="T1193" s="1">
        <f t="shared" si="44"/>
        <v>0</v>
      </c>
      <c r="U1193" s="33">
        <v>64768.82</v>
      </c>
      <c r="V1193" s="1">
        <f>U1193-P1193-N1193-Q1193-R1193+N1193-I1194-G1194-F1194-D1193-E1193-B1193-K1194-M1193-H1194-C1193-L1193-J1193</f>
        <v>-5.1443294069031253E-12</v>
      </c>
    </row>
    <row r="1194" spans="1:22" x14ac:dyDescent="0.25">
      <c r="A1194" t="s">
        <v>1339</v>
      </c>
      <c r="B1194" s="56">
        <v>6464.55</v>
      </c>
      <c r="F1194" s="33">
        <v>62495.66</v>
      </c>
      <c r="G1194" s="33">
        <v>-8170.26</v>
      </c>
      <c r="H1194" s="33">
        <v>-192.82000000000002</v>
      </c>
      <c r="I1194" s="33">
        <v>235.09</v>
      </c>
      <c r="J1194" s="3"/>
      <c r="O1194" s="3">
        <f t="shared" si="42"/>
        <v>-73601.039999999994</v>
      </c>
      <c r="P1194" s="56">
        <v>-47.46</v>
      </c>
      <c r="T1194" s="1">
        <f t="shared" si="44"/>
        <v>47.46</v>
      </c>
    </row>
    <row r="1195" spans="1:22" x14ac:dyDescent="0.25">
      <c r="A1195" t="s">
        <v>1340</v>
      </c>
      <c r="B1195" s="56">
        <v>10503.49</v>
      </c>
      <c r="D1195" s="56">
        <v>34.26</v>
      </c>
      <c r="F1195" s="56">
        <v>69238.2</v>
      </c>
      <c r="G1195" s="56">
        <v>-560.99</v>
      </c>
      <c r="H1195" s="56">
        <v>-1558.5300000000002</v>
      </c>
      <c r="I1195" s="56">
        <v>17.810000000000002</v>
      </c>
      <c r="J1195" s="3"/>
      <c r="M1195" s="56">
        <v>55905.16</v>
      </c>
      <c r="O1195" s="3">
        <f t="shared" si="42"/>
        <v>-93119.13</v>
      </c>
      <c r="P1195" s="56">
        <v>-168.54</v>
      </c>
      <c r="R1195" s="56">
        <v>1507.98</v>
      </c>
      <c r="T1195" s="1">
        <f t="shared" si="44"/>
        <v>-1339.44</v>
      </c>
    </row>
    <row r="1196" spans="1:22" x14ac:dyDescent="0.25">
      <c r="A1196" t="s">
        <v>1341</v>
      </c>
      <c r="B1196" s="56">
        <v>7155.63</v>
      </c>
      <c r="E1196" s="56">
        <v>121.57</v>
      </c>
      <c r="F1196" s="56">
        <v>28823.97</v>
      </c>
      <c r="G1196" s="56">
        <v>-2147.75</v>
      </c>
      <c r="J1196" s="3"/>
      <c r="N1196" s="56">
        <v>220971.97</v>
      </c>
      <c r="O1196" s="3">
        <f t="shared" si="42"/>
        <v>166720.16999999998</v>
      </c>
      <c r="S1196" s="56">
        <v>1291.98</v>
      </c>
      <c r="T1196" s="1">
        <f t="shared" si="44"/>
        <v>1291.98</v>
      </c>
      <c r="U1196" s="56">
        <v>222263.95</v>
      </c>
      <c r="V1196" s="3">
        <f>U1196-P1196-N1196-Q1196-R1196+N1196-I1197-G1197-F1197-D1196-E1196-B1196-M1195-R1195-R1194-Q1195-Q1194-P1194-P1195-K1196-K1195-I1195-G1195-F1195-E1195-E1194-B1195-B1194-M1194-D1194-D1195-M1196-H1195-C1194-H1197-K1197-C1195-L1194-L1195-L1196-F1196-G1196-J1195-H1196</f>
        <v>3.637978807091713E-11</v>
      </c>
    </row>
    <row r="1197" spans="1:22" x14ac:dyDescent="0.25">
      <c r="A1197" t="s">
        <v>1342</v>
      </c>
      <c r="B1197" s="115">
        <v>8205.35</v>
      </c>
      <c r="F1197" s="56">
        <v>48920.89</v>
      </c>
      <c r="G1197" s="56">
        <v>-1961.76</v>
      </c>
      <c r="I1197" s="56">
        <v>15.47</v>
      </c>
      <c r="J1197" s="3"/>
      <c r="N1197" s="115">
        <v>43234.42</v>
      </c>
      <c r="O1197" s="3">
        <f t="shared" si="42"/>
        <v>-1.8189894035458565E-12</v>
      </c>
      <c r="P1197" s="115">
        <v>-92.71</v>
      </c>
      <c r="S1197" s="115">
        <v>-92.71</v>
      </c>
      <c r="T1197" s="1">
        <f t="shared" si="44"/>
        <v>0</v>
      </c>
      <c r="U1197" s="115">
        <v>43141.71</v>
      </c>
      <c r="V1197" s="1">
        <f>U1197-P1197-N1197-Q1197-R1197+N1197-I1198-G1198-F1198-D1197-E1197-B1197-K1198-M1197-H1198-C1197-L1197-J1197</f>
        <v>-9.0949470177292824E-13</v>
      </c>
    </row>
    <row r="1198" spans="1:22" x14ac:dyDescent="0.25">
      <c r="A1198" t="s">
        <v>1343</v>
      </c>
      <c r="B1198" s="5">
        <v>15148.289999999999</v>
      </c>
      <c r="E1198" s="5">
        <v>69.92</v>
      </c>
      <c r="F1198" s="115">
        <v>46694.89</v>
      </c>
      <c r="G1198" s="115">
        <v>-4484.46</v>
      </c>
      <c r="H1198" s="115">
        <v>-8171.0999999999995</v>
      </c>
      <c r="I1198" s="115">
        <v>989.74</v>
      </c>
      <c r="J1198" s="3"/>
      <c r="N1198" s="5">
        <v>95799.02</v>
      </c>
      <c r="O1198" s="3">
        <f t="shared" si="42"/>
        <v>2.1827872842550278E-11</v>
      </c>
      <c r="P1198" s="5">
        <v>-160.86000000000001</v>
      </c>
      <c r="S1198" s="5">
        <v>-160.86000000000001</v>
      </c>
      <c r="T1198" s="1">
        <f t="shared" si="44"/>
        <v>0</v>
      </c>
      <c r="U1198" s="5">
        <v>95638.16</v>
      </c>
      <c r="V1198" s="1">
        <f>U1198-P1198-N1198-Q1198-R1198+N1198-I1199-G1199-F1199-D1198-E1198-B1198-K1199-M1198-H1199-C1198-L1198-J1198</f>
        <v>1.7180923350679222E-11</v>
      </c>
    </row>
    <row r="1199" spans="1:22" x14ac:dyDescent="0.25">
      <c r="A1199" t="s">
        <v>1344</v>
      </c>
      <c r="B1199" s="49">
        <v>14421.85</v>
      </c>
      <c r="F1199" s="5">
        <v>80567.53</v>
      </c>
      <c r="G1199" s="5">
        <v>-156.71</v>
      </c>
      <c r="H1199" s="5">
        <v>-95.38000000000001</v>
      </c>
      <c r="I1199" s="5">
        <v>265.37</v>
      </c>
      <c r="J1199" s="3"/>
      <c r="N1199" s="49">
        <v>82607.19</v>
      </c>
      <c r="O1199" s="3">
        <f t="shared" si="42"/>
        <v>-9.0949470177292824E-12</v>
      </c>
      <c r="P1199" s="49">
        <v>-92.25</v>
      </c>
      <c r="S1199" s="49">
        <v>-92.25</v>
      </c>
      <c r="T1199" s="1">
        <f t="shared" si="44"/>
        <v>0</v>
      </c>
      <c r="U1199" s="49">
        <v>82514.94</v>
      </c>
      <c r="V1199" s="1">
        <f>U1199-P1199-N1199-Q1199-R1199+N1199-I1200-G1200-F1200-D1199-E1199-B1199-K1200-M1199-H1200-C1199-L1199-J1199</f>
        <v>-3.865352482534945E-12</v>
      </c>
    </row>
    <row r="1200" spans="1:22" x14ac:dyDescent="0.25">
      <c r="A1200" t="s">
        <v>1345</v>
      </c>
      <c r="B1200" s="110">
        <v>12059.04</v>
      </c>
      <c r="F1200" s="49">
        <v>70207.12000000001</v>
      </c>
      <c r="G1200" s="49">
        <v>-1534.83</v>
      </c>
      <c r="H1200" s="49">
        <v>-493.51</v>
      </c>
      <c r="I1200" s="49">
        <v>6.56</v>
      </c>
      <c r="J1200" s="3"/>
      <c r="O1200" s="3">
        <f t="shared" si="42"/>
        <v>-68515.63</v>
      </c>
      <c r="P1200" s="110">
        <v>-229.7</v>
      </c>
      <c r="Q1200" s="110">
        <v>-35.4</v>
      </c>
      <c r="T1200" s="1">
        <f t="shared" si="44"/>
        <v>265.09999999999997</v>
      </c>
    </row>
    <row r="1201" spans="1:22" x14ac:dyDescent="0.25">
      <c r="A1201" t="s">
        <v>1346</v>
      </c>
      <c r="B1201" s="110">
        <v>13526.5</v>
      </c>
      <c r="C1201" s="110">
        <v>-311.61</v>
      </c>
      <c r="F1201" s="110">
        <v>59575.39</v>
      </c>
      <c r="G1201" s="110">
        <v>-3025.67</v>
      </c>
      <c r="H1201" s="110">
        <v>-155.44</v>
      </c>
      <c r="I1201" s="110">
        <v>62.31</v>
      </c>
      <c r="J1201" s="3"/>
      <c r="O1201" s="3">
        <f t="shared" si="42"/>
        <v>-62243.439999999995</v>
      </c>
      <c r="P1201" s="110">
        <v>-138.26</v>
      </c>
      <c r="T1201" s="1">
        <f t="shared" si="44"/>
        <v>138.26</v>
      </c>
    </row>
    <row r="1202" spans="1:22" x14ac:dyDescent="0.25">
      <c r="A1202" t="s">
        <v>1347</v>
      </c>
      <c r="B1202" s="110">
        <v>11721.24</v>
      </c>
      <c r="E1202" s="110">
        <v>4.9399999999999995</v>
      </c>
      <c r="F1202" s="110">
        <v>51257.619999999995</v>
      </c>
      <c r="G1202" s="110">
        <v>-2271.14</v>
      </c>
      <c r="H1202" s="110">
        <v>-177.48</v>
      </c>
      <c r="I1202" s="110">
        <v>219.55</v>
      </c>
      <c r="J1202" s="3"/>
      <c r="K1202" s="3"/>
      <c r="M1202" s="110">
        <v>37098.81</v>
      </c>
      <c r="O1202" s="3">
        <f t="shared" si="42"/>
        <v>-96948.479999999996</v>
      </c>
      <c r="P1202" s="110">
        <v>-86.55</v>
      </c>
      <c r="R1202" s="110">
        <v>885.91</v>
      </c>
      <c r="T1202" s="1">
        <f t="shared" si="44"/>
        <v>-799.36</v>
      </c>
    </row>
    <row r="1203" spans="1:22" x14ac:dyDescent="0.25">
      <c r="A1203" t="s">
        <v>1348</v>
      </c>
      <c r="B1203" s="110">
        <v>6261.13</v>
      </c>
      <c r="F1203" s="110">
        <v>48653.07</v>
      </c>
      <c r="G1203" s="110">
        <v>-529.57999999999993</v>
      </c>
      <c r="J1203" s="3"/>
      <c r="K1203" s="3"/>
      <c r="N1203" s="110">
        <v>274145.23</v>
      </c>
      <c r="O1203" s="3">
        <f t="shared" si="42"/>
        <v>227707.55</v>
      </c>
      <c r="P1203" s="110">
        <v>-206.37</v>
      </c>
      <c r="S1203" s="110">
        <v>189.63</v>
      </c>
      <c r="T1203" s="1">
        <f t="shared" si="44"/>
        <v>396</v>
      </c>
      <c r="U1203" s="110">
        <v>274334.86</v>
      </c>
    </row>
    <row r="1204" spans="1:22" x14ac:dyDescent="0.25">
      <c r="A1204" t="s">
        <v>1349</v>
      </c>
      <c r="B1204" s="89">
        <v>10840.380000000001</v>
      </c>
      <c r="E1204" s="89">
        <v>28.389999999999997</v>
      </c>
      <c r="F1204" s="110">
        <v>41569.57</v>
      </c>
      <c r="G1204" s="110">
        <v>-1421.59</v>
      </c>
      <c r="I1204" s="110">
        <v>28.57</v>
      </c>
      <c r="J1204" s="3"/>
      <c r="K1204" s="3"/>
      <c r="N1204" s="89">
        <v>69657.5</v>
      </c>
      <c r="O1204" s="3">
        <f t="shared" si="42"/>
        <v>3.637978807091713E-12</v>
      </c>
      <c r="P1204" s="89">
        <v>-241.92</v>
      </c>
      <c r="S1204" s="89">
        <v>-241.92</v>
      </c>
      <c r="T1204" s="1">
        <f t="shared" si="44"/>
        <v>0</v>
      </c>
      <c r="U1204" s="89">
        <v>69415.58</v>
      </c>
      <c r="V1204" s="1">
        <f>U1204-P1204-N1204-Q1204-R1204+N1204-I1205-G1205-F1205-D1204-E1204-B1204-K1205-M1204-H1205-C1204-L1204-J1204</f>
        <v>1.0061285138363019E-11</v>
      </c>
    </row>
    <row r="1205" spans="1:22" x14ac:dyDescent="0.25">
      <c r="A1205" t="s">
        <v>1350</v>
      </c>
      <c r="B1205" s="90">
        <v>10882.53</v>
      </c>
      <c r="F1205" s="89">
        <v>62181.86</v>
      </c>
      <c r="G1205" s="89">
        <v>-3229.27</v>
      </c>
      <c r="H1205" s="89">
        <v>-283.79000000000002</v>
      </c>
      <c r="I1205" s="89">
        <v>119.93</v>
      </c>
      <c r="J1205" s="3"/>
      <c r="K1205" s="3"/>
      <c r="N1205" s="90">
        <v>107637.32</v>
      </c>
      <c r="O1205" s="3">
        <f t="shared" si="42"/>
        <v>1.2732925824820995E-11</v>
      </c>
      <c r="P1205" s="90">
        <v>-46.13</v>
      </c>
      <c r="S1205" s="90">
        <v>-46.13</v>
      </c>
      <c r="T1205" s="1">
        <f t="shared" si="44"/>
        <v>0</v>
      </c>
      <c r="U1205" s="90">
        <v>107591.19</v>
      </c>
      <c r="V1205" s="1">
        <f>U1205-P1205-N1205-Q1205-R1205+N1205-I1206-G1206-F1206-D1205-E1205-B1205-K1206-M1205-H1206-C1205-L1205-J1205</f>
        <v>1.2732925824820995E-11</v>
      </c>
    </row>
    <row r="1206" spans="1:22" x14ac:dyDescent="0.25">
      <c r="A1206" t="s">
        <v>1351</v>
      </c>
      <c r="B1206" s="9">
        <v>12676.140000000001</v>
      </c>
      <c r="F1206" s="90">
        <v>97438.31</v>
      </c>
      <c r="G1206" s="90">
        <v>-924</v>
      </c>
      <c r="I1206" s="90">
        <v>240.48000000000002</v>
      </c>
      <c r="J1206" s="3"/>
      <c r="K1206" s="3"/>
      <c r="N1206" s="9">
        <v>117567.11</v>
      </c>
      <c r="O1206" s="3">
        <f t="shared" si="42"/>
        <v>-1.8189894035458565E-12</v>
      </c>
      <c r="P1206" s="9">
        <v>-155.53</v>
      </c>
      <c r="S1206" s="9">
        <v>-155.53</v>
      </c>
      <c r="T1206" s="1">
        <f t="shared" si="44"/>
        <v>0</v>
      </c>
      <c r="U1206" s="9">
        <v>117411.58</v>
      </c>
      <c r="V1206" s="1">
        <f>U1206-P1206-N1206-Q1206-R1206+N1206-I1207-G1207-F1207-D1206-E1206-B1206-K1207-M1206-H1207-C1206-L1206-J1206</f>
        <v>4.5474735088646412E-13</v>
      </c>
    </row>
    <row r="1207" spans="1:22" x14ac:dyDescent="0.25">
      <c r="A1207" t="s">
        <v>1352</v>
      </c>
      <c r="B1207" s="57">
        <v>9426.09</v>
      </c>
      <c r="E1207" s="57">
        <v>126.57</v>
      </c>
      <c r="F1207" s="9">
        <v>107784.14</v>
      </c>
      <c r="G1207" s="9">
        <v>-2665.61</v>
      </c>
      <c r="H1207" s="9">
        <v>-600.05999999999995</v>
      </c>
      <c r="I1207" s="9">
        <v>372.5</v>
      </c>
      <c r="N1207" s="57">
        <v>115984.12</v>
      </c>
      <c r="O1207" s="3">
        <f t="shared" si="42"/>
        <v>-1.0913936421275139E-11</v>
      </c>
      <c r="P1207" s="57">
        <v>-18.71</v>
      </c>
      <c r="S1207" s="57">
        <v>-18.71</v>
      </c>
      <c r="T1207" s="1">
        <f t="shared" si="44"/>
        <v>0</v>
      </c>
      <c r="U1207" s="57">
        <v>115965.41</v>
      </c>
      <c r="V1207" s="1">
        <f>U1207-P1207-N1207-Q1207-R1207+N1207-I1208-G1208-F1208-D1207-E1207-B1207-K1208-M1207-H1208-C1207-L1207-J1207</f>
        <v>1.1368683772161603E-12</v>
      </c>
    </row>
    <row r="1208" spans="1:22" x14ac:dyDescent="0.25">
      <c r="A1208" t="s">
        <v>1353</v>
      </c>
      <c r="B1208" s="2">
        <v>9773.7199999999993</v>
      </c>
      <c r="D1208" s="2">
        <v>319.56</v>
      </c>
      <c r="F1208" s="57">
        <v>109041.71</v>
      </c>
      <c r="G1208" s="57">
        <v>-1712.06</v>
      </c>
      <c r="H1208" s="57">
        <v>-1191.1899999999998</v>
      </c>
      <c r="I1208" s="57">
        <v>293</v>
      </c>
      <c r="M1208" s="2">
        <v>3300</v>
      </c>
      <c r="O1208" s="3">
        <f t="shared" si="42"/>
        <v>-115093.18</v>
      </c>
      <c r="P1208" s="2">
        <v>-49.44</v>
      </c>
      <c r="T1208" s="1">
        <f t="shared" si="44"/>
        <v>49.44</v>
      </c>
    </row>
    <row r="1209" spans="1:22" x14ac:dyDescent="0.25">
      <c r="A1209" t="s">
        <v>1354</v>
      </c>
      <c r="B1209" s="2">
        <v>8731.59</v>
      </c>
      <c r="E1209" s="2">
        <v>145.69</v>
      </c>
      <c r="F1209" s="2">
        <v>102489.87</v>
      </c>
      <c r="G1209" s="2">
        <v>-789.97</v>
      </c>
      <c r="M1209" s="2">
        <v>29834.5</v>
      </c>
      <c r="O1209" s="3">
        <f t="shared" si="42"/>
        <v>-80816.72</v>
      </c>
      <c r="P1209" s="2">
        <v>-218.42</v>
      </c>
      <c r="R1209" s="2">
        <v>1239.3900000000001</v>
      </c>
      <c r="T1209" s="1">
        <f t="shared" si="44"/>
        <v>-1020.9700000000001</v>
      </c>
    </row>
    <row r="1210" spans="1:22" x14ac:dyDescent="0.25">
      <c r="A1210" t="s">
        <v>1355</v>
      </c>
      <c r="B1210" s="2">
        <v>4343.87</v>
      </c>
      <c r="F1210" s="2">
        <v>42842.92</v>
      </c>
      <c r="G1210" s="2">
        <v>-737.98</v>
      </c>
      <c r="N1210" s="2">
        <v>254619.54</v>
      </c>
      <c r="O1210" s="3">
        <f t="shared" si="42"/>
        <v>195909.9</v>
      </c>
      <c r="P1210" s="2">
        <v>-46.65</v>
      </c>
      <c r="Q1210" s="2">
        <v>-17.8</v>
      </c>
      <c r="S1210" s="2">
        <v>907.08</v>
      </c>
      <c r="T1210" s="1">
        <f t="shared" si="44"/>
        <v>971.53</v>
      </c>
      <c r="U1210" s="2">
        <v>255526.62</v>
      </c>
      <c r="V1210" s="3">
        <f>U1210-P1210-N1210-Q1210-R1210+N1210-I1211-G1211-F1211-D1210-E1210-B1210-M1209-R1209-R1208-Q1209-Q1208-P1208-P1209-K1210-K1209-I1209-G1209-F1209-E1209-E1208-B1209-B1208-M1208-D1208-D1209-M1210-H1209-C1208-H1211-K1211-C1209-L1208-L1209-L1210-F1210-G1210-J1209-H1210</f>
        <v>-2.5011104298755527E-11</v>
      </c>
    </row>
    <row r="1211" spans="1:22" x14ac:dyDescent="0.25">
      <c r="A1211" t="s">
        <v>1356</v>
      </c>
      <c r="B1211" s="56">
        <v>8790.09</v>
      </c>
      <c r="F1211" s="2">
        <v>54779.98</v>
      </c>
      <c r="G1211" s="2">
        <v>-414.21000000000004</v>
      </c>
      <c r="N1211" s="56">
        <v>80022.05</v>
      </c>
      <c r="O1211" s="3">
        <f t="shared" si="42"/>
        <v>1.0913936421275139E-11</v>
      </c>
      <c r="P1211" s="56">
        <v>-187.15</v>
      </c>
      <c r="Q1211" s="56">
        <v>-8.9</v>
      </c>
      <c r="S1211" s="56">
        <v>-196.05</v>
      </c>
      <c r="T1211" s="1">
        <f t="shared" si="44"/>
        <v>0</v>
      </c>
      <c r="U1211" s="56">
        <v>79826</v>
      </c>
      <c r="V1211" s="1">
        <f>U1211-P1211-N1211-Q1211-R1211+N1211-I1212-G1212-F1212-D1211-E1211-B1211-K1212-M1211-H1212-C1211-L1211-J1211</f>
        <v>-5.9117155615240335E-12</v>
      </c>
    </row>
    <row r="1212" spans="1:22" x14ac:dyDescent="0.25">
      <c r="A1212" t="s">
        <v>1357</v>
      </c>
      <c r="B1212" s="37">
        <v>15437.300000000001</v>
      </c>
      <c r="F1212" s="56">
        <v>72127.33</v>
      </c>
      <c r="G1212" s="56">
        <v>-312.96999999999997</v>
      </c>
      <c r="H1212" s="56">
        <v>-779.69</v>
      </c>
      <c r="I1212" s="56">
        <v>197.29</v>
      </c>
      <c r="N1212" s="37">
        <v>81206.789999999994</v>
      </c>
      <c r="O1212" s="3">
        <f t="shared" si="42"/>
        <v>-1.2732925824820995E-11</v>
      </c>
      <c r="P1212" s="37">
        <v>-102.91</v>
      </c>
      <c r="S1212" s="37">
        <v>-102.91</v>
      </c>
      <c r="T1212" s="1">
        <f t="shared" si="44"/>
        <v>0</v>
      </c>
      <c r="U1212" s="37">
        <v>81103.88</v>
      </c>
      <c r="V1212" s="1">
        <f>U1212-P1212-N1212-Q1212-R1212+N1212-I1213-G1213-F1213-D1212-E1212-B1212-K1213-M1212-H1213-C1212-L1212-J1212</f>
        <v>1.8189894035458565E-12</v>
      </c>
    </row>
    <row r="1213" spans="1:22" x14ac:dyDescent="0.25">
      <c r="A1213" t="s">
        <v>1358</v>
      </c>
      <c r="B1213" s="33">
        <v>8475.99</v>
      </c>
      <c r="F1213" s="37">
        <v>75484.47</v>
      </c>
      <c r="G1213" s="37">
        <v>-9505.98</v>
      </c>
      <c r="H1213" s="37">
        <v>-209</v>
      </c>
      <c r="O1213" s="3">
        <f t="shared" si="42"/>
        <v>-65426.350000000006</v>
      </c>
      <c r="P1213" s="33">
        <v>-137.83000000000001</v>
      </c>
      <c r="Q1213" s="33">
        <v>-23.18</v>
      </c>
      <c r="T1213" s="1">
        <f t="shared" si="44"/>
        <v>161.01000000000002</v>
      </c>
    </row>
    <row r="1214" spans="1:22" x14ac:dyDescent="0.25">
      <c r="A1214" t="s">
        <v>1359</v>
      </c>
      <c r="B1214" s="33">
        <v>10916.49</v>
      </c>
      <c r="E1214" s="33">
        <v>178.25</v>
      </c>
      <c r="F1214" s="33">
        <v>59253.700000000004</v>
      </c>
      <c r="G1214" s="33">
        <v>-2732.7999999999997</v>
      </c>
      <c r="H1214" s="33">
        <v>-235.14</v>
      </c>
      <c r="I1214" s="33">
        <v>664.6</v>
      </c>
      <c r="N1214" s="33">
        <v>170609.38</v>
      </c>
      <c r="O1214" s="3">
        <f t="shared" si="42"/>
        <v>65426.350000000013</v>
      </c>
      <c r="P1214" s="33">
        <v>-50.93</v>
      </c>
      <c r="S1214" s="33">
        <v>-211.94</v>
      </c>
      <c r="T1214" s="1">
        <f t="shared" si="44"/>
        <v>-161.01</v>
      </c>
      <c r="U1214" s="33">
        <v>170397.44</v>
      </c>
    </row>
    <row r="1215" spans="1:22" x14ac:dyDescent="0.25">
      <c r="A1215" t="s">
        <v>1360</v>
      </c>
      <c r="B1215" s="39">
        <v>14004.960000000001</v>
      </c>
      <c r="E1215" s="39">
        <v>150.04</v>
      </c>
      <c r="F1215" s="33">
        <v>99051.11</v>
      </c>
      <c r="G1215" s="33">
        <v>-4565.63</v>
      </c>
      <c r="H1215" s="33">
        <v>-405.2</v>
      </c>
      <c r="I1215" s="33">
        <v>8.01</v>
      </c>
      <c r="O1215" s="3">
        <f t="shared" si="42"/>
        <v>-76313.170000000013</v>
      </c>
      <c r="P1215" s="39">
        <v>-78.45</v>
      </c>
      <c r="T1215" s="1">
        <f t="shared" si="44"/>
        <v>78.45</v>
      </c>
    </row>
    <row r="1216" spans="1:22" x14ac:dyDescent="0.25">
      <c r="A1216" t="s">
        <v>1361</v>
      </c>
      <c r="B1216" s="39">
        <v>8220.34</v>
      </c>
      <c r="F1216" s="39">
        <v>64106.69</v>
      </c>
      <c r="G1216" s="39">
        <v>-1691.21</v>
      </c>
      <c r="H1216" s="39">
        <v>-382.55999999999995</v>
      </c>
      <c r="I1216" s="39">
        <v>125.25</v>
      </c>
      <c r="M1216" s="39">
        <v>73375.5</v>
      </c>
      <c r="O1216" s="3">
        <f t="shared" si="42"/>
        <v>-125804.13</v>
      </c>
      <c r="P1216" s="39">
        <v>-151.96</v>
      </c>
      <c r="Q1216" s="39">
        <v>-6.68</v>
      </c>
      <c r="R1216" s="39">
        <v>26684.07</v>
      </c>
      <c r="T1216" s="1">
        <f t="shared" si="44"/>
        <v>-26525.43</v>
      </c>
    </row>
    <row r="1217" spans="1:22" x14ac:dyDescent="0.25">
      <c r="A1217" t="s">
        <v>1362</v>
      </c>
      <c r="B1217" s="39">
        <v>3381.3799999999997</v>
      </c>
      <c r="F1217" s="39">
        <v>44314.03</v>
      </c>
      <c r="G1217" s="39">
        <v>-105.74</v>
      </c>
      <c r="N1217" s="39">
        <v>258754.26</v>
      </c>
      <c r="O1217" s="3">
        <f t="shared" si="42"/>
        <v>202117.3</v>
      </c>
      <c r="P1217" s="39">
        <v>-161.01</v>
      </c>
      <c r="S1217" s="39">
        <v>26285.97</v>
      </c>
      <c r="T1217" s="1">
        <f t="shared" si="44"/>
        <v>26446.98</v>
      </c>
      <c r="U1217" s="39">
        <v>285040.23</v>
      </c>
      <c r="V1217" s="3">
        <f>U1217-P1217-N1217-Q1217-R1217+N1217-I1218-G1218-F1218-D1217-E1217-B1217-M1216-R1216-R1215-Q1216-Q1215-P1215-P1216-K1217-K1216-I1216-G1216-F1216-E1216-E1215-B1216-B1215-M1215-D1215-D1216-M1217-H1216-C1215-H1218-K1218-C1216-L1215-L1216-L1217-F1217-G1217-J1216-H1217</f>
        <v>-2.7071678232459817E-11</v>
      </c>
    </row>
    <row r="1218" spans="1:22" x14ac:dyDescent="0.25">
      <c r="A1218" t="s">
        <v>1363</v>
      </c>
      <c r="B1218" s="30">
        <v>12472.67</v>
      </c>
      <c r="F1218" s="126">
        <v>54787.63</v>
      </c>
      <c r="G1218" s="39">
        <v>-1532.05</v>
      </c>
      <c r="N1218" s="30">
        <v>85257.51</v>
      </c>
      <c r="O1218" s="3">
        <f t="shared" si="42"/>
        <v>-1.8189894035458565E-12</v>
      </c>
      <c r="P1218" s="30">
        <v>-58.27</v>
      </c>
      <c r="Q1218" s="30">
        <v>-6.67</v>
      </c>
      <c r="S1218" s="30">
        <v>-64.94</v>
      </c>
      <c r="T1218" s="1">
        <f t="shared" si="44"/>
        <v>0</v>
      </c>
      <c r="U1218" s="30">
        <v>85192.57</v>
      </c>
      <c r="V1218" s="1">
        <f>U1218-P1218-N1218-Q1218-R1218+N1218-I1219-G1219-F1219-D1218-E1218-B1218-K1219-M1218-H1219-C1218-L1218-J1218</f>
        <v>1.4495071809506044E-11</v>
      </c>
    </row>
    <row r="1219" spans="1:22" x14ac:dyDescent="0.25">
      <c r="A1219" t="s">
        <v>1364</v>
      </c>
      <c r="B1219" s="127">
        <v>7464.01</v>
      </c>
      <c r="F1219" s="30">
        <v>75207.100000000006</v>
      </c>
      <c r="G1219" s="30">
        <v>-2323.27</v>
      </c>
      <c r="H1219" s="30">
        <v>-338.42</v>
      </c>
      <c r="I1219" s="30">
        <v>239.43</v>
      </c>
      <c r="N1219" s="127">
        <v>110370.67</v>
      </c>
      <c r="O1219" s="3">
        <f t="shared" si="42"/>
        <v>9.0949470177292824E-12</v>
      </c>
      <c r="T1219" s="1">
        <f t="shared" si="44"/>
        <v>0</v>
      </c>
      <c r="U1219" s="127">
        <v>110370.67</v>
      </c>
      <c r="V1219" s="1">
        <f>U1219-P1219-N1219-Q1219-R1219+N1219-I1220-G1220-F1220-D1219-E1219-B1219-K1220-M1219-H1220-C1219-L1219-J1219</f>
        <v>1.3073986337985843E-11</v>
      </c>
    </row>
    <row r="1220" spans="1:22" x14ac:dyDescent="0.25">
      <c r="A1220" t="s">
        <v>1365</v>
      </c>
      <c r="B1220" s="62">
        <v>7453.69</v>
      </c>
      <c r="E1220" s="62">
        <v>48.4</v>
      </c>
      <c r="F1220" s="127">
        <v>105044.76999999999</v>
      </c>
      <c r="G1220" s="127">
        <v>-1291.3599999999999</v>
      </c>
      <c r="H1220" s="127">
        <v>-1014.7299999999999</v>
      </c>
      <c r="I1220" s="127">
        <v>167.98</v>
      </c>
      <c r="M1220" s="62">
        <v>20018.990000000002</v>
      </c>
      <c r="N1220" s="62">
        <v>99329.21</v>
      </c>
      <c r="O1220" s="3">
        <f t="shared" si="42"/>
        <v>0</v>
      </c>
      <c r="P1220" s="62">
        <v>-507.06</v>
      </c>
      <c r="R1220" s="62">
        <v>400</v>
      </c>
      <c r="S1220" s="62">
        <v>-107.06</v>
      </c>
      <c r="T1220" s="1">
        <f t="shared" si="44"/>
        <v>0</v>
      </c>
      <c r="U1220" s="62">
        <v>99222.15</v>
      </c>
      <c r="V1220" s="1">
        <f>U1220-P1220-N1220-Q1220-R1220+N1220-I1221-G1221-F1221-D1220-E1220-B1220-K1221-M1220-H1221-C1220-L1220-J1220</f>
        <v>0</v>
      </c>
    </row>
    <row r="1221" spans="1:22" x14ac:dyDescent="0.25">
      <c r="A1221" t="s">
        <v>1366</v>
      </c>
      <c r="B1221" s="89">
        <v>11349.56</v>
      </c>
      <c r="F1221" s="62">
        <v>75605.8</v>
      </c>
      <c r="G1221" s="62">
        <v>-3906.8199999999997</v>
      </c>
      <c r="I1221" s="62">
        <v>109.15</v>
      </c>
      <c r="N1221" s="89">
        <v>80918.490000000005</v>
      </c>
      <c r="O1221" s="3">
        <f t="shared" si="42"/>
        <v>-1.8189894035458565E-12</v>
      </c>
      <c r="P1221" s="89">
        <v>-47.13</v>
      </c>
      <c r="S1221" s="89">
        <v>-47.13</v>
      </c>
      <c r="T1221" s="1">
        <f t="shared" si="44"/>
        <v>0</v>
      </c>
      <c r="U1221" s="89">
        <v>80871.360000000001</v>
      </c>
      <c r="V1221" s="1">
        <f>U1221-P1221-N1221-Q1221-R1221+N1221-I1222-G1222-F1222-D1221-E1221-B1221-K1222-M1221-H1222-C1221-L1221-J1221</f>
        <v>3.4106051316484809E-12</v>
      </c>
    </row>
    <row r="1222" spans="1:22" x14ac:dyDescent="0.25">
      <c r="A1222" t="s">
        <v>1367</v>
      </c>
      <c r="B1222" s="127">
        <v>11674.900000000001</v>
      </c>
      <c r="F1222" s="89">
        <v>71570.53</v>
      </c>
      <c r="G1222" s="89">
        <v>-1265.0900000000001</v>
      </c>
      <c r="H1222" s="89">
        <v>-736.51</v>
      </c>
      <c r="O1222" s="3">
        <f t="shared" si="42"/>
        <v>-86561.709999999992</v>
      </c>
      <c r="P1222" s="127">
        <v>-115.3</v>
      </c>
      <c r="T1222" s="1">
        <f t="shared" si="44"/>
        <v>115.3</v>
      </c>
    </row>
    <row r="1223" spans="1:22" x14ac:dyDescent="0.25">
      <c r="A1223" t="s">
        <v>1368</v>
      </c>
      <c r="B1223" s="127">
        <v>7820.25</v>
      </c>
      <c r="E1223" s="127">
        <v>32.86</v>
      </c>
      <c r="F1223" s="127">
        <v>77533.8</v>
      </c>
      <c r="G1223" s="127">
        <v>-2524.4900000000002</v>
      </c>
      <c r="H1223" s="127">
        <v>-122.5</v>
      </c>
      <c r="M1223" s="127">
        <v>26833.73</v>
      </c>
      <c r="O1223" s="3">
        <f t="shared" si="42"/>
        <v>-77584.62000000001</v>
      </c>
      <c r="P1223" s="127">
        <v>-399.41</v>
      </c>
      <c r="R1223" s="127">
        <v>1449.18</v>
      </c>
      <c r="T1223" s="1">
        <f t="shared" si="44"/>
        <v>-1049.77</v>
      </c>
    </row>
    <row r="1224" spans="1:22" x14ac:dyDescent="0.25">
      <c r="A1224" t="s">
        <v>1369</v>
      </c>
      <c r="B1224" s="127">
        <v>3207.6400000000003</v>
      </c>
      <c r="E1224" s="127">
        <v>42.46</v>
      </c>
      <c r="F1224" s="127">
        <v>51762.16</v>
      </c>
      <c r="G1224" s="127">
        <v>-8864.3799999999992</v>
      </c>
      <c r="N1224" s="127">
        <v>233619.04</v>
      </c>
      <c r="O1224" s="3">
        <f t="shared" si="42"/>
        <v>164146.33000000002</v>
      </c>
      <c r="P1224" s="127">
        <v>-69.290000000000006</v>
      </c>
      <c r="S1224" s="127">
        <v>865.18</v>
      </c>
      <c r="T1224" s="1">
        <f t="shared" si="44"/>
        <v>934.46999999999991</v>
      </c>
      <c r="U1224" s="127">
        <v>234484.22</v>
      </c>
      <c r="V1224" s="3">
        <f>U1224-P1224-N1224-Q1224-R1224+N1224-I1225-G1225-F1225-D1224-E1224-B1224-M1223-R1223-R1222-Q1223-Q1222-P1222-P1223-K1224-K1223-I1223-G1223-F1223-E1223-E1222-B1223-B1222-M1222-D1222-D1223-M1224-H1223-C1222-H1225-K1225-C1223-L1222-L1223-L1224-F1224-G1224-J1223-H1224</f>
        <v>-2.7284841053187847E-11</v>
      </c>
    </row>
    <row r="1225" spans="1:22" x14ac:dyDescent="0.25">
      <c r="A1225" t="s">
        <v>1370</v>
      </c>
      <c r="B1225" s="115">
        <v>7705.34</v>
      </c>
      <c r="F1225" s="127">
        <v>68297.25</v>
      </c>
      <c r="G1225" s="127">
        <v>-2028.59</v>
      </c>
      <c r="H1225" s="127">
        <v>-824.39</v>
      </c>
      <c r="I1225" s="127">
        <v>778.34</v>
      </c>
      <c r="N1225" s="115">
        <v>98879.64</v>
      </c>
      <c r="O1225" s="3">
        <f t="shared" si="42"/>
        <v>-3.637978807091713E-12</v>
      </c>
      <c r="P1225" s="115">
        <v>-694.27</v>
      </c>
      <c r="S1225" s="115">
        <v>-694.27</v>
      </c>
      <c r="T1225" s="1">
        <f t="shared" si="44"/>
        <v>0</v>
      </c>
      <c r="U1225" s="115">
        <v>98185.37</v>
      </c>
      <c r="V1225" s="1">
        <f>U1225-P1225-N1225-Q1225-R1225+N1225-I1226-G1226-F1226-D1225-E1225-B1225-K1226-M1225-H1226-C1225-L1225-J1225</f>
        <v>-7.2759576141834259E-12</v>
      </c>
    </row>
    <row r="1226" spans="1:22" x14ac:dyDescent="0.25">
      <c r="A1226" t="s">
        <v>1371</v>
      </c>
      <c r="B1226" s="56">
        <v>9097.4</v>
      </c>
      <c r="F1226" s="115">
        <v>93800.28</v>
      </c>
      <c r="G1226" s="115">
        <v>-187.87</v>
      </c>
      <c r="H1226" s="115">
        <v>-2712.91</v>
      </c>
      <c r="I1226" s="115">
        <v>274.79999999999995</v>
      </c>
      <c r="N1226" s="56">
        <v>88430.83</v>
      </c>
      <c r="O1226" s="3">
        <f t="shared" si="42"/>
        <v>9.0949470177292824E-12</v>
      </c>
      <c r="P1226" s="56">
        <v>-21.41</v>
      </c>
      <c r="S1226" s="56">
        <v>-21.41</v>
      </c>
      <c r="T1226" s="1">
        <f t="shared" si="44"/>
        <v>0</v>
      </c>
      <c r="U1226" s="56">
        <v>88409.42</v>
      </c>
      <c r="V1226" s="1">
        <f>U1226-P1226-N1226-Q1226-R1226+N1226-I1227-G1227-F1227-D1226-E1226-B1226-K1227-M1226-H1227-C1226-L1226-J1226</f>
        <v>9.0949470177292824E-12</v>
      </c>
    </row>
    <row r="1227" spans="1:22" x14ac:dyDescent="0.25">
      <c r="A1227" t="s">
        <v>1372</v>
      </c>
      <c r="B1227" s="90">
        <v>8508.7100000000009</v>
      </c>
      <c r="F1227" s="56">
        <v>81577.56</v>
      </c>
      <c r="G1227" s="56">
        <v>-2342.2700000000004</v>
      </c>
      <c r="I1227" s="56">
        <v>98.14</v>
      </c>
      <c r="N1227" s="90">
        <v>59718.14</v>
      </c>
      <c r="O1227" s="3">
        <f t="shared" si="42"/>
        <v>-9.0949470177292824E-12</v>
      </c>
      <c r="P1227" s="90">
        <v>-17.649999999999999</v>
      </c>
      <c r="S1227" s="90">
        <v>-17.649999999999999</v>
      </c>
      <c r="T1227" s="1">
        <f t="shared" si="44"/>
        <v>0</v>
      </c>
      <c r="U1227" s="90">
        <v>59700.49</v>
      </c>
      <c r="V1227" s="1">
        <f>U1227-P1227-N1227-Q1227-R1227+N1227-I1228-G1228-F1228-D1227-E1227-B1227-K1228-M1227-H1228-C1227-L1227-J1227</f>
        <v>-6.2527760746888816E-12</v>
      </c>
    </row>
    <row r="1228" spans="1:22" x14ac:dyDescent="0.25">
      <c r="A1228" t="s">
        <v>1373</v>
      </c>
      <c r="B1228" s="6">
        <v>7239.8</v>
      </c>
      <c r="F1228" s="90">
        <v>67201.75</v>
      </c>
      <c r="G1228" s="90">
        <v>-15276.87</v>
      </c>
      <c r="H1228" s="90">
        <v>-715.44999999999993</v>
      </c>
      <c r="N1228" s="6">
        <v>79249.41</v>
      </c>
      <c r="O1228" s="3">
        <f t="shared" si="42"/>
        <v>1.7280399333685637E-11</v>
      </c>
      <c r="P1228" s="6">
        <v>-420.58</v>
      </c>
      <c r="S1228" s="6">
        <v>-420.58</v>
      </c>
      <c r="T1228" s="1">
        <f t="shared" si="44"/>
        <v>0</v>
      </c>
      <c r="U1228" s="6">
        <v>78828.83</v>
      </c>
      <c r="V1228" s="1">
        <f>U1228-P1228-N1228-Q1228-R1228+N1228-I1229-G1229-F1229-D1228-E1228-B1228-K1229-M1228-H1229-C1228-L1228-J1228</f>
        <v>1.1368683772161603E-11</v>
      </c>
    </row>
    <row r="1229" spans="1:22" x14ac:dyDescent="0.25">
      <c r="A1229" t="s">
        <v>1374</v>
      </c>
      <c r="B1229" s="72">
        <v>11609.710000000001</v>
      </c>
      <c r="F1229" s="6">
        <v>74773.64</v>
      </c>
      <c r="G1229" s="6">
        <v>-669.74</v>
      </c>
      <c r="H1229" s="6">
        <v>-2332.35</v>
      </c>
      <c r="I1229" s="6">
        <v>238.06</v>
      </c>
      <c r="O1229" s="3">
        <f t="shared" si="42"/>
        <v>-84706.23000000001</v>
      </c>
      <c r="P1229" s="72">
        <v>-299.76</v>
      </c>
      <c r="T1229" s="1">
        <f t="shared" si="44"/>
        <v>299.76</v>
      </c>
    </row>
    <row r="1230" spans="1:22" x14ac:dyDescent="0.25">
      <c r="A1230" t="s">
        <v>1375</v>
      </c>
      <c r="B1230" s="72">
        <v>6614.64</v>
      </c>
      <c r="F1230" s="72">
        <v>73367.790000000008</v>
      </c>
      <c r="G1230" s="72">
        <v>-351.45</v>
      </c>
      <c r="H1230" s="72">
        <v>-13.58</v>
      </c>
      <c r="I1230" s="72">
        <v>93.759999999999991</v>
      </c>
      <c r="M1230" s="72">
        <v>37237.129999999997</v>
      </c>
      <c r="O1230" s="3">
        <f t="shared" si="42"/>
        <v>-92724.85</v>
      </c>
      <c r="P1230" s="72">
        <v>-298.95</v>
      </c>
      <c r="R1230" s="72">
        <v>932.23</v>
      </c>
      <c r="T1230" s="1">
        <f t="shared" si="44"/>
        <v>-633.28</v>
      </c>
    </row>
    <row r="1231" spans="1:22" x14ac:dyDescent="0.25">
      <c r="A1231" t="s">
        <v>1376</v>
      </c>
      <c r="B1231" s="72">
        <v>5104.88</v>
      </c>
      <c r="F1231" s="72">
        <v>49316.880000000005</v>
      </c>
      <c r="G1231" s="72">
        <v>-261.52</v>
      </c>
      <c r="H1231" s="72">
        <v>-182.28</v>
      </c>
      <c r="N1231" s="72">
        <v>226799.22</v>
      </c>
      <c r="O1231" s="3">
        <f t="shared" si="42"/>
        <v>177431.08000000002</v>
      </c>
      <c r="P1231" s="72">
        <v>-92.35</v>
      </c>
      <c r="S1231" s="72">
        <v>-241.17</v>
      </c>
      <c r="T1231" s="1">
        <f t="shared" si="44"/>
        <v>-148.82</v>
      </c>
      <c r="U1231" s="72">
        <v>227040.39</v>
      </c>
      <c r="V1231" s="3">
        <f>U1231-P1231-N1231-Q1231-R1231+N1231-I1232-G1232-F1232-D1231-E1231-B1231-M1230-R1230-R1229-Q1230-Q1229-P1229-P1230-K1231-K1230-I1230-G1230-F1230-E1230-E1229-B1230-B1229-M1229-D1229-D1230-M1231-H1230-C1229-H1232-K1232-C1230-L1229-L1230-L1231-F1231-G1231-J1230-H1231</f>
        <v>3.3452351999585517E-11</v>
      </c>
    </row>
    <row r="1232" spans="1:22" x14ac:dyDescent="0.25">
      <c r="A1232" t="s">
        <v>1377</v>
      </c>
      <c r="B1232" s="57">
        <v>2957.98</v>
      </c>
      <c r="C1232" s="57">
        <v>-76</v>
      </c>
      <c r="E1232" s="57">
        <v>0.76</v>
      </c>
      <c r="F1232" s="72">
        <v>45481.72</v>
      </c>
      <c r="G1232" s="72">
        <v>-1278.1699999999998</v>
      </c>
      <c r="I1232" s="72">
        <v>59.71</v>
      </c>
      <c r="N1232" s="57">
        <v>80604.14</v>
      </c>
      <c r="O1232" s="3">
        <f t="shared" si="42"/>
        <v>5.0022208597511053E-12</v>
      </c>
      <c r="P1232" s="57">
        <v>-322.60000000000002</v>
      </c>
      <c r="S1232" s="57">
        <v>-322.60000000000002</v>
      </c>
      <c r="T1232" s="1">
        <f t="shared" si="44"/>
        <v>0</v>
      </c>
      <c r="U1232" s="57">
        <v>80281.539999999994</v>
      </c>
      <c r="V1232" s="1">
        <f>U1232-P1232-N1232-Q1232-R1232+N1232-I1233-G1233-F1233-D1232-E1232-B1232-K1233-M1232-H1233-C1232-L1232-J1232</f>
        <v>-8.5265128291212022E-13</v>
      </c>
    </row>
    <row r="1233" spans="1:22" x14ac:dyDescent="0.25">
      <c r="A1233" t="s">
        <v>1378</v>
      </c>
      <c r="B1233" s="105">
        <v>8694.76</v>
      </c>
      <c r="F1233" s="57">
        <v>80377.36</v>
      </c>
      <c r="G1233" s="57">
        <v>-2403.6099999999997</v>
      </c>
      <c r="H1233" s="57">
        <v>-252.34999999999997</v>
      </c>
      <c r="N1233" s="105">
        <v>59851.81</v>
      </c>
      <c r="O1233" s="3">
        <f t="shared" si="42"/>
        <v>1.8189894035458565E-12</v>
      </c>
      <c r="P1233" s="105">
        <v>-1</v>
      </c>
      <c r="S1233" s="105">
        <v>-1</v>
      </c>
      <c r="T1233" s="1">
        <f t="shared" si="44"/>
        <v>0</v>
      </c>
      <c r="U1233" s="105">
        <v>59850.81</v>
      </c>
      <c r="V1233" s="1">
        <f>U1233-P1233-N1233-Q1233-R1233+N1233-I1234-G1234-F1234-D1233-E1233-B1233-K1234-M1233-H1234-C1233-L1233-J1233</f>
        <v>-4.5758952182950452E-12</v>
      </c>
    </row>
    <row r="1234" spans="1:22" x14ac:dyDescent="0.25">
      <c r="A1234" t="s">
        <v>1379</v>
      </c>
      <c r="B1234" s="5">
        <v>10894.31</v>
      </c>
      <c r="E1234" s="5">
        <v>1.71</v>
      </c>
      <c r="F1234" s="105">
        <v>62052.32</v>
      </c>
      <c r="G1234" s="105">
        <v>-10816.06</v>
      </c>
      <c r="H1234" s="105">
        <v>-79.210000000000008</v>
      </c>
      <c r="N1234" s="5">
        <v>80197.7</v>
      </c>
      <c r="O1234" s="3">
        <f t="shared" si="42"/>
        <v>5.4569682106375694E-12</v>
      </c>
      <c r="P1234" s="5">
        <v>-527.66</v>
      </c>
      <c r="S1234" s="5">
        <v>-527.66</v>
      </c>
      <c r="T1234" s="1">
        <f t="shared" si="44"/>
        <v>0</v>
      </c>
      <c r="U1234" s="5">
        <v>79670.039999999994</v>
      </c>
      <c r="V1234" s="1">
        <f>U1234-P1234-N1234-Q1234-R1234+N1234-I1235-G1235-F1235-D1234-E1234-B1234-K1235-M1234-H1235-C1234-L1234-J1234</f>
        <v>-1.5276668818842154E-12</v>
      </c>
    </row>
    <row r="1235" spans="1:22" x14ac:dyDescent="0.25">
      <c r="A1235" t="s">
        <v>1380</v>
      </c>
      <c r="B1235" s="5">
        <v>7431.45</v>
      </c>
      <c r="F1235" s="5">
        <v>73046.95</v>
      </c>
      <c r="G1235" s="5">
        <v>-3704.7</v>
      </c>
      <c r="H1235" s="5">
        <v>-40.57</v>
      </c>
      <c r="N1235" s="5">
        <v>116430.6</v>
      </c>
      <c r="O1235" s="3">
        <f t="shared" si="42"/>
        <v>2.6375346351414919E-11</v>
      </c>
      <c r="P1235" s="5">
        <v>-100.81</v>
      </c>
      <c r="S1235" s="5">
        <v>-100.81</v>
      </c>
      <c r="T1235" s="1">
        <f t="shared" si="44"/>
        <v>0</v>
      </c>
      <c r="U1235" s="5">
        <v>116329.79</v>
      </c>
      <c r="V1235" s="1">
        <f>U1235-P1235-N1235-Q1235-R1235+N1235-I1236-G1236-F1236-D1235-E1235-B1235-K1236-M1235-H1236-C1235-L1235-J1235</f>
        <v>6.5938365878537297E-12</v>
      </c>
    </row>
    <row r="1236" spans="1:22" x14ac:dyDescent="0.25">
      <c r="A1236" t="s">
        <v>1381</v>
      </c>
      <c r="B1236" s="2">
        <v>6664.08</v>
      </c>
      <c r="F1236" s="5">
        <v>113188.26</v>
      </c>
      <c r="G1236" s="5">
        <v>-3937.21</v>
      </c>
      <c r="H1236" s="5">
        <v>-278.74</v>
      </c>
      <c r="I1236" s="5">
        <v>26.84</v>
      </c>
      <c r="O1236" s="3">
        <f t="shared" si="42"/>
        <v>-94179.8</v>
      </c>
      <c r="P1236" s="2">
        <v>-381.16</v>
      </c>
      <c r="T1236" s="1">
        <f t="shared" si="44"/>
        <v>381.16</v>
      </c>
    </row>
    <row r="1237" spans="1:22" x14ac:dyDescent="0.25">
      <c r="A1237" t="s">
        <v>1382</v>
      </c>
      <c r="B1237" s="2">
        <v>6515.8</v>
      </c>
      <c r="E1237" s="2">
        <v>4.72</v>
      </c>
      <c r="F1237" s="2">
        <v>88065.96</v>
      </c>
      <c r="G1237" s="2">
        <v>-551.81000000000006</v>
      </c>
      <c r="H1237" s="2">
        <v>-87.59</v>
      </c>
      <c r="I1237" s="2">
        <v>89.16</v>
      </c>
      <c r="M1237" s="2">
        <v>20182.3</v>
      </c>
      <c r="O1237" s="3">
        <f t="shared" ref="O1237:O1300" si="45">N1237-K1238-I1238-H1238-G1238-F1238-E1237-D1237-C1237-B1237-M1237-L1237-J1237</f>
        <v>-65661.740000000005</v>
      </c>
      <c r="P1237" s="2">
        <v>-12.27</v>
      </c>
      <c r="R1237" s="2">
        <v>1265.3699999999999</v>
      </c>
      <c r="T1237" s="1">
        <f t="shared" si="44"/>
        <v>-1253.0999999999999</v>
      </c>
    </row>
    <row r="1238" spans="1:22" x14ac:dyDescent="0.25">
      <c r="A1238" t="s">
        <v>1383</v>
      </c>
      <c r="B1238" s="2">
        <v>2386.1799999999998</v>
      </c>
      <c r="F1238" s="2">
        <v>39807.81</v>
      </c>
      <c r="G1238" s="2">
        <v>-848.89</v>
      </c>
      <c r="N1238" s="2">
        <v>200944.21</v>
      </c>
      <c r="O1238" s="3">
        <f t="shared" si="45"/>
        <v>159841.54</v>
      </c>
      <c r="P1238" s="2">
        <v>-90.56</v>
      </c>
      <c r="S1238" s="2">
        <v>781.38</v>
      </c>
      <c r="T1238" s="1">
        <f t="shared" si="44"/>
        <v>871.94</v>
      </c>
      <c r="U1238" s="2">
        <v>201725.59</v>
      </c>
      <c r="V1238" s="3">
        <f>U1238-P1238-N1238-Q1238-R1238+N1238-I1239-G1239-F1239-D1238-E1238-B1238-M1237-R1237-R1236-Q1237-Q1236-P1236-P1237-K1238-K1237-I1237-G1237-F1237-E1237-E1236-B1237-B1236-M1236-D1236-D1237-M1238-H1237-C1236-H1239-K1239-C1237-L1236-L1237-L1238-F1238-G1238-J1237-H1238</f>
        <v>5.6843418860808015E-13</v>
      </c>
    </row>
    <row r="1239" spans="1:22" x14ac:dyDescent="0.25">
      <c r="A1239" t="s">
        <v>1384</v>
      </c>
      <c r="B1239" s="103">
        <v>12007.550000000001</v>
      </c>
      <c r="E1239" s="103">
        <v>1.1299999999999999</v>
      </c>
      <c r="F1239" s="2">
        <v>38719.620000000003</v>
      </c>
      <c r="G1239" s="2">
        <v>-1748.5700000000002</v>
      </c>
      <c r="I1239" s="2">
        <v>1745.4399999999998</v>
      </c>
      <c r="N1239" s="103">
        <v>114064.37</v>
      </c>
      <c r="O1239" s="3">
        <f t="shared" si="45"/>
        <v>7.2759576141834259E-12</v>
      </c>
      <c r="P1239" s="103">
        <v>-589.14</v>
      </c>
      <c r="S1239" s="103">
        <v>-589.14</v>
      </c>
      <c r="T1239" s="1">
        <f t="shared" si="44"/>
        <v>0</v>
      </c>
      <c r="U1239" s="103">
        <v>113475.23</v>
      </c>
      <c r="V1239" s="1">
        <f>U1239-P1239-N1239-Q1239-R1239+N1239-I1240-G1240-F1240-D1239-E1239-B1239-K1240-M1239-H1240-C1239-L1239-J1239</f>
        <v>8.8107299234252423E-13</v>
      </c>
    </row>
    <row r="1240" spans="1:22" x14ac:dyDescent="0.25">
      <c r="A1240" t="s">
        <v>1385</v>
      </c>
      <c r="B1240" s="47">
        <v>10281.120000000001</v>
      </c>
      <c r="F1240" s="103">
        <v>102489.44</v>
      </c>
      <c r="G1240" s="103">
        <v>-430.05</v>
      </c>
      <c r="H1240" s="103">
        <v>-146.21</v>
      </c>
      <c r="I1240" s="103">
        <v>142.51</v>
      </c>
      <c r="N1240" s="47">
        <v>64506.8</v>
      </c>
      <c r="O1240" s="3">
        <f t="shared" si="45"/>
        <v>1.8189894035458565E-12</v>
      </c>
      <c r="P1240" s="47">
        <v>-206.47</v>
      </c>
      <c r="S1240" s="47">
        <v>-206.47</v>
      </c>
      <c r="T1240" s="1">
        <f t="shared" si="44"/>
        <v>0</v>
      </c>
      <c r="U1240" s="47">
        <v>64300.33</v>
      </c>
      <c r="V1240" s="1">
        <f>U1240-P1240-N1240-Q1240-R1240+N1240-I1241-G1241-F1241-D1240-E1240-B1240-K1241-M1240-H1241-C1240-L1240-J1240</f>
        <v>1.8189894035458565E-12</v>
      </c>
    </row>
    <row r="1241" spans="1:22" x14ac:dyDescent="0.25">
      <c r="A1241" t="s">
        <v>1386</v>
      </c>
      <c r="B1241" s="7">
        <v>14999.619999999999</v>
      </c>
      <c r="E1241" s="7">
        <v>5.05</v>
      </c>
      <c r="F1241" s="47">
        <v>56124.51</v>
      </c>
      <c r="G1241" s="47">
        <v>-1938.89</v>
      </c>
      <c r="I1241" s="47">
        <v>40.06</v>
      </c>
      <c r="N1241" s="7">
        <v>86331.67</v>
      </c>
      <c r="O1241" s="3">
        <f t="shared" si="45"/>
        <v>-1.4551915228366852E-11</v>
      </c>
      <c r="P1241" s="7">
        <v>-0.25</v>
      </c>
      <c r="S1241" s="7">
        <v>-0.25</v>
      </c>
      <c r="T1241" s="1">
        <f t="shared" si="44"/>
        <v>0</v>
      </c>
      <c r="U1241" s="7">
        <v>86331.42</v>
      </c>
      <c r="V1241" s="1">
        <f>U1241-P1241-N1241-Q1241-R1241+N1241-I1242-G1242-F1242-D1241-E1241-B1241-K1242-M1241-H1242-C1241-L1241-J1241</f>
        <v>-8.7254647951340303E-12</v>
      </c>
    </row>
    <row r="1242" spans="1:22" x14ac:dyDescent="0.25">
      <c r="A1242" t="s">
        <v>1387</v>
      </c>
      <c r="B1242" s="37">
        <v>9651.25</v>
      </c>
      <c r="E1242" s="37">
        <v>101.04</v>
      </c>
      <c r="F1242" s="7">
        <v>76039.19</v>
      </c>
      <c r="G1242" s="7">
        <v>-4613.79</v>
      </c>
      <c r="H1242" s="7">
        <v>-98.4</v>
      </c>
      <c r="N1242" s="37">
        <v>71042.44</v>
      </c>
      <c r="O1242" s="3">
        <f t="shared" si="45"/>
        <v>-7.2759576141834259E-12</v>
      </c>
      <c r="P1242" s="37">
        <v>-507.16</v>
      </c>
      <c r="S1242" s="37">
        <v>-507.16</v>
      </c>
      <c r="T1242" s="1">
        <f t="shared" si="44"/>
        <v>0</v>
      </c>
      <c r="U1242" s="37">
        <v>70535.28</v>
      </c>
    </row>
    <row r="1243" spans="1:22" x14ac:dyDescent="0.25">
      <c r="A1243" t="s">
        <v>1388</v>
      </c>
      <c r="B1243" s="128">
        <v>9311.7000000000007</v>
      </c>
      <c r="F1243" s="37">
        <v>66003.820000000007</v>
      </c>
      <c r="G1243" s="37">
        <v>-4179.1500000000005</v>
      </c>
      <c r="H1243" s="37">
        <v>-534.52</v>
      </c>
      <c r="O1243" s="3">
        <f t="shared" si="45"/>
        <v>-95376.260000000009</v>
      </c>
      <c r="P1243" s="128">
        <v>-270.13</v>
      </c>
      <c r="T1243" s="1">
        <f t="shared" si="44"/>
        <v>270.13</v>
      </c>
    </row>
    <row r="1244" spans="1:22" x14ac:dyDescent="0.25">
      <c r="A1244" t="s">
        <v>1389</v>
      </c>
      <c r="B1244" s="128">
        <v>10098.58</v>
      </c>
      <c r="F1244" s="128">
        <v>88500.21</v>
      </c>
      <c r="G1244" s="128">
        <v>-1099</v>
      </c>
      <c r="H1244" s="128">
        <v>-1336.6499999999999</v>
      </c>
      <c r="M1244" s="128">
        <v>42422.84</v>
      </c>
      <c r="O1244" s="3">
        <f t="shared" si="45"/>
        <v>-81232.26999999999</v>
      </c>
      <c r="P1244" s="128">
        <v>-494.24</v>
      </c>
      <c r="R1244" s="128">
        <v>31426.01</v>
      </c>
      <c r="T1244" s="1">
        <f t="shared" si="44"/>
        <v>-30931.769999999997</v>
      </c>
    </row>
    <row r="1245" spans="1:22" x14ac:dyDescent="0.25">
      <c r="A1245" t="s">
        <v>1390</v>
      </c>
      <c r="B1245" s="128">
        <v>5146.68</v>
      </c>
      <c r="F1245" s="128">
        <v>29869.82</v>
      </c>
      <c r="G1245" s="128">
        <v>-1158.9699999999998</v>
      </c>
      <c r="O1245" s="3">
        <f t="shared" si="45"/>
        <v>-33719.919999999998</v>
      </c>
      <c r="P1245" s="128">
        <v>-239.22</v>
      </c>
      <c r="T1245" s="1">
        <f t="shared" si="44"/>
        <v>239.22</v>
      </c>
    </row>
    <row r="1246" spans="1:22" x14ac:dyDescent="0.25">
      <c r="A1246" t="s">
        <v>1391</v>
      </c>
      <c r="B1246" s="128">
        <v>3891.68</v>
      </c>
      <c r="F1246" s="128">
        <v>28633.96</v>
      </c>
      <c r="G1246" s="128">
        <v>-153.66999999999999</v>
      </c>
      <c r="I1246" s="128">
        <v>92.95</v>
      </c>
      <c r="N1246" s="128">
        <v>276146.2</v>
      </c>
      <c r="O1246" s="3">
        <f t="shared" si="45"/>
        <v>210328.45000000004</v>
      </c>
      <c r="P1246" s="128">
        <v>-44.84</v>
      </c>
      <c r="S1246" s="128">
        <v>30377.58</v>
      </c>
      <c r="T1246" s="1">
        <f t="shared" si="44"/>
        <v>30422.420000000002</v>
      </c>
      <c r="U1246" s="128">
        <v>306523.78000000003</v>
      </c>
      <c r="V1246" s="3">
        <f>U1246-P1246-N1246-Q1246-R1246+N1246-I1247-G1247-F1247-D1246-E1246-B1246-M1245-R1245-R1244-Q1245-Q1244-P1244-P1245-K1246-K1245-I1245-G1245-F1245-E1245-E1244-B1245-B1244-M1244-D1244-D1245-M1246-H1245-C1244-H1247-K1247-C1245-L1244-L1245-L1246-F1246-G1246-J1245-H1246-B1243-F1244-G1244-H1244-P1243-I1246</f>
        <v>5.6317617236345541E-11</v>
      </c>
    </row>
    <row r="1247" spans="1:22" x14ac:dyDescent="0.25">
      <c r="A1247" t="s">
        <v>1392</v>
      </c>
      <c r="B1247" s="56">
        <v>9810.86</v>
      </c>
      <c r="F1247" s="128">
        <v>62299.22</v>
      </c>
      <c r="G1247" s="128">
        <v>-294.07</v>
      </c>
      <c r="H1247" s="128">
        <v>-79.08</v>
      </c>
      <c r="N1247" s="56">
        <v>65979.7</v>
      </c>
      <c r="O1247" s="3">
        <f t="shared" si="45"/>
        <v>-7.2759576141834259E-12</v>
      </c>
      <c r="P1247" s="56">
        <v>-0.75</v>
      </c>
      <c r="S1247" s="56">
        <v>-0.75</v>
      </c>
      <c r="T1247" s="1">
        <f t="shared" si="44"/>
        <v>0</v>
      </c>
      <c r="U1247" s="56">
        <v>65978.95</v>
      </c>
      <c r="V1247" s="1">
        <f>U1247-P1247-N1247-Q1247-R1247+N1247-I1248-G1248-F1248-D1247-E1247-B1247-K1248-M1247-H1248-C1247-L1247-J1247</f>
        <v>-7.2759576141834259E-12</v>
      </c>
    </row>
    <row r="1248" spans="1:22" x14ac:dyDescent="0.25">
      <c r="A1248" t="s">
        <v>1393</v>
      </c>
      <c r="B1248" s="89">
        <v>15452.24</v>
      </c>
      <c r="F1248" s="56">
        <v>56673.26</v>
      </c>
      <c r="G1248" s="56">
        <v>-504.42</v>
      </c>
      <c r="N1248" s="89">
        <v>97745.86</v>
      </c>
      <c r="O1248" s="3">
        <f t="shared" si="45"/>
        <v>-9.0949470177292824E-12</v>
      </c>
      <c r="P1248" s="89">
        <v>-291.95999999999998</v>
      </c>
      <c r="S1248" s="89">
        <v>-291.95999999999998</v>
      </c>
      <c r="T1248" s="1">
        <f t="shared" si="44"/>
        <v>0</v>
      </c>
      <c r="U1248" s="89">
        <v>97453.9</v>
      </c>
      <c r="V1248" s="1">
        <f>U1248-P1248-N1248-Q1248-R1248+N1248-I1249-G1249-F1249-D1248-E1248-B1248-K1249-M1248-H1249-C1248-L1248-J1248</f>
        <v>-3.2684965844964609E-12</v>
      </c>
    </row>
    <row r="1249" spans="1:22" x14ac:dyDescent="0.25">
      <c r="A1249" t="s">
        <v>1394</v>
      </c>
      <c r="B1249" s="2">
        <v>7580.36</v>
      </c>
      <c r="F1249" s="89">
        <v>82565.55</v>
      </c>
      <c r="G1249" s="89">
        <v>-98.31</v>
      </c>
      <c r="H1249" s="89">
        <v>-178.4</v>
      </c>
      <c r="I1249" s="89">
        <v>4.78</v>
      </c>
      <c r="M1249" s="2">
        <v>8168</v>
      </c>
      <c r="N1249" s="2">
        <v>108329.99</v>
      </c>
      <c r="O1249" s="3">
        <f t="shared" si="45"/>
        <v>9.0949470177292824E-13</v>
      </c>
      <c r="P1249" s="2">
        <v>-523.98</v>
      </c>
      <c r="S1249" s="2">
        <v>-523.98</v>
      </c>
      <c r="T1249" s="1">
        <f t="shared" si="44"/>
        <v>0</v>
      </c>
      <c r="U1249" s="2">
        <v>107806.01</v>
      </c>
      <c r="V1249" s="1">
        <f>U1249-P1249-N1249-Q1249-R1249+N1249-I1250-G1250-F1250-D1249-E1249-B1249-K1250-M1249-H1250-C1249-L1249-J1249</f>
        <v>-1.7735146684572101E-11</v>
      </c>
    </row>
    <row r="1250" spans="1:22" x14ac:dyDescent="0.25">
      <c r="A1250" t="s">
        <v>1395</v>
      </c>
      <c r="B1250" s="90">
        <v>11950.93</v>
      </c>
      <c r="F1250" s="2">
        <v>93892.09</v>
      </c>
      <c r="G1250" s="2">
        <v>-1804.01</v>
      </c>
      <c r="H1250" s="2">
        <v>-160.51999999999998</v>
      </c>
      <c r="I1250" s="2">
        <v>654.06999999999994</v>
      </c>
      <c r="O1250" s="3">
        <f t="shared" si="45"/>
        <v>-108850.56</v>
      </c>
      <c r="P1250" s="90">
        <v>-230.73</v>
      </c>
      <c r="T1250" s="1">
        <f t="shared" si="44"/>
        <v>230.73</v>
      </c>
    </row>
    <row r="1251" spans="1:22" x14ac:dyDescent="0.25">
      <c r="A1251" t="s">
        <v>1396</v>
      </c>
      <c r="B1251" s="90">
        <v>7574.07</v>
      </c>
      <c r="F1251" s="90">
        <v>97024.97</v>
      </c>
      <c r="G1251" s="90">
        <v>-125.34</v>
      </c>
      <c r="M1251" s="90">
        <v>18261.3</v>
      </c>
      <c r="O1251" s="3">
        <f t="shared" si="45"/>
        <v>-65496.47</v>
      </c>
      <c r="P1251" s="90">
        <v>-148.66</v>
      </c>
      <c r="R1251" s="90">
        <v>1200.7</v>
      </c>
      <c r="T1251" s="1">
        <f t="shared" ref="T1251:T1284" si="46">S1251-R1251-Q1251-P1251</f>
        <v>-1052.04</v>
      </c>
    </row>
    <row r="1252" spans="1:22" x14ac:dyDescent="0.25">
      <c r="A1252" t="s">
        <v>1397</v>
      </c>
      <c r="B1252" s="90">
        <v>4686.6799999999994</v>
      </c>
      <c r="E1252" s="90">
        <v>4.18</v>
      </c>
      <c r="F1252" s="90">
        <v>40921.629999999997</v>
      </c>
      <c r="G1252" s="90">
        <v>-1260.53</v>
      </c>
      <c r="M1252" s="90">
        <v>17729.009999999998</v>
      </c>
      <c r="O1252" s="3">
        <f t="shared" si="45"/>
        <v>-74213.009999999995</v>
      </c>
      <c r="P1252" s="90">
        <v>-210.29</v>
      </c>
      <c r="R1252" s="90">
        <v>520</v>
      </c>
      <c r="T1252" s="1">
        <f t="shared" si="46"/>
        <v>-309.71000000000004</v>
      </c>
    </row>
    <row r="1253" spans="1:22" x14ac:dyDescent="0.25">
      <c r="A1253" t="s">
        <v>1398</v>
      </c>
      <c r="B1253" s="90">
        <v>7110.9500000000007</v>
      </c>
      <c r="F1253" s="90">
        <v>51888.659999999996</v>
      </c>
      <c r="G1253" s="90">
        <v>-95.52</v>
      </c>
      <c r="N1253" s="90">
        <v>305961.03000000003</v>
      </c>
      <c r="O1253" s="3">
        <f t="shared" si="45"/>
        <v>248560.04000000004</v>
      </c>
      <c r="S1253" s="90">
        <v>1131.02</v>
      </c>
      <c r="T1253" s="1">
        <f t="shared" si="46"/>
        <v>1131.02</v>
      </c>
      <c r="U1253" s="90">
        <v>307092.05</v>
      </c>
      <c r="V1253" s="3">
        <f>U1253-P1253-N1253-Q1253-R1253+N1253-I1254-G1254-F1254-D1253-E1253-B1253-M1252-R1252-R1251-Q1252-Q1251-P1251-P1252-K1253-K1252-I1252-G1252-F1252-E1252-E1251-B1252-B1251-M1251-D1251-D1252-M1253-H1252-C1251-H1254-K1254-C1252-L1251-L1252-L1253-F1253-G1253-J1252-H1253-B1250-F1251-G1251-H1251-P1250-I1253</f>
        <v>-6.9917405198793858E-12</v>
      </c>
    </row>
    <row r="1254" spans="1:22" x14ac:dyDescent="0.25">
      <c r="A1254" t="s">
        <v>1399</v>
      </c>
      <c r="B1254" s="1">
        <v>10505.699999999999</v>
      </c>
      <c r="F1254" s="90">
        <v>50710.44</v>
      </c>
      <c r="G1254" s="90">
        <v>-680.58999999999992</v>
      </c>
      <c r="I1254" s="90">
        <v>260.19</v>
      </c>
      <c r="N1254" s="1">
        <v>89934.33</v>
      </c>
      <c r="O1254" s="3">
        <f t="shared" si="45"/>
        <v>1.2732925824820995E-11</v>
      </c>
      <c r="P1254" s="1">
        <v>-91.46</v>
      </c>
      <c r="S1254" s="1">
        <v>-91.46</v>
      </c>
      <c r="T1254" s="1">
        <f t="shared" si="46"/>
        <v>0</v>
      </c>
      <c r="U1254" s="1">
        <v>89842.87</v>
      </c>
      <c r="V1254" s="1">
        <f>U1254-P1254-N1254-Q1254-R1254+N1254-I1255-G1255-F1255-D1254-E1254-B1254-K1255-M1254-H1255-C1254-L1254-J1254</f>
        <v>1.2164491636212915E-11</v>
      </c>
    </row>
    <row r="1255" spans="1:22" x14ac:dyDescent="0.25">
      <c r="A1255" t="s">
        <v>1400</v>
      </c>
      <c r="B1255" s="57">
        <v>13794.97</v>
      </c>
      <c r="F1255" s="1">
        <v>83038.59</v>
      </c>
      <c r="G1255" s="1">
        <v>-3531.66</v>
      </c>
      <c r="H1255" s="1">
        <v>-308.36</v>
      </c>
      <c r="I1255" s="1">
        <v>230.06</v>
      </c>
      <c r="N1255" s="57">
        <v>89961.26</v>
      </c>
      <c r="O1255" s="3">
        <f t="shared" si="45"/>
        <v>1.8189894035458565E-12</v>
      </c>
      <c r="P1255" s="57">
        <v>-287.93</v>
      </c>
      <c r="S1255" s="57">
        <v>-287.93</v>
      </c>
      <c r="T1255" s="1">
        <f t="shared" si="46"/>
        <v>0</v>
      </c>
      <c r="U1255" s="57">
        <v>89673.33</v>
      </c>
      <c r="V1255" s="1">
        <f>U1255-P1255-N1255-Q1255-R1255+N1255-I1256-G1256-F1256-D1255-E1255-B1255-K1256-M1255-H1256-C1255-L1255-J1255</f>
        <v>5.2864379540551454E-12</v>
      </c>
    </row>
    <row r="1256" spans="1:22" x14ac:dyDescent="0.25">
      <c r="A1256" t="s">
        <v>1401</v>
      </c>
      <c r="B1256" s="72">
        <v>9996.42</v>
      </c>
      <c r="F1256" s="57">
        <v>77030.75</v>
      </c>
      <c r="G1256" s="57">
        <v>-1182.52</v>
      </c>
      <c r="H1256" s="57">
        <v>-272.33999999999997</v>
      </c>
      <c r="I1256" s="57">
        <v>590.4</v>
      </c>
      <c r="N1256" s="72">
        <v>127883.94</v>
      </c>
      <c r="O1256" s="3">
        <f t="shared" si="45"/>
        <v>-1.8189894035458565E-12</v>
      </c>
      <c r="P1256" s="72">
        <v>-23.62</v>
      </c>
      <c r="S1256" s="72">
        <v>-23.62</v>
      </c>
      <c r="T1256" s="1">
        <f t="shared" si="46"/>
        <v>0</v>
      </c>
      <c r="U1256" s="72">
        <v>127860.32</v>
      </c>
      <c r="V1256" s="1">
        <f>U1256-P1256-N1256-Q1256-R1256+N1256-I1257-G1257-F1257-D1256-E1256-B1256-K1257-M1256-H1257-C1256-L1256-J1256</f>
        <v>-1.8189894035458565E-12</v>
      </c>
    </row>
    <row r="1257" spans="1:22" x14ac:dyDescent="0.25">
      <c r="A1257" t="s">
        <v>1402</v>
      </c>
      <c r="B1257" s="110">
        <v>13177.92</v>
      </c>
      <c r="E1257" s="110">
        <v>401.33</v>
      </c>
      <c r="F1257" s="72">
        <v>119450.68000000001</v>
      </c>
      <c r="G1257" s="72">
        <v>-1427.89</v>
      </c>
      <c r="H1257" s="72">
        <v>-136.25</v>
      </c>
      <c r="I1257" s="72">
        <v>0.98</v>
      </c>
      <c r="O1257" s="3">
        <f t="shared" si="45"/>
        <v>-124059.48000000001</v>
      </c>
      <c r="P1257" s="110">
        <v>-332.3</v>
      </c>
      <c r="T1257" s="1">
        <f t="shared" si="46"/>
        <v>332.3</v>
      </c>
    </row>
    <row r="1258" spans="1:22" x14ac:dyDescent="0.25">
      <c r="A1258" t="s">
        <v>1403</v>
      </c>
      <c r="B1258" s="110">
        <v>9870.7999999999993</v>
      </c>
      <c r="F1258" s="110">
        <v>112580.93000000001</v>
      </c>
      <c r="G1258" s="110">
        <v>-1903.9</v>
      </c>
      <c r="H1258" s="110">
        <v>-196.8</v>
      </c>
      <c r="M1258" s="110">
        <v>19722.16</v>
      </c>
      <c r="O1258" s="3">
        <f t="shared" si="45"/>
        <v>-83032.240000000005</v>
      </c>
      <c r="P1258" s="110">
        <v>-488.61</v>
      </c>
      <c r="R1258" s="110">
        <v>1052.77</v>
      </c>
      <c r="T1258" s="1">
        <f t="shared" si="46"/>
        <v>-564.16</v>
      </c>
    </row>
    <row r="1259" spans="1:22" x14ac:dyDescent="0.25">
      <c r="A1259" t="s">
        <v>1404</v>
      </c>
      <c r="B1259" s="110">
        <v>6548.7699999999995</v>
      </c>
      <c r="E1259" s="110">
        <v>100.2</v>
      </c>
      <c r="F1259" s="110">
        <v>53574.51</v>
      </c>
      <c r="G1259" s="110">
        <v>-76.19</v>
      </c>
      <c r="H1259" s="110">
        <v>-59.04</v>
      </c>
      <c r="N1259" s="110">
        <v>267986.86</v>
      </c>
      <c r="O1259" s="3">
        <f t="shared" si="45"/>
        <v>207091.71999999994</v>
      </c>
      <c r="P1259" s="110">
        <v>-334.44</v>
      </c>
      <c r="S1259" s="110">
        <v>-102.58</v>
      </c>
      <c r="T1259" s="1">
        <f t="shared" si="46"/>
        <v>231.86</v>
      </c>
      <c r="U1259" s="110">
        <v>267884.28000000003</v>
      </c>
      <c r="V1259" s="3">
        <f>U1259-P1259-N1259-Q1259-R1259+N1259-I1260-G1260-F1260-D1259-E1259-B1259-M1258-R1258-R1257-Q1258-Q1257-P1257-P1258-K1259-K1258-I1258-G1258-F1258-E1258-E1257-B1258-B1257-M1257-D1257-D1258-M1259-H1258-C1257-H1260-K1260-C1258-L1257-L1258-L1259-F1259-G1259-J1258-H1259</f>
        <v>-4.6860293423378607E-11</v>
      </c>
    </row>
    <row r="1260" spans="1:22" x14ac:dyDescent="0.25">
      <c r="A1260" t="s">
        <v>1405</v>
      </c>
      <c r="B1260" s="128">
        <v>13488.55</v>
      </c>
      <c r="F1260" s="110">
        <v>54482.020000000004</v>
      </c>
      <c r="G1260" s="110">
        <v>-245.69</v>
      </c>
      <c r="I1260" s="110">
        <v>9.84</v>
      </c>
      <c r="N1260" s="128">
        <v>132851.04</v>
      </c>
      <c r="O1260" s="3">
        <f t="shared" si="45"/>
        <v>1.8189894035458565E-11</v>
      </c>
      <c r="T1260" s="1">
        <f t="shared" si="46"/>
        <v>0</v>
      </c>
      <c r="U1260" s="128">
        <v>132851.04</v>
      </c>
      <c r="V1260" s="1">
        <f>U1260-P1260-N1260-Q1260-R1260+N1260-I1261-G1261-F1261-D1260-E1260-B1260-K1261-M1260-H1261-C1260-L1260-J1260</f>
        <v>1.2391865311656147E-11</v>
      </c>
    </row>
    <row r="1261" spans="1:22" x14ac:dyDescent="0.25">
      <c r="A1261" t="s">
        <v>1406</v>
      </c>
      <c r="B1261" s="89">
        <v>7890.5199999999995</v>
      </c>
      <c r="E1261" s="89">
        <v>7.48</v>
      </c>
      <c r="F1261" s="128">
        <v>120094.65</v>
      </c>
      <c r="G1261" s="128">
        <v>-751.07</v>
      </c>
      <c r="H1261" s="128">
        <v>-371.6</v>
      </c>
      <c r="I1261" s="128">
        <v>390.51</v>
      </c>
      <c r="N1261" s="89">
        <v>138343.95000000001</v>
      </c>
      <c r="O1261" s="3">
        <f t="shared" si="45"/>
        <v>3.0013325158506632E-11</v>
      </c>
      <c r="T1261" s="1">
        <f t="shared" si="46"/>
        <v>0</v>
      </c>
      <c r="U1261" s="89">
        <v>138343.95000000001</v>
      </c>
      <c r="V1261" s="1">
        <f>U1261-P1261-N1261-Q1261-R1261+N1261-I1262-G1262-F1262-D1261-E1261-B1261-K1262-M1261-H1262-C1261-L1261-J1261</f>
        <v>3.234390533179976E-11</v>
      </c>
    </row>
    <row r="1262" spans="1:22" x14ac:dyDescent="0.25">
      <c r="A1262" t="s">
        <v>1407</v>
      </c>
      <c r="B1262" s="41">
        <v>13576.27</v>
      </c>
      <c r="F1262" s="89">
        <v>131636.26999999999</v>
      </c>
      <c r="G1262" s="89">
        <v>-1728.98</v>
      </c>
      <c r="H1262" s="89">
        <v>-154.31</v>
      </c>
      <c r="I1262" s="89">
        <v>692.96999999999991</v>
      </c>
      <c r="N1262" s="41">
        <v>81190.720000000001</v>
      </c>
      <c r="O1262" s="3">
        <f t="shared" si="45"/>
        <v>3.637978807091713E-12</v>
      </c>
      <c r="T1262" s="1">
        <f t="shared" si="46"/>
        <v>0</v>
      </c>
      <c r="U1262" s="41">
        <v>81190.720000000001</v>
      </c>
      <c r="V1262" s="1">
        <f>U1262-P1262-N1262-Q1262-R1262+N1262-I1263-G1263-F1263-D1262-E1262-B1262-K1263-M1262-H1263-C1262-L1262-J1262</f>
        <v>3.637978807091713E-12</v>
      </c>
    </row>
    <row r="1263" spans="1:22" x14ac:dyDescent="0.25">
      <c r="A1263" t="s">
        <v>1408</v>
      </c>
      <c r="B1263" s="103">
        <v>13657.47</v>
      </c>
      <c r="F1263" s="41">
        <v>71754.42</v>
      </c>
      <c r="G1263" s="41">
        <v>-4118.4800000000005</v>
      </c>
      <c r="H1263" s="41">
        <v>-54.5</v>
      </c>
      <c r="I1263" s="41">
        <v>33.01</v>
      </c>
      <c r="N1263" s="103">
        <v>94774.1</v>
      </c>
      <c r="O1263" s="3">
        <f t="shared" si="45"/>
        <v>1.8189894035458565E-12</v>
      </c>
      <c r="P1263" s="103">
        <v>-0.25</v>
      </c>
      <c r="S1263" s="103">
        <v>-0.25</v>
      </c>
      <c r="T1263" s="1">
        <f t="shared" si="46"/>
        <v>0</v>
      </c>
      <c r="U1263" s="103">
        <v>94773.85</v>
      </c>
      <c r="V1263" s="1">
        <f>U1263-P1263-N1263-Q1263-R1263+N1263-I1264-G1264-F1264-D1263-E1263-B1263-K1264-M1263-H1264-C1263-L1263-J1263</f>
        <v>1.8189894035458565E-12</v>
      </c>
    </row>
    <row r="1264" spans="1:22" x14ac:dyDescent="0.25">
      <c r="A1264" t="s">
        <v>1409</v>
      </c>
      <c r="B1264" s="115">
        <v>12496.57</v>
      </c>
      <c r="F1264" s="103">
        <v>83061.460000000006</v>
      </c>
      <c r="G1264" s="103">
        <v>-1958.41</v>
      </c>
      <c r="I1264" s="103">
        <v>13.58</v>
      </c>
      <c r="O1264" s="3">
        <f t="shared" si="45"/>
        <v>-75068.420000000013</v>
      </c>
      <c r="T1264" s="1">
        <f t="shared" si="46"/>
        <v>0</v>
      </c>
    </row>
    <row r="1265" spans="1:22" x14ac:dyDescent="0.25">
      <c r="A1265" t="s">
        <v>1410</v>
      </c>
      <c r="B1265" s="115">
        <v>12483.58</v>
      </c>
      <c r="F1265" s="115">
        <v>64824.920000000006</v>
      </c>
      <c r="G1265" s="115">
        <v>-2161.7800000000002</v>
      </c>
      <c r="H1265" s="115">
        <v>-91.289999999999992</v>
      </c>
      <c r="M1265" s="115">
        <v>16751.88</v>
      </c>
      <c r="O1265" s="3">
        <f t="shared" si="45"/>
        <v>-66274.44</v>
      </c>
      <c r="R1265" s="115">
        <v>534.91999999999996</v>
      </c>
      <c r="T1265" s="1">
        <f t="shared" si="46"/>
        <v>-534.91999999999996</v>
      </c>
    </row>
    <row r="1266" spans="1:22" x14ac:dyDescent="0.25">
      <c r="A1266" t="s">
        <v>1411</v>
      </c>
      <c r="B1266" s="115">
        <v>5603.1600000000008</v>
      </c>
      <c r="E1266" s="115">
        <v>47.73</v>
      </c>
      <c r="F1266" s="115">
        <v>37949.97</v>
      </c>
      <c r="G1266" s="115">
        <v>-823.04000000000008</v>
      </c>
      <c r="H1266" s="115">
        <v>-87.95</v>
      </c>
      <c r="O1266" s="3">
        <f t="shared" si="45"/>
        <v>-48585.930000000008</v>
      </c>
      <c r="T1266" s="1">
        <f t="shared" si="46"/>
        <v>0</v>
      </c>
      <c r="V1266" s="3"/>
    </row>
    <row r="1267" spans="1:22" x14ac:dyDescent="0.25">
      <c r="A1267" t="s">
        <v>1412</v>
      </c>
      <c r="B1267" s="115">
        <v>11270.5</v>
      </c>
      <c r="F1267" s="115">
        <v>43904.12</v>
      </c>
      <c r="G1267" s="115">
        <v>-1069.26</v>
      </c>
      <c r="I1267" s="115">
        <v>100.18</v>
      </c>
      <c r="N1267" s="115">
        <v>295527.53000000003</v>
      </c>
      <c r="O1267" s="3">
        <f t="shared" si="45"/>
        <v>189928.7900000001</v>
      </c>
      <c r="T1267" s="1">
        <f t="shared" si="46"/>
        <v>0</v>
      </c>
      <c r="U1267" s="115">
        <v>296062.45</v>
      </c>
      <c r="V1267" s="3">
        <f>U1267-P1267-N1267-Q1267-R1267+N1267-I1268-G1268-F1268-D1267-E1267-B1267-M1266-R1266-R1265-Q1266-Q1265-P1265-P1266-K1267-K1266-I1266-G1266-F1266-E1266-E1265-B1266-B1265-M1265-D1265-D1266-M1267-H1266-C1265-H1268-K1268-C1266-L1265-L1266-L1267-F1267-G1267-J1266-H1267-B1264-F1265-G1265-H1265-P1264-I1267</f>
        <v>1.531930138298776E-11</v>
      </c>
    </row>
    <row r="1268" spans="1:22" x14ac:dyDescent="0.25">
      <c r="A1268" t="s">
        <v>1413</v>
      </c>
      <c r="B1268" s="34">
        <v>12897.92</v>
      </c>
      <c r="F1268" s="115">
        <v>94713.86</v>
      </c>
      <c r="G1268" s="115">
        <v>-1164.77</v>
      </c>
      <c r="H1268" s="115">
        <v>-384.28000000000003</v>
      </c>
      <c r="I1268" s="115">
        <v>1163.4299999999998</v>
      </c>
      <c r="N1268" s="34">
        <v>92155.06</v>
      </c>
      <c r="O1268" s="3">
        <f t="shared" si="45"/>
        <v>-1.8189894035458565E-12</v>
      </c>
      <c r="T1268" s="1">
        <f t="shared" si="46"/>
        <v>0</v>
      </c>
      <c r="U1268" s="34">
        <v>92155.06</v>
      </c>
      <c r="V1268" s="1">
        <f>U1268-P1268-N1268-Q1268-R1268+N1268-I1269-G1269-F1269-D1268-E1268-B1268-K1269-M1268-H1269-C1268-L1268-J1268</f>
        <v>-7.638334409421077E-12</v>
      </c>
    </row>
    <row r="1269" spans="1:22" x14ac:dyDescent="0.25">
      <c r="A1269" t="s">
        <v>1414</v>
      </c>
      <c r="B1269" s="35">
        <v>11604.94</v>
      </c>
      <c r="F1269" s="34">
        <v>80934.490000000005</v>
      </c>
      <c r="G1269" s="34">
        <v>-2001.09</v>
      </c>
      <c r="H1269" s="34">
        <v>-56.1</v>
      </c>
      <c r="I1269" s="34">
        <v>379.84</v>
      </c>
      <c r="N1269" s="35">
        <v>87968.23</v>
      </c>
      <c r="O1269" s="3">
        <f t="shared" si="45"/>
        <v>1.8189894035458565E-12</v>
      </c>
      <c r="T1269" s="1">
        <f t="shared" si="46"/>
        <v>0</v>
      </c>
      <c r="U1269" s="35">
        <v>87968.23</v>
      </c>
      <c r="V1269" s="1">
        <f>U1269-P1269-N1269-Q1269-R1269+N1269-I1270-G1270-F1270-D1269-E1269-B1269-K1270-M1269-H1270-C1269-L1269-J1269</f>
        <v>6.4748206796139129E-12</v>
      </c>
    </row>
    <row r="1270" spans="1:22" x14ac:dyDescent="0.25">
      <c r="A1270" t="s">
        <v>1415</v>
      </c>
      <c r="B1270" s="33">
        <v>8018.16</v>
      </c>
      <c r="F1270" s="35">
        <v>78032.92</v>
      </c>
      <c r="G1270" s="35">
        <v>-1675.46</v>
      </c>
      <c r="H1270" s="35">
        <v>-12.87</v>
      </c>
      <c r="I1270" s="35">
        <v>18.7</v>
      </c>
      <c r="N1270" s="33">
        <v>105612.66</v>
      </c>
      <c r="O1270" s="3">
        <f t="shared" si="45"/>
        <v>3.637978807091713E-12</v>
      </c>
      <c r="T1270" s="1">
        <f t="shared" si="46"/>
        <v>0</v>
      </c>
      <c r="U1270" s="33">
        <v>105612.66</v>
      </c>
      <c r="V1270" s="1">
        <f>U1270-P1270-N1270-Q1270-R1270+N1270-I1271-G1271-F1271-D1270-E1270-B1270-K1271-M1270-H1271-C1270-L1270-J1270</f>
        <v>3.637978807091713E-12</v>
      </c>
    </row>
    <row r="1271" spans="1:22" x14ac:dyDescent="0.25">
      <c r="A1271" t="s">
        <v>1416</v>
      </c>
      <c r="B1271" s="43">
        <v>7129.2199999999993</v>
      </c>
      <c r="F1271" s="33">
        <v>97874.72</v>
      </c>
      <c r="G1271" s="33">
        <v>-280.22000000000003</v>
      </c>
      <c r="O1271" s="3">
        <f t="shared" si="45"/>
        <v>-90652.49</v>
      </c>
      <c r="P1271" s="3"/>
      <c r="Q1271" s="43">
        <v>-12.87</v>
      </c>
      <c r="T1271" s="1">
        <f t="shared" si="46"/>
        <v>12.87</v>
      </c>
    </row>
    <row r="1272" spans="1:22" x14ac:dyDescent="0.25">
      <c r="A1272" t="s">
        <v>1417</v>
      </c>
      <c r="B1272" s="43">
        <v>8278.9600000000009</v>
      </c>
      <c r="F1272" s="43">
        <v>86305.91</v>
      </c>
      <c r="G1272" s="43">
        <v>-2463.14</v>
      </c>
      <c r="H1272" s="43">
        <v>-401.76</v>
      </c>
      <c r="I1272" s="43">
        <v>82.26</v>
      </c>
      <c r="M1272" s="43">
        <v>5279.57</v>
      </c>
      <c r="O1272" s="3">
        <f t="shared" si="45"/>
        <v>-80720.050000000017</v>
      </c>
      <c r="P1272" s="43">
        <v>-188.34</v>
      </c>
      <c r="R1272" s="43">
        <v>711.82</v>
      </c>
      <c r="T1272" s="1">
        <f t="shared" si="46"/>
        <v>-523.48</v>
      </c>
    </row>
    <row r="1273" spans="1:22" x14ac:dyDescent="0.25">
      <c r="A1273" t="s">
        <v>1418</v>
      </c>
      <c r="B1273" s="43">
        <v>4365.7199999999993</v>
      </c>
      <c r="F1273" s="43">
        <v>68470.95</v>
      </c>
      <c r="G1273" s="43">
        <v>-1309.43</v>
      </c>
      <c r="N1273" s="43">
        <v>230656.63</v>
      </c>
      <c r="O1273" s="3">
        <f t="shared" si="45"/>
        <v>171372.54</v>
      </c>
      <c r="P1273" s="43">
        <v>-88.44</v>
      </c>
      <c r="S1273" s="43">
        <v>422.17</v>
      </c>
      <c r="T1273" s="1">
        <f t="shared" si="46"/>
        <v>510.61</v>
      </c>
      <c r="U1273" s="43">
        <v>231078.8</v>
      </c>
      <c r="V1273" s="3">
        <f>U1273-P1273-N1273-Q1273-R1273+N1273-I1274-G1274-F1274-D1273-E1273-B1273-M1272-R1272-R1271-Q1272-Q1271-P1271-P1272-K1273-K1272-I1272-G1272-F1272-E1272-E1271-B1272-B1271-M1271-D1271-D1272-M1273-H1272-C1271-H1274-K1274-C1272-L1271-L1272-L1273-F1273-G1273-J1272-H1273</f>
        <v>-3.6607161746360362E-11</v>
      </c>
    </row>
    <row r="1274" spans="1:22" x14ac:dyDescent="0.25">
      <c r="A1274" t="s">
        <v>1419</v>
      </c>
      <c r="B1274" s="45">
        <v>9570.7199999999993</v>
      </c>
      <c r="E1274" s="45">
        <v>117.31</v>
      </c>
      <c r="F1274" s="43">
        <v>55144.5</v>
      </c>
      <c r="G1274" s="43">
        <v>-275.2</v>
      </c>
      <c r="I1274" s="43">
        <v>49.07</v>
      </c>
      <c r="N1274" s="45">
        <v>83816.710000000006</v>
      </c>
      <c r="O1274" s="3">
        <f t="shared" si="45"/>
        <v>0</v>
      </c>
      <c r="P1274" s="45">
        <v>-209.32</v>
      </c>
      <c r="S1274" s="45">
        <v>-209.32</v>
      </c>
      <c r="T1274" s="1">
        <f t="shared" si="46"/>
        <v>0</v>
      </c>
      <c r="U1274" s="45">
        <v>83607.39</v>
      </c>
      <c r="V1274" s="1">
        <f>U1274-P1274-N1274-Q1274-R1274+N1274-I1275-G1275-F1275-D1274-E1274-B1274-K1275-M1274-H1275-C1274-L1274-J1274</f>
        <v>-4.0358827391173691E-12</v>
      </c>
    </row>
    <row r="1275" spans="1:22" x14ac:dyDescent="0.25">
      <c r="A1275" t="s">
        <v>1420</v>
      </c>
      <c r="B1275" s="9">
        <v>11104.04</v>
      </c>
      <c r="F1275" s="45">
        <v>75556.740000000005</v>
      </c>
      <c r="G1275" s="45">
        <v>-1114.54</v>
      </c>
      <c r="H1275" s="45">
        <v>-313.52000000000004</v>
      </c>
      <c r="N1275" s="9">
        <v>69506.33</v>
      </c>
      <c r="O1275" s="3">
        <f t="shared" si="45"/>
        <v>-7.2759576141834259E-12</v>
      </c>
      <c r="P1275" s="9">
        <v>-88.69</v>
      </c>
      <c r="S1275" s="9">
        <v>-88.69</v>
      </c>
      <c r="T1275" s="1">
        <f t="shared" si="46"/>
        <v>0</v>
      </c>
      <c r="U1275" s="9">
        <v>69417.64</v>
      </c>
      <c r="V1275" s="1">
        <f>U1275-P1275-N1275-Q1275-R1275+N1275-I1276-G1276-F1276-D1275-E1275-B1275-K1276-M1275-H1276-C1275-L1275-J1275</f>
        <v>-4.3485215428518131E-12</v>
      </c>
    </row>
    <row r="1276" spans="1:22" x14ac:dyDescent="0.25">
      <c r="A1276" t="s">
        <v>1421</v>
      </c>
      <c r="B1276" s="60">
        <v>13373.33</v>
      </c>
      <c r="F1276" s="9">
        <v>62077.600000000006</v>
      </c>
      <c r="G1276" s="9">
        <v>-3528.69</v>
      </c>
      <c r="H1276" s="9">
        <v>-167.95000000000002</v>
      </c>
      <c r="I1276" s="9">
        <v>21.33</v>
      </c>
      <c r="N1276" s="60">
        <v>78096.479999999996</v>
      </c>
      <c r="O1276" s="3">
        <f t="shared" si="45"/>
        <v>-1.2732925824820995E-11</v>
      </c>
      <c r="P1276" s="60">
        <v>-134.16</v>
      </c>
      <c r="S1276" s="60">
        <v>-134.16</v>
      </c>
      <c r="T1276" s="1">
        <f t="shared" si="46"/>
        <v>0</v>
      </c>
      <c r="U1276" s="60">
        <v>77962.320000000007</v>
      </c>
      <c r="V1276" s="1">
        <f>U1276-P1276-N1276-Q1276-R1276+N1276-I1277-G1277-F1277-D1276-E1276-B1276-K1277-M1276-H1277-C1276-L1276-J1276</f>
        <v>5.3006488087703474E-12</v>
      </c>
    </row>
    <row r="1277" spans="1:22" x14ac:dyDescent="0.25">
      <c r="A1277" t="s">
        <v>1422</v>
      </c>
      <c r="B1277" s="51">
        <v>13588.52</v>
      </c>
      <c r="F1277" s="60">
        <v>65093.86</v>
      </c>
      <c r="G1277" s="60">
        <v>-303.87</v>
      </c>
      <c r="H1277" s="60">
        <v>-66.839999999999989</v>
      </c>
      <c r="N1277" s="51">
        <v>83440.58</v>
      </c>
      <c r="O1277" s="3">
        <f t="shared" si="45"/>
        <v>1.8189894035458565E-11</v>
      </c>
      <c r="P1277" s="51">
        <v>-67.52</v>
      </c>
      <c r="S1277" s="51">
        <v>-67.52</v>
      </c>
      <c r="T1277" s="1">
        <f t="shared" si="46"/>
        <v>0</v>
      </c>
      <c r="U1277" s="51">
        <v>83373.06</v>
      </c>
      <c r="V1277" s="1">
        <f>U1277-P1277-N1277-Q1277-R1277+N1277-I1278-G1278-F1278-D1277-E1277-B1277-K1278-M1277-H1278-C1277-L1277-J1277</f>
        <v>1.8189894035458565E-11</v>
      </c>
    </row>
    <row r="1278" spans="1:22" x14ac:dyDescent="0.25">
      <c r="A1278" t="s">
        <v>1423</v>
      </c>
      <c r="B1278" s="56">
        <v>10638.25</v>
      </c>
      <c r="F1278" s="51">
        <v>70584.009999999995</v>
      </c>
      <c r="G1278" s="51">
        <v>-771.21</v>
      </c>
      <c r="I1278" s="51">
        <v>39.26</v>
      </c>
      <c r="O1278" s="3">
        <f t="shared" si="45"/>
        <v>-98031.75</v>
      </c>
      <c r="T1278" s="1">
        <f t="shared" si="46"/>
        <v>0</v>
      </c>
    </row>
    <row r="1279" spans="1:22" x14ac:dyDescent="0.25">
      <c r="A1279" t="s">
        <v>1424</v>
      </c>
      <c r="B1279" s="56">
        <v>11156.900000000001</v>
      </c>
      <c r="F1279" s="56">
        <v>91629.180000000008</v>
      </c>
      <c r="G1279" s="56">
        <v>-3943.55</v>
      </c>
      <c r="H1279" s="56">
        <v>-292.13</v>
      </c>
      <c r="M1279" s="56">
        <v>82675.94</v>
      </c>
      <c r="O1279" s="3">
        <f t="shared" si="45"/>
        <v>-143868.04999999999</v>
      </c>
      <c r="R1279" s="56">
        <v>26558.57</v>
      </c>
      <c r="T1279" s="1">
        <f t="shared" si="46"/>
        <v>-26558.57</v>
      </c>
    </row>
    <row r="1280" spans="1:22" x14ac:dyDescent="0.25">
      <c r="A1280" t="s">
        <v>1425</v>
      </c>
      <c r="B1280" s="56">
        <v>4321.91</v>
      </c>
      <c r="F1280" s="56">
        <v>50584.29</v>
      </c>
      <c r="G1280" s="56">
        <v>-461.17</v>
      </c>
      <c r="H1280" s="56">
        <v>-87.910000000000011</v>
      </c>
      <c r="N1280" s="56">
        <v>312873</v>
      </c>
      <c r="O1280" s="3">
        <f t="shared" si="45"/>
        <v>241899.80000000002</v>
      </c>
      <c r="P1280" s="56">
        <v>-22.92</v>
      </c>
      <c r="S1280" s="56">
        <v>26535.65</v>
      </c>
      <c r="T1280" s="1">
        <f t="shared" si="46"/>
        <v>26558.57</v>
      </c>
      <c r="U1280" s="56">
        <v>339408.65</v>
      </c>
      <c r="V1280" s="3">
        <f>U1280-P1280-N1280-Q1280-R1280+N1280-I1281-G1281-F1281-D1280-E1280-B1280-M1279-R1279-R1278-Q1279-Q1278-P1278-P1279-K1280-K1279-I1279-G1279-F1279-E1279-E1278-B1279-B1278-M1278-D1278-D1279-M1280-H1279-C1278-H1281-K1281-C1279-L1278-L1279-L1280-F1280-G1280-J1279-H1280</f>
        <v>2.0108359422010835E-11</v>
      </c>
    </row>
    <row r="1281" spans="1:22" x14ac:dyDescent="0.25">
      <c r="A1281" t="s">
        <v>1426</v>
      </c>
      <c r="B1281" s="72">
        <v>8299.09</v>
      </c>
      <c r="F1281" s="56">
        <v>69254.439999999988</v>
      </c>
      <c r="G1281" s="56">
        <v>-2603.15</v>
      </c>
      <c r="M1281" s="72">
        <v>2500</v>
      </c>
      <c r="N1281" s="72">
        <v>98702.03</v>
      </c>
      <c r="O1281" s="3">
        <f t="shared" si="45"/>
        <v>-3.637978807091713E-12</v>
      </c>
      <c r="P1281" s="72">
        <v>-67.260000000000005</v>
      </c>
      <c r="S1281" s="72">
        <v>-67.260000000000005</v>
      </c>
      <c r="T1281" s="1">
        <f t="shared" si="46"/>
        <v>0</v>
      </c>
      <c r="U1281" s="72">
        <v>98634.77</v>
      </c>
      <c r="V1281" s="1">
        <f>U1281-P1281-N1281-Q1281-R1281+N1281-I1282-G1282-F1282-D1281-E1281-B1281-K1282-M1281-H1282-C1281-L1281-J1281</f>
        <v>3.3537617127876729E-12</v>
      </c>
    </row>
    <row r="1282" spans="1:22" x14ac:dyDescent="0.25">
      <c r="A1282" t="s">
        <v>1427</v>
      </c>
      <c r="B1282" s="89">
        <v>10860.14</v>
      </c>
      <c r="F1282" s="72">
        <v>92943.5</v>
      </c>
      <c r="G1282" s="72">
        <v>-4813.63</v>
      </c>
      <c r="H1282" s="72">
        <v>-226.93</v>
      </c>
      <c r="M1282" s="89">
        <v>12657.14</v>
      </c>
      <c r="N1282" s="89">
        <v>88691.53</v>
      </c>
      <c r="O1282" s="3">
        <f t="shared" si="45"/>
        <v>0</v>
      </c>
      <c r="P1282" s="89">
        <v>-42.65</v>
      </c>
      <c r="R1282" s="89">
        <v>400.4</v>
      </c>
      <c r="S1282" s="89">
        <v>357.75</v>
      </c>
      <c r="T1282" s="1">
        <f t="shared" si="46"/>
        <v>0</v>
      </c>
      <c r="U1282" s="89">
        <v>89049.279999999999</v>
      </c>
      <c r="V1282" s="1">
        <f>U1282-P1282-N1282-Q1282-R1282+N1282-I1283-G1283-F1283-D1282-E1282-B1282-K1283-M1282-H1283-C1282-L1282-J1282</f>
        <v>5.8193450058752205E-12</v>
      </c>
    </row>
    <row r="1283" spans="1:22" x14ac:dyDescent="0.25">
      <c r="A1283" t="s">
        <v>1428</v>
      </c>
      <c r="B1283" s="89">
        <v>9449.1500000000015</v>
      </c>
      <c r="F1283" s="89">
        <v>71655.64</v>
      </c>
      <c r="G1283" s="89">
        <v>-6449.27</v>
      </c>
      <c r="H1283" s="89">
        <v>-54.9</v>
      </c>
      <c r="I1283" s="89">
        <v>22.78</v>
      </c>
      <c r="N1283" s="89">
        <v>94474.97</v>
      </c>
      <c r="O1283" s="3">
        <f t="shared" si="45"/>
        <v>7.2759576141834259E-12</v>
      </c>
      <c r="P1283" s="89">
        <v>-0.25</v>
      </c>
      <c r="S1283" s="89">
        <v>-0.25</v>
      </c>
      <c r="T1283" s="1">
        <f t="shared" si="46"/>
        <v>0</v>
      </c>
      <c r="U1283" s="89">
        <v>94474.72</v>
      </c>
      <c r="V1283" s="1">
        <f>U1283-P1283-N1283-Q1283-R1283+N1283-I1284-G1284-F1284-D1283-E1283-B1283-K1284-M1283-H1284-C1283-L1283-J1283</f>
        <v>1.1340262062731199E-11</v>
      </c>
    </row>
    <row r="1284" spans="1:22" x14ac:dyDescent="0.25">
      <c r="A1284" t="s">
        <v>1429</v>
      </c>
      <c r="B1284" s="32">
        <v>8504</v>
      </c>
      <c r="F1284" s="89">
        <v>88125.03</v>
      </c>
      <c r="G1284" s="89">
        <v>-3017.32</v>
      </c>
      <c r="H1284" s="89">
        <v>-159.72999999999999</v>
      </c>
      <c r="I1284" s="89">
        <v>77.84</v>
      </c>
      <c r="N1284" s="32">
        <v>73777.42</v>
      </c>
      <c r="O1284" s="3">
        <f t="shared" si="45"/>
        <v>0</v>
      </c>
      <c r="T1284" s="1">
        <f t="shared" si="46"/>
        <v>0</v>
      </c>
      <c r="U1284" s="32">
        <v>73777.42</v>
      </c>
      <c r="V1284" s="1">
        <f>U1284-P1284-N1284-Q1284-R1284+N1284-I1285-G1285-F1285-D1284-E1284-B1284-K1285-M1284-H1285-C1284-L1284-J1284</f>
        <v>0</v>
      </c>
    </row>
    <row r="1285" spans="1:22" x14ac:dyDescent="0.25">
      <c r="A1285" t="s">
        <v>1430</v>
      </c>
      <c r="B1285" s="110">
        <v>8460.42</v>
      </c>
      <c r="F1285" s="32">
        <v>68430.86</v>
      </c>
      <c r="G1285" s="32">
        <v>-3216.3399999999997</v>
      </c>
      <c r="I1285" s="32">
        <v>58.9</v>
      </c>
      <c r="O1285" s="3">
        <f t="shared" si="45"/>
        <v>-49980.94999999999</v>
      </c>
      <c r="T1285" s="1">
        <f t="shared" ref="T1285:T1341" si="47">S1285-R1285-Q1285-P1285</f>
        <v>0</v>
      </c>
    </row>
    <row r="1286" spans="1:22" x14ac:dyDescent="0.25">
      <c r="A1286" t="s">
        <v>1431</v>
      </c>
      <c r="B1286" s="110">
        <v>6406.04</v>
      </c>
      <c r="F1286" s="110">
        <v>46054.899999999994</v>
      </c>
      <c r="G1286" s="110">
        <v>-4504.8100000000004</v>
      </c>
      <c r="H1286" s="110">
        <v>-87.93</v>
      </c>
      <c r="I1286" s="110">
        <v>58.37</v>
      </c>
      <c r="M1286" s="110">
        <v>44836.4</v>
      </c>
      <c r="O1286" s="3">
        <f t="shared" si="45"/>
        <v>-90864.6</v>
      </c>
      <c r="P1286" s="110">
        <v>-0.25</v>
      </c>
      <c r="R1286" s="110">
        <v>1408.41</v>
      </c>
      <c r="T1286" s="1">
        <f t="shared" si="47"/>
        <v>-1408.16</v>
      </c>
    </row>
    <row r="1287" spans="1:22" x14ac:dyDescent="0.25">
      <c r="A1287" t="s">
        <v>1432</v>
      </c>
      <c r="B1287" s="110">
        <v>3654.49</v>
      </c>
      <c r="F1287" s="110">
        <v>40132.479999999996</v>
      </c>
      <c r="G1287" s="110">
        <v>-510.31999999999994</v>
      </c>
      <c r="N1287" s="110">
        <v>196518.47</v>
      </c>
      <c r="O1287" s="3">
        <f t="shared" si="45"/>
        <v>140845.54999999999</v>
      </c>
      <c r="S1287" s="110">
        <v>1408.16</v>
      </c>
      <c r="T1287" s="1">
        <f t="shared" si="47"/>
        <v>1408.16</v>
      </c>
      <c r="U1287" s="110">
        <v>197926.63</v>
      </c>
      <c r="V1287" s="3">
        <f>U1287-P1287-N1287-Q1287-R1287+N1287-I1288-G1288-F1288-D1287-E1287-B1287-M1286-R1286-R1285-Q1286-Q1285-P1285-P1286-K1287-K1286-I1286-G1286-F1286-E1286-E1285-B1286-B1285-M1285-D1285-D1286-M1287-H1286-C1285-H1288-K1288-C1286-L1285-L1286-L1287-F1287-G1287-J1286-H1287</f>
        <v>7.503331289626658E-12</v>
      </c>
    </row>
    <row r="1288" spans="1:22" x14ac:dyDescent="0.25">
      <c r="A1288" t="s">
        <v>1433</v>
      </c>
      <c r="B1288" s="49">
        <v>12316.89</v>
      </c>
      <c r="F1288" s="110">
        <v>53808.700000000004</v>
      </c>
      <c r="G1288" s="110">
        <v>-1790.27</v>
      </c>
      <c r="N1288" s="49">
        <v>91143.64</v>
      </c>
      <c r="O1288" s="3">
        <f t="shared" si="45"/>
        <v>0</v>
      </c>
      <c r="T1288" s="1">
        <f t="shared" si="47"/>
        <v>0</v>
      </c>
      <c r="U1288" s="49">
        <v>91143.64</v>
      </c>
      <c r="V1288" s="1">
        <f>U1288-P1288-N1288-Q1288-R1288+N1288-I1289-G1289-F1289-D1288-E1288-B1288-K1289-M1288-H1289-C1288-L1288-J1288</f>
        <v>-6.9633188104489818E-12</v>
      </c>
    </row>
    <row r="1289" spans="1:22" x14ac:dyDescent="0.25">
      <c r="A1289" t="s">
        <v>1434</v>
      </c>
      <c r="B1289" s="49">
        <v>12082.49</v>
      </c>
      <c r="F1289" s="49">
        <v>79125.240000000005</v>
      </c>
      <c r="G1289" s="49">
        <v>-411.13000000000005</v>
      </c>
      <c r="H1289" s="49">
        <v>-175.82000000000002</v>
      </c>
      <c r="I1289" s="49">
        <v>288.45999999999998</v>
      </c>
      <c r="N1289" s="49">
        <v>42841.13</v>
      </c>
      <c r="O1289" s="3">
        <f t="shared" si="45"/>
        <v>-9.0949470177292824E-12</v>
      </c>
      <c r="T1289" s="1">
        <f t="shared" si="47"/>
        <v>0</v>
      </c>
      <c r="U1289" s="49">
        <v>42841.13</v>
      </c>
      <c r="V1289" s="1">
        <f>U1289-P1289-N1289-Q1289-R1289+N1289-I1290-G1290-F1290-D1289-E1289-B1289-K1290-M1289-H1290-C1289-L1289-J1289</f>
        <v>-9.0949470177292824E-12</v>
      </c>
    </row>
    <row r="1290" spans="1:22" x14ac:dyDescent="0.25">
      <c r="A1290" t="s">
        <v>1435</v>
      </c>
      <c r="B1290" s="115">
        <v>7710.79</v>
      </c>
      <c r="F1290" s="49">
        <v>38855.280000000006</v>
      </c>
      <c r="G1290" s="49">
        <v>-8096.6399999999994</v>
      </c>
      <c r="N1290" s="115">
        <v>56841.91</v>
      </c>
      <c r="O1290" s="3">
        <f t="shared" si="45"/>
        <v>9.0949470177292824E-13</v>
      </c>
      <c r="T1290" s="1">
        <f t="shared" si="47"/>
        <v>0</v>
      </c>
      <c r="U1290" s="115">
        <v>56841.91</v>
      </c>
      <c r="V1290" s="1">
        <f>U1290-P1290-N1290-Q1290-R1290+N1290-I1291-G1291-F1291-D1290-E1290-B1290-K1291-M1290-H1291-C1290-L1290-J1290</f>
        <v>9.0949470177292824E-13</v>
      </c>
    </row>
    <row r="1291" spans="1:22" x14ac:dyDescent="0.25">
      <c r="A1291" t="s">
        <v>1436</v>
      </c>
      <c r="B1291" s="1">
        <v>10305.630000000001</v>
      </c>
      <c r="F1291" s="115">
        <v>50812.89</v>
      </c>
      <c r="G1291" s="115">
        <v>-1681.77</v>
      </c>
      <c r="N1291" s="1">
        <v>92483.91</v>
      </c>
      <c r="O1291" s="3">
        <f t="shared" si="45"/>
        <v>3.637978807091713E-12</v>
      </c>
      <c r="T1291" s="1">
        <f t="shared" si="47"/>
        <v>0</v>
      </c>
      <c r="U1291" s="1">
        <v>92483.91</v>
      </c>
      <c r="V1291" s="1">
        <f>U1291-P1291-N1291-Q1291-R1291+N1291-I1292-G1292-F1292-D1291-E1291-B1291-K1292-M1291-H1292-C1291-L1291-J1291</f>
        <v>3.637978807091713E-12</v>
      </c>
    </row>
    <row r="1292" spans="1:22" x14ac:dyDescent="0.25">
      <c r="A1292" t="s">
        <v>1437</v>
      </c>
      <c r="B1292" s="37">
        <v>14353.15</v>
      </c>
      <c r="F1292" s="1">
        <v>91721.86</v>
      </c>
      <c r="G1292" s="1">
        <v>-9684.81</v>
      </c>
      <c r="I1292" s="1">
        <v>141.23000000000002</v>
      </c>
      <c r="O1292" s="3">
        <f t="shared" si="45"/>
        <v>-91917.499999999985</v>
      </c>
      <c r="P1292" s="37">
        <v>-0.25</v>
      </c>
      <c r="T1292" s="1">
        <f t="shared" si="47"/>
        <v>0.25</v>
      </c>
    </row>
    <row r="1293" spans="1:22" x14ac:dyDescent="0.25">
      <c r="A1293" t="s">
        <v>1438</v>
      </c>
      <c r="B1293" s="37">
        <v>9351.7999999999993</v>
      </c>
      <c r="F1293" s="37">
        <v>79368.099999999991</v>
      </c>
      <c r="G1293" s="37">
        <v>-1803.75</v>
      </c>
      <c r="M1293" s="37">
        <v>15461.24</v>
      </c>
      <c r="O1293" s="3">
        <f t="shared" si="45"/>
        <v>-56414.02</v>
      </c>
      <c r="R1293" s="37">
        <v>558.05999999999995</v>
      </c>
      <c r="T1293" s="1">
        <f t="shared" si="47"/>
        <v>-558.05999999999995</v>
      </c>
    </row>
    <row r="1294" spans="1:22" x14ac:dyDescent="0.25">
      <c r="A1294" t="s">
        <v>1439</v>
      </c>
      <c r="B1294" s="37">
        <v>4518.13</v>
      </c>
      <c r="F1294" s="37">
        <v>33463.379999999997</v>
      </c>
      <c r="G1294" s="37">
        <v>-1839.1399999999999</v>
      </c>
      <c r="H1294" s="37">
        <v>-23.259999999999998</v>
      </c>
      <c r="N1294" s="37">
        <v>189897.89</v>
      </c>
      <c r="O1294" s="3">
        <f t="shared" si="45"/>
        <v>148331.51999999999</v>
      </c>
      <c r="P1294" s="37">
        <v>-0.25</v>
      </c>
      <c r="S1294" s="37">
        <v>-557.55999999999995</v>
      </c>
      <c r="T1294" s="1">
        <f t="shared" si="47"/>
        <v>-557.30999999999995</v>
      </c>
      <c r="U1294" s="37">
        <v>190455.45</v>
      </c>
      <c r="V1294" s="3">
        <f>U1294-P1294-N1294-Q1294-R1294+N1294-I1295-G1295-F1295-D1294-E1294-B1294-M1293-R1293-R1292-Q1293-Q1292-P1292-P1293-K1294-K1293-I1293-G1293-F1293-E1293-E1292-B1293-B1292-M1292-D1292-D1293-M1294-H1293-C1292-H1295-K1295-C1293-L1292-L1293-L1294-F1294-G1294-J1293-H1294</f>
        <v>5.6914473134384025E-12</v>
      </c>
    </row>
    <row r="1295" spans="1:22" x14ac:dyDescent="0.25">
      <c r="A1295" t="s">
        <v>1440</v>
      </c>
      <c r="B1295" s="57">
        <v>10997.77</v>
      </c>
      <c r="F1295" s="37">
        <v>37777.26</v>
      </c>
      <c r="G1295" s="37">
        <v>-729.02</v>
      </c>
      <c r="N1295" s="57">
        <v>82813.11</v>
      </c>
      <c r="O1295" s="3">
        <f t="shared" si="45"/>
        <v>3.637978807091713E-12</v>
      </c>
      <c r="P1295" s="57">
        <v>-22.42</v>
      </c>
      <c r="S1295" s="57">
        <v>-22.42</v>
      </c>
      <c r="T1295" s="1">
        <f t="shared" si="47"/>
        <v>0</v>
      </c>
      <c r="U1295" s="57">
        <v>82790.69</v>
      </c>
      <c r="V1295" s="1">
        <f>U1295-P1295-N1295-Q1295-R1295+N1295-I1296-G1296-F1296-D1295-E1295-B1295-K1296-M1295-H1296-C1295-L1295-J1295</f>
        <v>6.5476513100293232E-12</v>
      </c>
    </row>
    <row r="1296" spans="1:22" x14ac:dyDescent="0.25">
      <c r="A1296" t="s">
        <v>1441</v>
      </c>
      <c r="B1296" s="2">
        <v>13507.720000000001</v>
      </c>
      <c r="F1296" s="57">
        <v>74068.709999999992</v>
      </c>
      <c r="G1296" s="57">
        <v>-2543.0300000000002</v>
      </c>
      <c r="H1296" s="57">
        <v>-18.7</v>
      </c>
      <c r="I1296" s="57">
        <v>308.36</v>
      </c>
      <c r="N1296" s="2">
        <v>65337.84</v>
      </c>
      <c r="O1296" s="3">
        <f t="shared" si="45"/>
        <v>0</v>
      </c>
      <c r="P1296" s="2">
        <v>-0.25</v>
      </c>
      <c r="S1296" s="2">
        <v>-0.25</v>
      </c>
      <c r="T1296" s="1">
        <f t="shared" si="47"/>
        <v>0</v>
      </c>
      <c r="U1296" s="2">
        <v>65337.59</v>
      </c>
      <c r="V1296" s="1">
        <f>U1296-P1296-N1296-Q1296-R1296+N1296-I1297-G1297-F1297-D1296-E1296-B1296-K1297-M1296-H1297-C1296-L1296-J1296</f>
        <v>-8.7254647951340303E-12</v>
      </c>
    </row>
    <row r="1297" spans="1:22" x14ac:dyDescent="0.25">
      <c r="A1297" t="s">
        <v>1442</v>
      </c>
      <c r="B1297" s="56">
        <v>13156.11</v>
      </c>
      <c r="E1297" s="56">
        <v>28.619999999999997</v>
      </c>
      <c r="F1297" s="2">
        <v>52721.67</v>
      </c>
      <c r="G1297" s="2">
        <v>-729.91</v>
      </c>
      <c r="H1297" s="2">
        <v>-168.9</v>
      </c>
      <c r="I1297" s="2">
        <v>7.26</v>
      </c>
      <c r="N1297" s="56">
        <v>45613.01</v>
      </c>
      <c r="O1297" s="3">
        <f t="shared" si="45"/>
        <v>1.8189894035458565E-12</v>
      </c>
      <c r="T1297" s="1">
        <f t="shared" si="47"/>
        <v>0</v>
      </c>
      <c r="U1297" s="56">
        <v>45613.01</v>
      </c>
      <c r="V1297" s="1">
        <f t="shared" ref="V1297:V1298" si="48">U1297-P1297-N1297-Q1297-R1297+N1297-I1298-G1298-F1298-D1297-E1297-B1297-K1298-M1297-H1298-C1297-L1297-J1297</f>
        <v>1.8189894035458565E-12</v>
      </c>
    </row>
    <row r="1298" spans="1:22" x14ac:dyDescent="0.25">
      <c r="A1298" t="s">
        <v>1476</v>
      </c>
      <c r="B1298" s="43">
        <v>10300.949999999999</v>
      </c>
      <c r="E1298" s="43">
        <v>140.27000000000001</v>
      </c>
      <c r="F1298" s="56">
        <v>35374.42</v>
      </c>
      <c r="G1298" s="56">
        <v>-2946.14</v>
      </c>
      <c r="N1298" s="43">
        <v>57843.72</v>
      </c>
      <c r="O1298" s="3">
        <f t="shared" si="45"/>
        <v>1.8189894035458565E-12</v>
      </c>
      <c r="T1298" s="1">
        <f t="shared" si="47"/>
        <v>0</v>
      </c>
      <c r="U1298" s="43">
        <v>57843.72</v>
      </c>
      <c r="V1298" s="1">
        <f t="shared" si="48"/>
        <v>7.1054273576010019E-14</v>
      </c>
    </row>
    <row r="1299" spans="1:22" x14ac:dyDescent="0.25">
      <c r="A1299" t="s">
        <v>1477</v>
      </c>
      <c r="B1299" s="4">
        <v>9007.5300000000007</v>
      </c>
      <c r="F1299" s="43">
        <v>50650.58</v>
      </c>
      <c r="G1299" s="43">
        <v>-3229.75</v>
      </c>
      <c r="H1299" s="43">
        <v>-18.329999999999998</v>
      </c>
      <c r="I1299" s="3"/>
      <c r="O1299" s="3">
        <f t="shared" si="45"/>
        <v>-83124.100000000006</v>
      </c>
      <c r="T1299" s="1">
        <f t="shared" si="47"/>
        <v>0</v>
      </c>
    </row>
    <row r="1300" spans="1:22" x14ac:dyDescent="0.25">
      <c r="A1300" t="s">
        <v>1478</v>
      </c>
      <c r="B1300" s="4">
        <v>6286.4800000000005</v>
      </c>
      <c r="F1300" s="4">
        <v>77766.38</v>
      </c>
      <c r="G1300" s="4">
        <v>-3649.81</v>
      </c>
      <c r="M1300" s="4">
        <v>15835.33</v>
      </c>
      <c r="O1300" s="3">
        <f t="shared" si="45"/>
        <v>-46612.81</v>
      </c>
      <c r="R1300" s="4">
        <v>803.93</v>
      </c>
      <c r="T1300" s="1">
        <f t="shared" si="47"/>
        <v>-803.93</v>
      </c>
    </row>
    <row r="1301" spans="1:22" x14ac:dyDescent="0.25">
      <c r="A1301" t="s">
        <v>1479</v>
      </c>
      <c r="B1301" s="4">
        <v>4467.8900000000003</v>
      </c>
      <c r="F1301" s="4">
        <v>24802.629999999997</v>
      </c>
      <c r="G1301" s="4">
        <v>-311.63</v>
      </c>
      <c r="O1301" s="3">
        <f t="shared" ref="O1301:O1310" si="49">N1301-K1302-I1302-H1302-G1302-F1302-E1301-D1301-C1301-B1301-M1301-L1301-J1301</f>
        <v>-41484.22</v>
      </c>
      <c r="T1301" s="1">
        <f t="shared" si="47"/>
        <v>0</v>
      </c>
    </row>
    <row r="1302" spans="1:22" x14ac:dyDescent="0.25">
      <c r="A1302" t="s">
        <v>1480</v>
      </c>
      <c r="B1302" s="4">
        <v>10805.609999999999</v>
      </c>
      <c r="F1302" s="4">
        <v>38457.770000000004</v>
      </c>
      <c r="G1302" s="4">
        <v>-1441.4399999999998</v>
      </c>
      <c r="N1302" s="4">
        <v>222158.27</v>
      </c>
      <c r="O1302" s="3">
        <f t="shared" si="49"/>
        <v>171221.13</v>
      </c>
      <c r="S1302" s="4">
        <v>803.93</v>
      </c>
      <c r="T1302" s="1">
        <f t="shared" si="47"/>
        <v>803.93</v>
      </c>
      <c r="U1302" s="4">
        <v>222962.2</v>
      </c>
      <c r="V1302" s="3">
        <f>U1302-P1302-N1302-Q1302-R1302+N1302-I1303-G1303-F1303-D1302-E1302-B1302-M1301-R1301-R1300-Q1301-Q1300-P1300-P1301-K1302-K1301-I1301-G1301-F1301-E1301-E1300-B1301-B1300-M1300-D1300-D1301-M1302-H1301-C1300-H1303-K1303-C1301-L1300-L1301-L1302-F1302-G1302-J1301-H1302-B1299-F1300-G1300-H1300-P1299-I1302</f>
        <v>2.2737367544323206E-12</v>
      </c>
    </row>
    <row r="1303" spans="1:22" x14ac:dyDescent="0.25">
      <c r="A1303" t="s">
        <v>1481</v>
      </c>
      <c r="B1303" s="87">
        <v>9869.7999999999993</v>
      </c>
      <c r="F1303" s="4">
        <v>41878.339999999997</v>
      </c>
      <c r="G1303" s="4">
        <v>-1746.81</v>
      </c>
      <c r="N1303" s="87">
        <v>59576.63</v>
      </c>
      <c r="O1303" s="3">
        <f t="shared" si="49"/>
        <v>-1.0913936421275139E-11</v>
      </c>
      <c r="T1303" s="1">
        <f t="shared" si="47"/>
        <v>0</v>
      </c>
      <c r="U1303" s="87">
        <v>59576.63</v>
      </c>
      <c r="V1303" s="1">
        <f t="shared" ref="V1303:V1305" si="50">U1303-P1303-N1303-Q1303-R1303+N1303-I1304-G1304-F1304-D1303-E1303-B1303-K1304-M1303-H1304-C1303-L1303-J1303</f>
        <v>-1.0913936421275139E-11</v>
      </c>
    </row>
    <row r="1304" spans="1:22" x14ac:dyDescent="0.25">
      <c r="A1304" t="s">
        <v>1482</v>
      </c>
      <c r="B1304" s="115">
        <v>11384.699999999999</v>
      </c>
      <c r="F1304" s="87">
        <v>56011.3</v>
      </c>
      <c r="G1304" s="87">
        <v>-6304.47</v>
      </c>
      <c r="N1304" s="115">
        <v>59208.97</v>
      </c>
      <c r="O1304" s="3">
        <f t="shared" si="49"/>
        <v>-1.8189894035458565E-12</v>
      </c>
      <c r="T1304" s="1">
        <f t="shared" si="47"/>
        <v>0</v>
      </c>
      <c r="U1304" s="115">
        <v>59208.97</v>
      </c>
      <c r="V1304" s="1">
        <f t="shared" si="50"/>
        <v>-1.8189894035458565E-12</v>
      </c>
    </row>
    <row r="1305" spans="1:22" x14ac:dyDescent="0.25">
      <c r="A1305" t="s">
        <v>1483</v>
      </c>
      <c r="B1305" s="90">
        <v>7828.08</v>
      </c>
      <c r="F1305" s="115">
        <v>51988.590000000004</v>
      </c>
      <c r="G1305" s="115">
        <v>-4164.32</v>
      </c>
      <c r="N1305" s="90">
        <v>52998.76</v>
      </c>
      <c r="O1305" s="3">
        <f t="shared" si="49"/>
        <v>1.8189894035458565E-12</v>
      </c>
      <c r="P1305" s="90">
        <v>-18.04</v>
      </c>
      <c r="S1305" s="90">
        <v>-18.04</v>
      </c>
      <c r="T1305" s="1">
        <f t="shared" si="47"/>
        <v>0</v>
      </c>
      <c r="U1305" s="90">
        <v>52980.72</v>
      </c>
      <c r="V1305" s="1">
        <f t="shared" si="50"/>
        <v>1.8189894035458565E-12</v>
      </c>
    </row>
    <row r="1306" spans="1:22" x14ac:dyDescent="0.25">
      <c r="A1306" t="s">
        <v>1484</v>
      </c>
      <c r="B1306" s="110">
        <v>7479.67</v>
      </c>
      <c r="E1306" s="110">
        <v>76.62</v>
      </c>
      <c r="F1306" s="90">
        <v>46849.17</v>
      </c>
      <c r="G1306" s="90">
        <v>-1701.75</v>
      </c>
      <c r="I1306" s="90">
        <v>23.259999999999998</v>
      </c>
      <c r="O1306" s="3">
        <f t="shared" si="49"/>
        <v>-60888.12</v>
      </c>
      <c r="T1306" s="1">
        <f t="shared" si="47"/>
        <v>0</v>
      </c>
    </row>
    <row r="1307" spans="1:22" x14ac:dyDescent="0.25">
      <c r="A1307" t="s">
        <v>1485</v>
      </c>
      <c r="B1307" s="110">
        <v>3502.37</v>
      </c>
      <c r="F1307" s="110">
        <v>54379.43</v>
      </c>
      <c r="G1307" s="110">
        <v>-1047.5999999999999</v>
      </c>
      <c r="M1307" s="110">
        <v>44049.37</v>
      </c>
      <c r="O1307" s="3">
        <f t="shared" si="49"/>
        <v>-67346.489999999991</v>
      </c>
      <c r="R1307" s="110">
        <v>26171.61</v>
      </c>
      <c r="T1307" s="1">
        <f t="shared" si="47"/>
        <v>-26171.61</v>
      </c>
    </row>
    <row r="1308" spans="1:22" x14ac:dyDescent="0.25">
      <c r="A1308" t="s">
        <v>1486</v>
      </c>
      <c r="B1308" s="110">
        <v>5196.4500000000007</v>
      </c>
      <c r="F1308" s="110">
        <v>19999.489999999998</v>
      </c>
      <c r="G1308" s="110">
        <v>-204.74</v>
      </c>
      <c r="N1308" s="110">
        <v>165376.59</v>
      </c>
      <c r="O1308" s="3">
        <f t="shared" si="49"/>
        <v>128234.61</v>
      </c>
      <c r="P1308" s="110">
        <v>-0.25</v>
      </c>
      <c r="S1308" s="110">
        <v>26171.360000000001</v>
      </c>
      <c r="T1308" s="1">
        <f t="shared" si="47"/>
        <v>26171.61</v>
      </c>
      <c r="U1308" s="110">
        <v>191547.95</v>
      </c>
      <c r="V1308" s="3">
        <f>U1308-P1308-N1308-Q1308-R1308+N1308-I1309-G1309-F1309-D1308-E1308-B1308-M1307-R1307-R1306-Q1307-Q1306-P1306-P1307-K1308-K1307-I1307-G1307-F1307-E1307-E1306-B1307-B1306-M1306-D1306-D1307-M1308-H1307-C1306-H1309-K1309-C1307-L1306-L1307-L1308-F1308-G1308-J1307-H1308</f>
        <v>1.659827830735594E-11</v>
      </c>
    </row>
    <row r="1309" spans="1:22" x14ac:dyDescent="0.25">
      <c r="A1309" t="s">
        <v>1487</v>
      </c>
      <c r="B1309" s="49">
        <v>9025.8900000000012</v>
      </c>
      <c r="F1309" s="110">
        <v>32537.599999999999</v>
      </c>
      <c r="G1309" s="110">
        <v>-658.91</v>
      </c>
      <c r="I1309" s="110">
        <v>66.839999999999989</v>
      </c>
      <c r="N1309" s="49">
        <v>41428.839999999997</v>
      </c>
      <c r="O1309" s="3">
        <f t="shared" si="49"/>
        <v>-200.00000000000909</v>
      </c>
      <c r="T1309" s="1">
        <f t="shared" si="47"/>
        <v>0</v>
      </c>
      <c r="U1309" s="49">
        <v>41428.839999999997</v>
      </c>
      <c r="V1309" s="1">
        <f t="shared" ref="V1309:V1310" si="51">U1309-P1309-N1309-Q1309-R1309+N1309-I1310-G1310-F1310-D1309-E1309-B1309-K1310-M1309-H1310-C1309-L1309-J1309</f>
        <v>-200.00000000000909</v>
      </c>
    </row>
    <row r="1310" spans="1:22" x14ac:dyDescent="0.25">
      <c r="A1310" t="s">
        <v>1488</v>
      </c>
      <c r="B1310" s="9">
        <v>11000.91</v>
      </c>
      <c r="E1310" s="9">
        <v>9.6499999999999986</v>
      </c>
      <c r="F1310" s="49">
        <v>43159.15</v>
      </c>
      <c r="G1310" s="49">
        <v>-10597.890000000001</v>
      </c>
      <c r="I1310" s="49">
        <v>41.69</v>
      </c>
      <c r="M1310" s="9">
        <v>9720.5499999999993</v>
      </c>
      <c r="N1310" s="9">
        <v>65282.76</v>
      </c>
      <c r="O1310" s="3">
        <f t="shared" si="49"/>
        <v>0</v>
      </c>
      <c r="R1310" s="9">
        <v>491.5</v>
      </c>
      <c r="S1310" s="9">
        <v>491.5</v>
      </c>
      <c r="T1310" s="1">
        <f t="shared" si="47"/>
        <v>0</v>
      </c>
      <c r="U1310" s="9">
        <v>65774.259999999995</v>
      </c>
      <c r="V1310" s="1">
        <f t="shared" si="51"/>
        <v>-2.9096725029376103E-12</v>
      </c>
    </row>
    <row r="1311" spans="1:22" x14ac:dyDescent="0.25">
      <c r="A1311" t="s">
        <v>1489</v>
      </c>
      <c r="B1311" s="72">
        <v>13733.84</v>
      </c>
      <c r="F1311" s="9">
        <v>48353.020000000004</v>
      </c>
      <c r="G1311" s="9">
        <v>-3783.07</v>
      </c>
      <c r="H1311" s="9">
        <v>-18.3</v>
      </c>
      <c r="N1311" s="72">
        <v>76304.350000000006</v>
      </c>
      <c r="O1311" s="3">
        <f>N1311-K1312-I1312-H1312-G1312-F1312-E1311-D1311-C1311-B1311-M1311-L1311-J1311</f>
        <v>-3.637978807091713E-12</v>
      </c>
      <c r="T1311" s="1">
        <f t="shared" si="47"/>
        <v>0</v>
      </c>
      <c r="U1311" s="72">
        <v>76304.350000000006</v>
      </c>
      <c r="V1311" s="1">
        <f>U1311-P1311-N1311-Q1311-R1311+N1311-I1312-G1312-F1312-D1311-E1311-B1311-K1312-M1311-H1312-C1311-L1311-J1311</f>
        <v>-3.637978807091713E-12</v>
      </c>
    </row>
    <row r="1312" spans="1:22" x14ac:dyDescent="0.25">
      <c r="A1312" t="s">
        <v>1490</v>
      </c>
      <c r="B1312" s="5">
        <v>11604.14</v>
      </c>
      <c r="E1312" s="72">
        <v>23.47</v>
      </c>
      <c r="F1312" s="72">
        <v>67732.060000000012</v>
      </c>
      <c r="G1312" s="72">
        <v>-5331.5</v>
      </c>
      <c r="I1312" s="72">
        <v>169.95000000000002</v>
      </c>
      <c r="N1312" s="5">
        <v>53813.16</v>
      </c>
      <c r="O1312" s="3">
        <f>N1312-K1313-I1313-H1313-G1313-F1313-E1312-D1312-C1312-B1312-M1312-L1312-J1312</f>
        <v>1.8189894035458565E-12</v>
      </c>
      <c r="T1312" s="1">
        <f t="shared" si="47"/>
        <v>0</v>
      </c>
      <c r="U1312" s="5">
        <v>53813.16</v>
      </c>
      <c r="V1312" s="1">
        <f>U1312-P1312-N1312-Q1312-R1312+N1312-I1313-G1313-F1313-D1312-E1312-B1312-K1313-M1312-H1313-C1312-L1312-J1312</f>
        <v>1.8189894035458565E-12</v>
      </c>
    </row>
    <row r="1313" spans="1:22" x14ac:dyDescent="0.25">
      <c r="A1313" t="s">
        <v>1491</v>
      </c>
      <c r="B1313" s="56">
        <v>15739.3</v>
      </c>
      <c r="F1313" s="5">
        <v>43669.75</v>
      </c>
      <c r="G1313" s="5">
        <v>-1484.2</v>
      </c>
      <c r="O1313" s="3">
        <f t="shared" ref="O1313:O1318" si="52">N1313-K1314-I1314-H1314-G1314-F1314-E1313-D1313-C1313-B1313-M1313-L1313-J1313</f>
        <v>-74042.659999999989</v>
      </c>
      <c r="T1313" s="1">
        <f t="shared" si="47"/>
        <v>0</v>
      </c>
    </row>
    <row r="1314" spans="1:22" x14ac:dyDescent="0.25">
      <c r="A1314" t="s">
        <v>1492</v>
      </c>
      <c r="B1314" s="56">
        <v>7114.39</v>
      </c>
      <c r="F1314" s="56">
        <v>61069.77</v>
      </c>
      <c r="G1314" s="56">
        <v>-2773.7000000000003</v>
      </c>
      <c r="I1314" s="56">
        <v>7.29</v>
      </c>
      <c r="M1314" s="56">
        <v>14840.8</v>
      </c>
      <c r="O1314" s="3">
        <f>N1314-K1315-I1315-H1315-G1315-F1315-E1314-D1314-C1314-B1314-M1314-L1314-J1314</f>
        <v>-54602.649999999994</v>
      </c>
      <c r="R1314" s="56">
        <v>905.62</v>
      </c>
      <c r="T1314" s="1">
        <f t="shared" si="47"/>
        <v>-905.62</v>
      </c>
    </row>
    <row r="1315" spans="1:22" x14ac:dyDescent="0.25">
      <c r="A1315" t="s">
        <v>1493</v>
      </c>
      <c r="B1315" s="56">
        <v>3601.28</v>
      </c>
      <c r="E1315" s="56">
        <v>5.88</v>
      </c>
      <c r="F1315" s="56">
        <v>32939.159999999996</v>
      </c>
      <c r="G1315" s="56">
        <v>-291.7</v>
      </c>
      <c r="N1315" s="56">
        <v>166957.31</v>
      </c>
      <c r="O1315" s="3">
        <f t="shared" si="52"/>
        <v>128645.31</v>
      </c>
      <c r="S1315" s="56">
        <v>905.62</v>
      </c>
      <c r="T1315" s="1">
        <f t="shared" si="47"/>
        <v>905.62</v>
      </c>
      <c r="U1315" s="56">
        <v>167862.93</v>
      </c>
      <c r="V1315" s="3">
        <f>U1315-P1315-N1315-Q1315-R1315+N1315-I1316-G1316-F1316-D1315-E1315-B1315-M1314-R1314-R1313-Q1314-Q1313-P1313-P1314-K1315-K1314-I1314-G1314-F1314-E1314-E1313-B1314-B1313-M1313-D1313-D1314-M1315-H1314-C1313-H1316-K1316-C1314-L1313-L1314-L1315-F1315-G1315-J1314-H1315</f>
        <v>6.5369931689929217E-12</v>
      </c>
    </row>
    <row r="1316" spans="1:22" x14ac:dyDescent="0.25">
      <c r="A1316" t="s">
        <v>1494</v>
      </c>
      <c r="B1316" s="37">
        <v>10607.5</v>
      </c>
      <c r="F1316" s="56">
        <v>35647.160000000003</v>
      </c>
      <c r="G1316" s="56">
        <v>-942.32</v>
      </c>
      <c r="I1316" s="3"/>
      <c r="N1316" s="37">
        <v>69396.100000000006</v>
      </c>
      <c r="O1316" s="3">
        <f t="shared" si="52"/>
        <v>0</v>
      </c>
      <c r="T1316" s="1">
        <f t="shared" si="47"/>
        <v>0</v>
      </c>
      <c r="U1316" s="37">
        <v>69396.100000000006</v>
      </c>
      <c r="V1316" s="1">
        <f>U1316-P1316-N1316-Q1316-R1316+N1316-I1317-G1317-F1317-D1316-E1316-B1316-K1317-M1316-H1317-C1316-L1316-J1316</f>
        <v>0</v>
      </c>
    </row>
    <row r="1317" spans="1:22" x14ac:dyDescent="0.25">
      <c r="A1317" t="s">
        <v>1495</v>
      </c>
      <c r="B1317" s="45">
        <v>11039.51</v>
      </c>
      <c r="F1317" s="37">
        <v>60051.78</v>
      </c>
      <c r="G1317" s="37">
        <v>-1263.18</v>
      </c>
      <c r="N1317" s="45">
        <v>99717.1</v>
      </c>
      <c r="O1317" s="3">
        <f t="shared" si="52"/>
        <v>9.0949470177292824E-12</v>
      </c>
      <c r="T1317" s="1">
        <f t="shared" si="47"/>
        <v>0</v>
      </c>
      <c r="U1317" s="45">
        <v>99717.1</v>
      </c>
      <c r="V1317" s="1">
        <f>U1317-P1317-N1317-Q1317-R1317+N1317-I1318-G1318-F1318-D1317-E1317-B1317-K1318-M1317-H1318-C1317-L1317-J1317</f>
        <v>6.5938365878537297E-12</v>
      </c>
    </row>
    <row r="1318" spans="1:22" x14ac:dyDescent="0.25">
      <c r="A1318" t="s">
        <v>1496</v>
      </c>
      <c r="B1318" s="129">
        <v>10233.27</v>
      </c>
      <c r="C1318" s="98">
        <v>-321.88000000000005</v>
      </c>
      <c r="E1318" s="69">
        <v>263.31</v>
      </c>
      <c r="F1318" s="45">
        <v>90955.77</v>
      </c>
      <c r="G1318" s="45">
        <v>-307.49</v>
      </c>
      <c r="H1318" s="45">
        <v>-1970.6899999999998</v>
      </c>
      <c r="N1318" s="98">
        <v>98123.82</v>
      </c>
      <c r="O1318" s="3">
        <f t="shared" si="52"/>
        <v>1.0913936421275139E-11</v>
      </c>
      <c r="P1318" s="98">
        <v>-253.57</v>
      </c>
      <c r="S1318" s="98">
        <v>-253.57</v>
      </c>
      <c r="T1318" s="1">
        <f t="shared" si="47"/>
        <v>0</v>
      </c>
      <c r="U1318" s="98">
        <v>97870.25</v>
      </c>
      <c r="V1318" s="1">
        <f>U1318-P1318-N1318-Q1318-R1318+N1318-I1319-G1319-F1319-D1318-E1318-B1318-K1319-M1318-H1319-C1318-L1318-J1318</f>
        <v>1.1766587704187259E-11</v>
      </c>
    </row>
    <row r="1319" spans="1:22" x14ac:dyDescent="0.25">
      <c r="A1319" t="s">
        <v>1497</v>
      </c>
      <c r="B1319" s="6">
        <v>9782.19</v>
      </c>
      <c r="F1319" s="98">
        <v>90318.29</v>
      </c>
      <c r="G1319" s="98">
        <v>-2369.1699999999996</v>
      </c>
      <c r="N1319" s="6">
        <v>54351.05</v>
      </c>
      <c r="O1319" s="3">
        <f>N1319-K1320-I1320-H1320-G1320-F1320-E1319-D1319-C1319-B1319-M1319-L1319-J1319</f>
        <v>1.8189894035458565E-12</v>
      </c>
      <c r="T1319" s="1">
        <f t="shared" si="47"/>
        <v>0</v>
      </c>
      <c r="U1319" s="6">
        <v>54351.05</v>
      </c>
      <c r="V1319" s="1">
        <f>U1319-P1319-N1319-Q1319-R1319+N1319-I1320-G1320-F1320-D1319-E1319-B1319-K1320-M1319-H1320-C1319-L1319-J1319</f>
        <v>9.4502183856093325E-13</v>
      </c>
    </row>
    <row r="1320" spans="1:22" x14ac:dyDescent="0.25">
      <c r="A1320" t="s">
        <v>1498</v>
      </c>
      <c r="B1320" s="2">
        <v>18452.010000000002</v>
      </c>
      <c r="F1320" s="6">
        <v>45105.17</v>
      </c>
      <c r="G1320" s="6">
        <v>-487.02</v>
      </c>
      <c r="H1320" s="6">
        <v>-49.29</v>
      </c>
      <c r="O1320" s="3">
        <f t="shared" ref="O1320:O1323" si="53">N1320-K1321-I1321-H1321-G1321-F1321-E1320-D1320-C1320-B1320-M1320-L1320-J1320</f>
        <v>-80219.23</v>
      </c>
      <c r="Q1320" s="2">
        <v>-233.69</v>
      </c>
      <c r="R1320" s="2">
        <v>429.39</v>
      </c>
      <c r="T1320" s="1">
        <f t="shared" si="47"/>
        <v>-195.7</v>
      </c>
    </row>
    <row r="1321" spans="1:22" x14ac:dyDescent="0.25">
      <c r="A1321" t="s">
        <v>1499</v>
      </c>
      <c r="B1321" s="2">
        <v>6349.83</v>
      </c>
      <c r="F1321" s="2">
        <v>65921.849999999991</v>
      </c>
      <c r="G1321" s="2">
        <v>-4154.6299999999992</v>
      </c>
      <c r="M1321" s="22">
        <v>13971.56</v>
      </c>
      <c r="O1321" s="3">
        <f t="shared" si="53"/>
        <v>-57382.17</v>
      </c>
      <c r="S1321" s="2">
        <v>195.7</v>
      </c>
      <c r="T1321" s="1">
        <f t="shared" si="47"/>
        <v>195.7</v>
      </c>
    </row>
    <row r="1322" spans="1:22" x14ac:dyDescent="0.25">
      <c r="A1322" t="s">
        <v>1500</v>
      </c>
      <c r="B1322" s="2">
        <v>4601.4400000000005</v>
      </c>
      <c r="F1322" s="2">
        <v>39156.339999999997</v>
      </c>
      <c r="G1322" s="2">
        <v>-1922.94</v>
      </c>
      <c r="H1322" s="2">
        <v>-172.62</v>
      </c>
      <c r="N1322" s="2">
        <v>189725.53</v>
      </c>
      <c r="O1322" s="3">
        <f t="shared" si="53"/>
        <v>137601.39999999997</v>
      </c>
      <c r="T1322" s="1">
        <f t="shared" si="47"/>
        <v>0</v>
      </c>
      <c r="U1322" s="2">
        <v>189921.23</v>
      </c>
      <c r="V1322" s="3">
        <f>U1322-P1322-N1322-Q1322-R1322+N1322-I1323-G1323-F1323-D1322-E1322-B1322-M1321-R1321-R1320-Q1321-Q1320-P1320-P1321-K1322-K1321-I1321-G1321-F1321-E1321-E1320-B1321-B1320-M1320-D1320-D1321-M1322-H1321-C1320-H1323-K1323-C1321-L1320-L1321-L1322-F1322-G1322-J1321-H1322</f>
        <v>-4.8885340220294893E-12</v>
      </c>
    </row>
    <row r="1323" spans="1:22" x14ac:dyDescent="0.25">
      <c r="A1323" t="s">
        <v>1501</v>
      </c>
      <c r="B1323" s="72">
        <v>18854.009999999998</v>
      </c>
      <c r="E1323" s="72">
        <v>115.89999999999999</v>
      </c>
      <c r="F1323" s="2">
        <v>48444.3</v>
      </c>
      <c r="G1323" s="2">
        <v>-921.61</v>
      </c>
      <c r="N1323" s="72">
        <v>103117.24</v>
      </c>
      <c r="O1323" s="3">
        <f t="shared" si="53"/>
        <v>3.637978807091713E-12</v>
      </c>
      <c r="T1323" s="1">
        <f t="shared" si="47"/>
        <v>0</v>
      </c>
      <c r="U1323" s="72">
        <v>103117.24</v>
      </c>
      <c r="V1323" s="1">
        <f>U1323-P1323-N1323-Q1323-R1323+N1323-I1324-G1324-F1324-D1323-E1323-B1323-K1324-M1323-H1324-C1323-L1323-J1323</f>
        <v>-2.2737367544323206E-12</v>
      </c>
    </row>
    <row r="1324" spans="1:22" x14ac:dyDescent="0.25">
      <c r="A1324" t="s">
        <v>1502</v>
      </c>
      <c r="B1324" s="57">
        <v>9945.5</v>
      </c>
      <c r="E1324" s="57">
        <v>467.11</v>
      </c>
      <c r="F1324" s="72">
        <v>87301.8</v>
      </c>
      <c r="G1324" s="72">
        <v>-1878.87</v>
      </c>
      <c r="H1324" s="72">
        <v>-1275.5999999999999</v>
      </c>
      <c r="N1324" s="57">
        <v>67242.55</v>
      </c>
      <c r="O1324" s="3">
        <f>N1324-K1325-I1325-H1325-G1325-F1325-E1324-D1324-C1324-B1324-M1324-L1324-J1324</f>
        <v>0</v>
      </c>
      <c r="T1324" s="1">
        <f t="shared" si="47"/>
        <v>0</v>
      </c>
      <c r="U1324" s="57">
        <v>67242.55</v>
      </c>
      <c r="V1324" s="1">
        <f>U1324-P1324-N1324-Q1324-R1324+N1324-I1325-G1325-F1325-D1324-E1324-B1324-K1325-M1324-H1325-C1324-L1324-J1324</f>
        <v>0</v>
      </c>
    </row>
    <row r="1325" spans="1:22" x14ac:dyDescent="0.25">
      <c r="A1325" t="s">
        <v>1503</v>
      </c>
      <c r="B1325" s="115">
        <v>12248.02</v>
      </c>
      <c r="F1325" s="57">
        <v>58452.679999999993</v>
      </c>
      <c r="G1325" s="57">
        <v>-2859.09</v>
      </c>
      <c r="I1325" s="57">
        <v>1236.3499999999999</v>
      </c>
      <c r="N1325" s="115">
        <v>60739.62</v>
      </c>
      <c r="O1325" s="3">
        <f>N1325-K1326-I1326-H1326-G1326-F1326-E1325-D1325-C1325-B1325-M1325-L1325-J1325</f>
        <v>3.637978807091713E-12</v>
      </c>
      <c r="P1325" s="115">
        <v>-22.92</v>
      </c>
      <c r="S1325" s="115">
        <v>-22.92</v>
      </c>
      <c r="T1325" s="1">
        <f t="shared" si="47"/>
        <v>0</v>
      </c>
      <c r="U1325" s="115">
        <v>60716.7</v>
      </c>
      <c r="V1325" s="1">
        <f>U1325-P1325-N1325-Q1325-R1325+N1325-I1326-G1326-F1326-D1325-E1325-B1325-K1326-M1325-H1326-C1325-L1325-J1325</f>
        <v>-3.637978807091713E-12</v>
      </c>
    </row>
    <row r="1326" spans="1:22" x14ac:dyDescent="0.25">
      <c r="A1326" t="s">
        <v>1504</v>
      </c>
      <c r="B1326" s="103">
        <v>6233.07</v>
      </c>
      <c r="F1326" s="115">
        <v>52319.03</v>
      </c>
      <c r="G1326" s="115">
        <v>-5512.65</v>
      </c>
      <c r="I1326" s="115">
        <v>1685.22</v>
      </c>
      <c r="N1326" s="103">
        <v>93191.360000000001</v>
      </c>
      <c r="O1326" s="3">
        <f>N1326-K1327-I1327-H1327-G1327-F1327-E1326-D1326-C1326-B1326-M1326-L1326-J1326</f>
        <v>7.2759576141834259E-12</v>
      </c>
      <c r="P1326" s="103">
        <v>-224.95</v>
      </c>
      <c r="S1326" s="103">
        <v>-224.95</v>
      </c>
      <c r="T1326" s="1">
        <f t="shared" si="47"/>
        <v>0</v>
      </c>
      <c r="U1326" s="103">
        <v>92966.41</v>
      </c>
      <c r="V1326" s="1">
        <f>U1326-P1326-N1326-Q1326-R1326+N1326-I1327-G1327-F1327-D1326-E1326-B1326-K1327-M1326-H1327-C1326-L1326-J1326</f>
        <v>7.2759576141834259E-12</v>
      </c>
    </row>
    <row r="1327" spans="1:22" x14ac:dyDescent="0.25">
      <c r="A1327" t="s">
        <v>1505</v>
      </c>
      <c r="B1327" s="89">
        <v>18095.800000000003</v>
      </c>
      <c r="C1327" s="89">
        <v>-609.62</v>
      </c>
      <c r="E1327" s="89">
        <v>197.31</v>
      </c>
      <c r="F1327" s="103">
        <v>89168.73</v>
      </c>
      <c r="G1327" s="103">
        <v>-2210.44</v>
      </c>
      <c r="O1327" s="3">
        <f t="shared" ref="O1327:O1335" si="54">N1327-K1328-I1328-H1328-G1328-F1328-E1327-D1327-C1327-B1327-M1327-L1327-J1327</f>
        <v>-81754.069999999978</v>
      </c>
      <c r="P1327" s="89">
        <v>-22.42</v>
      </c>
      <c r="T1327" s="1">
        <f t="shared" si="47"/>
        <v>22.42</v>
      </c>
    </row>
    <row r="1328" spans="1:22" x14ac:dyDescent="0.25">
      <c r="A1328" t="s">
        <v>1506</v>
      </c>
      <c r="B1328" s="89">
        <v>7833.13</v>
      </c>
      <c r="F1328" s="89">
        <v>64861.26999999999</v>
      </c>
      <c r="G1328" s="89">
        <v>-766.2</v>
      </c>
      <c r="H1328" s="89">
        <v>-24.49</v>
      </c>
      <c r="M1328" s="89">
        <v>15587.06</v>
      </c>
      <c r="O1328" s="3">
        <f t="shared" si="54"/>
        <v>-55430.329999999994</v>
      </c>
      <c r="R1328" s="89">
        <v>918.49</v>
      </c>
      <c r="S1328" s="89">
        <v>896.07</v>
      </c>
      <c r="T1328" s="1">
        <f t="shared" si="47"/>
        <v>-22.419999999999959</v>
      </c>
    </row>
    <row r="1329" spans="1:22" x14ac:dyDescent="0.25">
      <c r="A1329" t="s">
        <v>1507</v>
      </c>
      <c r="B1329" s="89">
        <v>5079.17</v>
      </c>
      <c r="F1329" s="89">
        <v>32124.899999999998</v>
      </c>
      <c r="G1329" s="89">
        <v>-114.76</v>
      </c>
      <c r="N1329" s="89">
        <v>173720.26</v>
      </c>
      <c r="O1329" s="3">
        <f t="shared" si="54"/>
        <v>137184.4</v>
      </c>
      <c r="T1329" s="1">
        <f t="shared" si="47"/>
        <v>0</v>
      </c>
      <c r="U1329" s="89">
        <v>174616.33</v>
      </c>
      <c r="V1329" s="3">
        <f>U1329-P1329-N1329-Q1329-R1329+N1329-I1330-G1330-F1330-D1329-E1329-B1329-M1328-R1328-R1327-Q1328-Q1327-P1327-P1328-K1329-K1328-I1328-G1328-F1328-E1328-E1327-B1328-B1327-M1327-D1327-D1328-M1329-H1328-C1327-H1330-K1330-C1328-L1327-L1328-L1329-F1329-G1329-J1328-H1329</f>
        <v>-2.0222046259732451E-11</v>
      </c>
    </row>
    <row r="1330" spans="1:22" x14ac:dyDescent="0.25">
      <c r="A1330" t="s">
        <v>1508</v>
      </c>
      <c r="B1330" s="55">
        <v>11580.65</v>
      </c>
      <c r="F1330" s="89">
        <v>35433.440000000002</v>
      </c>
      <c r="G1330" s="89">
        <v>-3976.75</v>
      </c>
      <c r="N1330" s="55">
        <v>52073.919999999998</v>
      </c>
      <c r="O1330" s="3">
        <f t="shared" si="54"/>
        <v>1.8189894035458565E-12</v>
      </c>
      <c r="T1330" s="1">
        <f t="shared" si="47"/>
        <v>0</v>
      </c>
      <c r="U1330" s="55">
        <v>52073.919999999998</v>
      </c>
      <c r="V1330" s="1">
        <f>U1330-P1330-N1330-Q1330-R1330+N1330-I1331-G1331-F1331-D1330-E1330-B1330-K1331-M1330-H1331-C1330-L1330-J1330</f>
        <v>1.2367884494324244E-12</v>
      </c>
    </row>
    <row r="1331" spans="1:22" x14ac:dyDescent="0.25">
      <c r="A1331" t="s">
        <v>1509</v>
      </c>
      <c r="B1331" s="110">
        <v>11779.490000000002</v>
      </c>
      <c r="F1331" s="55">
        <v>42616.02</v>
      </c>
      <c r="G1331" s="55">
        <v>-2118.89</v>
      </c>
      <c r="H1331" s="55">
        <v>-3.86</v>
      </c>
      <c r="N1331" s="110">
        <v>104183.44</v>
      </c>
      <c r="O1331" s="3">
        <f t="shared" si="54"/>
        <v>3.637978807091713E-12</v>
      </c>
      <c r="T1331" s="1">
        <f t="shared" si="47"/>
        <v>0</v>
      </c>
      <c r="U1331" s="110">
        <v>104183.44</v>
      </c>
      <c r="V1331" s="1">
        <f>U1331-P1331-N1331-Q1331-R1331+N1331-I1332-G1332-F1332-D1331-E1331-B1331-K1332-M1331-H1332-C1331-L1331-J1331</f>
        <v>3.637978807091713E-12</v>
      </c>
    </row>
    <row r="1332" spans="1:22" x14ac:dyDescent="0.25">
      <c r="A1332" t="s">
        <v>1510</v>
      </c>
      <c r="B1332" s="108">
        <v>11699.94</v>
      </c>
      <c r="F1332" s="110">
        <v>100035.24</v>
      </c>
      <c r="G1332" s="110">
        <v>-7631.2900000000009</v>
      </c>
      <c r="N1332" s="108">
        <v>62268.12</v>
      </c>
      <c r="O1332" s="3">
        <f t="shared" si="54"/>
        <v>1.8189894035458565E-12</v>
      </c>
      <c r="T1332" s="1">
        <f t="shared" si="47"/>
        <v>0</v>
      </c>
      <c r="U1332" s="108">
        <v>62268.12</v>
      </c>
      <c r="V1332" s="1">
        <f>U1332-P1332-N1332-Q1332-R1332+N1332-I1333-G1333-F1333-D1332-E1332-B1332-K1333-M1332-H1333-C1332-L1332-J1332</f>
        <v>3.4106051316484809E-13</v>
      </c>
    </row>
    <row r="1333" spans="1:22" x14ac:dyDescent="0.25">
      <c r="A1333" t="s">
        <v>1511</v>
      </c>
      <c r="B1333" s="56">
        <v>15925.08</v>
      </c>
      <c r="F1333" s="108">
        <v>53845.39</v>
      </c>
      <c r="G1333" s="108">
        <v>-2436.06</v>
      </c>
      <c r="H1333" s="108">
        <v>-841.15</v>
      </c>
      <c r="N1333" s="56">
        <v>103541.03</v>
      </c>
      <c r="O1333" s="3">
        <f t="shared" si="54"/>
        <v>1.8189894035458565E-12</v>
      </c>
      <c r="T1333" s="1">
        <f t="shared" si="47"/>
        <v>0</v>
      </c>
      <c r="U1333" s="56">
        <v>103541.03</v>
      </c>
      <c r="V1333" s="1">
        <f>U1333-P1333-N1333-Q1333-R1333+N1333-I1334-G1334-F1334-D1333-E1333-B1333-K1334-M1333-H1334-C1333-L1333-J1333</f>
        <v>-2.2737367544323206E-12</v>
      </c>
    </row>
    <row r="1334" spans="1:22" x14ac:dyDescent="0.25">
      <c r="A1334" t="s">
        <v>1512</v>
      </c>
      <c r="B1334" s="42">
        <v>12941.9</v>
      </c>
      <c r="F1334" s="56">
        <v>96977</v>
      </c>
      <c r="G1334" s="56">
        <v>-8779.2799999999988</v>
      </c>
      <c r="H1334" s="56">
        <v>-581.77</v>
      </c>
      <c r="O1334" s="3">
        <f t="shared" si="54"/>
        <v>-58838.770000000004</v>
      </c>
      <c r="P1334" s="42">
        <v>-112.35</v>
      </c>
      <c r="R1334" s="131">
        <v>29066.34</v>
      </c>
      <c r="T1334" s="1">
        <f t="shared" si="47"/>
        <v>-28953.99</v>
      </c>
    </row>
    <row r="1335" spans="1:22" x14ac:dyDescent="0.25">
      <c r="A1335" t="s">
        <v>1513</v>
      </c>
      <c r="B1335" s="42">
        <v>12291.32</v>
      </c>
      <c r="C1335" s="42">
        <v>-75.86</v>
      </c>
      <c r="F1335" s="42">
        <v>46246.75</v>
      </c>
      <c r="G1335" s="42">
        <v>-362.54</v>
      </c>
      <c r="I1335" s="42">
        <v>12.66</v>
      </c>
      <c r="M1335" s="130">
        <v>41247.040000000001</v>
      </c>
      <c r="O1335" s="3">
        <f t="shared" si="54"/>
        <v>-82223.26999999999</v>
      </c>
      <c r="P1335" s="42">
        <v>-44.88</v>
      </c>
      <c r="S1335" s="42">
        <v>28909.11</v>
      </c>
      <c r="T1335" s="1">
        <f t="shared" si="47"/>
        <v>28953.99</v>
      </c>
    </row>
    <row r="1336" spans="1:22" x14ac:dyDescent="0.25">
      <c r="A1336" t="s">
        <v>1514</v>
      </c>
      <c r="B1336" s="42">
        <v>7851.91</v>
      </c>
      <c r="F1336" s="42">
        <v>33183.93</v>
      </c>
      <c r="G1336" s="42">
        <v>-4172.6400000000003</v>
      </c>
      <c r="H1336" s="42">
        <v>-250.52</v>
      </c>
      <c r="N1336" s="42">
        <v>207051.51999999999</v>
      </c>
      <c r="O1336" s="3">
        <f>N1336-K1337-I1337-H1337-G1337-F1337-E1336-D1336-C1336-B1336-M1336-L1336-J1336</f>
        <v>141062.03999999998</v>
      </c>
      <c r="T1336" s="1">
        <f t="shared" si="47"/>
        <v>0</v>
      </c>
      <c r="U1336" s="42">
        <v>235960.63</v>
      </c>
      <c r="V1336" s="3">
        <f>U1336-P1336-N1336-Q1336-R1336+N1336-I1337-G1337-F1337-D1336-E1336-B1336-M1335-R1335-R1334-Q1335-Q1334-P1334-P1335-K1336-K1335-I1335-G1335-F1335-E1335-E1334-B1335-B1334-M1334-D1334-D1335-M1336-H1335-C1334-H1337-K1337-C1335-L1334-L1335-L1336-F1336-G1336-J1335-H1336</f>
        <v>-1.0430767360958271E-11</v>
      </c>
    </row>
    <row r="1337" spans="1:22" x14ac:dyDescent="0.25">
      <c r="A1337" t="s">
        <v>1515</v>
      </c>
      <c r="B1337" s="35">
        <v>13699.589999999998</v>
      </c>
      <c r="F1337" s="42">
        <v>58423.35</v>
      </c>
      <c r="G1337" s="42">
        <v>-309.75</v>
      </c>
      <c r="I1337" s="42">
        <v>23.970000000000002</v>
      </c>
      <c r="M1337" s="132">
        <v>1000</v>
      </c>
      <c r="N1337" s="35">
        <v>88950.59</v>
      </c>
      <c r="O1337" s="3">
        <f>N1337-K1338-I1338-H1338-G1338-F1338-E1337-D1337-C1337-B1337-M1337-L1337-J1337</f>
        <v>1.2732925824820995E-11</v>
      </c>
      <c r="P1337" s="35">
        <v>-471.24</v>
      </c>
      <c r="S1337" s="35">
        <v>-471.24</v>
      </c>
      <c r="T1337" s="1">
        <f t="shared" si="47"/>
        <v>0</v>
      </c>
      <c r="U1337" s="35">
        <v>88479.35</v>
      </c>
      <c r="V1337" s="1">
        <f>U1337-P1337-N1337-Q1337-R1337+N1337-I1338-G1338-F1338-D1337-E1337-B1337-K1338-M1337-H1338-C1337-L1337-J1337</f>
        <v>2.7284841053187847E-11</v>
      </c>
    </row>
    <row r="1338" spans="1:22" x14ac:dyDescent="0.25">
      <c r="A1338" t="s">
        <v>1516</v>
      </c>
      <c r="B1338" s="90">
        <v>14454.019999999999</v>
      </c>
      <c r="F1338" s="35">
        <v>78696.01999999999</v>
      </c>
      <c r="G1338" s="35">
        <v>-4445.0200000000004</v>
      </c>
      <c r="N1338" s="90">
        <v>74237.66</v>
      </c>
      <c r="O1338" s="3">
        <f t="shared" ref="O1338:O1339" si="55">N1338-K1339-I1339-H1339-G1339-F1339-E1338-D1338-C1338-B1338-M1338-L1338-J1338</f>
        <v>5.4569682106375694E-12</v>
      </c>
      <c r="P1338" s="90">
        <v>-34.409999999999997</v>
      </c>
      <c r="S1338" s="90">
        <v>-34.409999999999997</v>
      </c>
      <c r="T1338" s="1">
        <f t="shared" si="47"/>
        <v>0</v>
      </c>
      <c r="U1338" s="90">
        <v>74203.25</v>
      </c>
      <c r="V1338" s="1">
        <f>U1338-P1338-N1338-Q1338-R1338+N1338-I1339-G1339-F1339-D1338-E1338-B1338-K1339-M1338-H1339-C1338-L1338-J1338</f>
        <v>5.4569682106375694E-12</v>
      </c>
    </row>
    <row r="1339" spans="1:22" x14ac:dyDescent="0.25">
      <c r="A1339" t="s">
        <v>1517</v>
      </c>
      <c r="B1339" s="5">
        <v>17920.190000000002</v>
      </c>
      <c r="F1339" s="90">
        <v>62673.229999999996</v>
      </c>
      <c r="G1339" s="90">
        <v>-2889.59</v>
      </c>
      <c r="M1339" s="5" t="s">
        <v>1519</v>
      </c>
      <c r="N1339" s="5">
        <v>96923.75</v>
      </c>
      <c r="O1339" s="3">
        <f t="shared" si="55"/>
        <v>0</v>
      </c>
      <c r="T1339" s="1">
        <f t="shared" si="47"/>
        <v>0</v>
      </c>
      <c r="U1339" s="5">
        <v>96923.75</v>
      </c>
      <c r="V1339" s="1">
        <f>U1339-P1339-N1339-Q1339-R1339+N1339-I1340-G1340-F1340-D1339-E1339-B1339-K1340-M1339-H1340-C1339-L1339-J1339</f>
        <v>0</v>
      </c>
    </row>
    <row r="1340" spans="1:22" x14ac:dyDescent="0.25">
      <c r="A1340" t="s">
        <v>1518</v>
      </c>
      <c r="B1340" s="37">
        <v>17906.86</v>
      </c>
      <c r="F1340" s="5">
        <v>80768.2</v>
      </c>
      <c r="G1340" s="5">
        <v>-4264.6399999999994</v>
      </c>
      <c r="N1340" s="37">
        <v>94108.26</v>
      </c>
      <c r="O1340" s="3">
        <f>N1340-K1341-I1341-H1341-G1341-F1341-E1340-D1340-C1340-B1340-M1340-L1340-J1340</f>
        <v>0</v>
      </c>
      <c r="P1340" s="37">
        <v>-0.75</v>
      </c>
      <c r="Q1340" s="37">
        <v>-84.99</v>
      </c>
      <c r="S1340" s="37">
        <v>-85.74</v>
      </c>
      <c r="T1340" s="1">
        <f t="shared" si="47"/>
        <v>0</v>
      </c>
      <c r="U1340" s="37">
        <v>94022.52</v>
      </c>
      <c r="V1340" s="1">
        <f>U1340-P1340-N1340-Q1340-R1340+N1340-I1341-G1341-F1341-D1340-E1340-B1340-K1341-M1340-H1341-C1340-L1340-J1340</f>
        <v>1.4551915228366852E-11</v>
      </c>
    </row>
    <row r="1341" spans="1:22" x14ac:dyDescent="0.25">
      <c r="A1341" t="s">
        <v>1520</v>
      </c>
      <c r="B1341" s="33">
        <v>21074.36</v>
      </c>
      <c r="D1341" s="33">
        <v>76.59</v>
      </c>
      <c r="F1341" s="37">
        <v>77152.55</v>
      </c>
      <c r="G1341" s="37">
        <v>-1127.0700000000002</v>
      </c>
      <c r="I1341" s="37">
        <v>175.92000000000002</v>
      </c>
      <c r="M1341" s="133">
        <v>10570.96</v>
      </c>
      <c r="O1341" s="3">
        <f t="shared" ref="O1341:O1345" si="56">N1341-K1342-I1342-H1342-G1342-F1342-E1341-D1341-C1341-B1341-M1341-L1341-J1341</f>
        <v>-105610.85</v>
      </c>
      <c r="P1341" s="33">
        <v>-90.43</v>
      </c>
      <c r="R1341" s="61">
        <v>400</v>
      </c>
      <c r="T1341" s="1">
        <f t="shared" si="47"/>
        <v>-309.57</v>
      </c>
    </row>
    <row r="1342" spans="1:22" x14ac:dyDescent="0.25">
      <c r="A1342" t="s">
        <v>1521</v>
      </c>
      <c r="B1342" s="33">
        <v>14233.880000000001</v>
      </c>
      <c r="F1342" s="33">
        <v>75339.23</v>
      </c>
      <c r="G1342" s="33">
        <v>-1450.29</v>
      </c>
      <c r="M1342" s="133">
        <v>15438.83</v>
      </c>
      <c r="O1342" s="3">
        <f t="shared" si="56"/>
        <v>-93043.459999999992</v>
      </c>
      <c r="P1342" s="33">
        <v>-45.34</v>
      </c>
      <c r="Q1342" s="33">
        <v>-10.63</v>
      </c>
      <c r="R1342" s="33">
        <v>1196.8399999999999</v>
      </c>
      <c r="T1342" s="1">
        <f>S1342-R1342-Q1342-P1342</f>
        <v>-1140.8699999999999</v>
      </c>
    </row>
    <row r="1343" spans="1:22" x14ac:dyDescent="0.25">
      <c r="A1343" t="s">
        <v>1522</v>
      </c>
      <c r="B1343" s="33">
        <v>10708.02</v>
      </c>
      <c r="F1343" s="33">
        <v>64063.969999999994</v>
      </c>
      <c r="G1343" s="33">
        <v>-693.22</v>
      </c>
      <c r="N1343" s="33">
        <v>270713.88</v>
      </c>
      <c r="O1343" s="3">
        <f t="shared" si="56"/>
        <v>198654.31</v>
      </c>
      <c r="P1343" s="33">
        <v>-0.25</v>
      </c>
      <c r="Q1343" s="33">
        <v>-127.51</v>
      </c>
      <c r="R1343"/>
      <c r="S1343" s="33">
        <v>1322.68</v>
      </c>
      <c r="T1343" s="1">
        <f>S1343-R1343-Q1343-P1343</f>
        <v>1450.44</v>
      </c>
      <c r="U1343" s="33">
        <v>272036.56</v>
      </c>
      <c r="V1343" s="3">
        <f>U1343-P1343-N1343-Q1343-R1343+N1343-I1344-G1344-F1344-D1343-E1343-B1343-M1342-R1342-R1341-Q1342-Q1341-P1341-P1342-K1343-K1342-I1342-G1342-F1342-E1342-E1341-B1342-B1341-M1341-D1341-D1342-M1343-H1342-C1341-H1344-K1344-C1342-L1341-L1342-L1343-F1343-G1343-J1342-H1343</f>
        <v>4.9794834922067821E-11</v>
      </c>
    </row>
    <row r="1344" spans="1:22" x14ac:dyDescent="0.25">
      <c r="A1344" t="s">
        <v>1523</v>
      </c>
      <c r="B1344" s="134">
        <v>21787.38</v>
      </c>
      <c r="F1344" s="33">
        <v>61883.28</v>
      </c>
      <c r="G1344" s="33">
        <v>-520.88</v>
      </c>
      <c r="H1344" s="33">
        <v>-10.850000000000001</v>
      </c>
      <c r="N1344" s="134">
        <v>141487.6</v>
      </c>
      <c r="O1344" s="3">
        <f t="shared" si="56"/>
        <v>3.637978807091713E-12</v>
      </c>
      <c r="P1344" s="134">
        <v>-280.75</v>
      </c>
      <c r="Q1344" s="134">
        <v>-13.82</v>
      </c>
      <c r="S1344" s="134">
        <v>-294.57</v>
      </c>
      <c r="T1344" s="1">
        <f>S1344-R1344-Q1344-P1344</f>
        <v>0</v>
      </c>
      <c r="U1344" s="134">
        <v>141193.03</v>
      </c>
      <c r="V1344" s="1">
        <f>U1344-P1344-N1344-Q1344-R1344+N1344-I1345-G1345-F1345-D1344-E1344-B1344-K1345-M1344-H1345-C1344-L1344-J1344</f>
        <v>3.637978807091713E-12</v>
      </c>
    </row>
    <row r="1345" spans="1:22" x14ac:dyDescent="0.25">
      <c r="A1345" t="s">
        <v>1524</v>
      </c>
      <c r="B1345" s="34">
        <v>22443.65</v>
      </c>
      <c r="F1345" s="134">
        <v>121351.59</v>
      </c>
      <c r="G1345" s="134">
        <v>-1804.37</v>
      </c>
      <c r="I1345" s="134">
        <v>153</v>
      </c>
      <c r="N1345" s="34">
        <v>89231.11</v>
      </c>
      <c r="O1345" s="3">
        <f t="shared" si="56"/>
        <v>-7.2759576141834259E-12</v>
      </c>
      <c r="P1345" s="34">
        <v>-44.76</v>
      </c>
      <c r="Q1345" s="34">
        <v>-25.47</v>
      </c>
      <c r="S1345" s="34">
        <v>-70.23</v>
      </c>
      <c r="T1345" s="1">
        <f>S1345-R1345-Q1345-P1345</f>
        <v>0</v>
      </c>
      <c r="U1345" s="34">
        <v>89160.88</v>
      </c>
      <c r="V1345" s="1">
        <f>U1345-P1345-N1345-Q1345-R1345+N1345-I1346-G1346-F1346-D1345-E1345-B1345-K1346-M1345-H1346-C1345-L1345-J1345</f>
        <v>-9.5496943686157465E-12</v>
      </c>
    </row>
    <row r="1346" spans="1:22" x14ac:dyDescent="0.25">
      <c r="A1346" t="s">
        <v>1525</v>
      </c>
      <c r="B1346" s="1">
        <v>21682.91</v>
      </c>
      <c r="F1346" s="34">
        <v>71467.91</v>
      </c>
      <c r="G1346" s="34">
        <v>-680.0100000000001</v>
      </c>
      <c r="H1346" s="34">
        <v>-4000.44</v>
      </c>
    </row>
    <row r="1947" spans="2:26" x14ac:dyDescent="0.25">
      <c r="B1947" s="33"/>
      <c r="D1947" s="33"/>
      <c r="E1947" s="33"/>
      <c r="O1947" s="33"/>
      <c r="R1947" s="33"/>
      <c r="T1947" s="33"/>
      <c r="U1947" s="33"/>
      <c r="X1947" s="61"/>
      <c r="Z1947" s="61"/>
    </row>
    <row r="1948" spans="2:26" x14ac:dyDescent="0.25">
      <c r="B1948" s="1" t="s">
        <v>7</v>
      </c>
      <c r="D1948" s="1" t="s">
        <v>1475</v>
      </c>
      <c r="E1948" s="1" t="s">
        <v>1475</v>
      </c>
      <c r="I1948" s="33" t="s">
        <v>7</v>
      </c>
      <c r="J1948" s="33" t="s">
        <v>7</v>
      </c>
      <c r="K1948" s="33" t="s">
        <v>7</v>
      </c>
      <c r="L1948" s="33" t="s">
        <v>7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6FF726BEEE0A40B6BFEEB1FC463B86" ma:contentTypeVersion="18" ma:contentTypeDescription="Create a new document." ma:contentTypeScope="" ma:versionID="49921fd1ab5b5ab4dccffb76aa5ee6aa">
  <xsd:schema xmlns:xsd="http://www.w3.org/2001/XMLSchema" xmlns:xs="http://www.w3.org/2001/XMLSchema" xmlns:p="http://schemas.microsoft.com/office/2006/metadata/properties" xmlns:ns1="http://schemas.microsoft.com/sharepoint/v3" xmlns:ns2="175a42ff-fca7-4b36-b921-881b9062a8bc" xmlns:ns3="79c27972-d5b8-452e-b1a8-62dedbda3696" xmlns:ns4="a07e67e0-d70e-4cd5-b8c6-1639450e7df2" targetNamespace="http://schemas.microsoft.com/office/2006/metadata/properties" ma:root="true" ma:fieldsID="58d8be3ce9a766f1f9cd5e03992397f3" ns1:_="" ns2:_="" ns3:_="" ns4:_="">
    <xsd:import namespace="http://schemas.microsoft.com/sharepoint/v3"/>
    <xsd:import namespace="175a42ff-fca7-4b36-b921-881b9062a8bc"/>
    <xsd:import namespace="79c27972-d5b8-452e-b1a8-62dedbda3696"/>
    <xsd:import namespace="a07e67e0-d70e-4cd5-b8c6-1639450e7d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a42ff-fca7-4b36-b921-881b9062a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bcace5b-e4db-4bfd-9f3b-dc25d743dd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27972-d5b8-452e-b1a8-62dedbda36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e67e0-d70e-4cd5-b8c6-1639450e7df2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3967063c-1454-4688-a88e-6d4b39fb65d3}" ma:internalName="TaxCatchAll" ma:showField="CatchAllData" ma:web="a07e67e0-d70e-4cd5-b8c6-1639450e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175a42ff-fca7-4b36-b921-881b9062a8bc" xsi:nil="true"/>
    <TaxCatchAll xmlns="a07e67e0-d70e-4cd5-b8c6-1639450e7df2" xsi:nil="true"/>
    <lcf76f155ced4ddcb4097134ff3c332f xmlns="175a42ff-fca7-4b36-b921-881b9062a8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DB402A-D9E5-40CA-8664-F193DCE65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5a42ff-fca7-4b36-b921-881b9062a8bc"/>
    <ds:schemaRef ds:uri="79c27972-d5b8-452e-b1a8-62dedbda3696"/>
    <ds:schemaRef ds:uri="a07e67e0-d70e-4cd5-b8c6-1639450e7d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9829AC-0066-4C2C-A4FD-D619A8B2FF52}">
  <ds:schemaRefs>
    <ds:schemaRef ds:uri="http://schemas.microsoft.com/office/2006/documentManagement/types"/>
    <ds:schemaRef ds:uri="a07e67e0-d70e-4cd5-b8c6-1639450e7df2"/>
    <ds:schemaRef ds:uri="http://purl.org/dc/elements/1.1/"/>
    <ds:schemaRef ds:uri="http://schemas.microsoft.com/office/2006/metadata/properties"/>
    <ds:schemaRef ds:uri="175a42ff-fca7-4b36-b921-881b9062a8bc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9c27972-d5b8-452e-b1a8-62dedbda369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A50FAE-6DDD-4E40-8DAA-8229BD2C04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NGN</vt:lpstr>
      <vt:lpstr>USD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Uzoma Alozie</dc:creator>
  <cp:lastModifiedBy>HP Laptop User</cp:lastModifiedBy>
  <cp:revision/>
  <dcterms:created xsi:type="dcterms:W3CDTF">2019-10-14T10:50:44Z</dcterms:created>
  <dcterms:modified xsi:type="dcterms:W3CDTF">2023-04-11T08:27:41Z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0x010100526FF726BEEE0A40B6BFEEB1FC463B86</vt:lpwstr>
  </property>
  <property fmtid="{D5CDD505-2E9C-101B-9397-08002B2CF9AE}" pid="3" name="MediaServiceImageTags">
    <vt:lpwstr/>
  </property>
</Properties>
</file>