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3EDF2D0-EF17-485D-93A0-ABFC89B082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FARI VALLEY RESORT" sheetId="3" r:id="rId1"/>
    <sheet name="ECO PARK" sheetId="4" r:id="rId2"/>
    <sheet name="REVENUE JAN TO MAY 24" sheetId="5" r:id="rId3"/>
  </sheets>
  <externalReferences>
    <externalReference r:id="rId4"/>
    <externalReference r:id="rId5"/>
  </externalReferences>
  <definedNames>
    <definedName name="_xlnm.Print_Area" localSheetId="1">'ECO PARK'!$A$1:$I$1173</definedName>
    <definedName name="_xlnm.Print_Area" localSheetId="0">'SAFARI VALLEY RESORT'!$A$1:$I$1500</definedName>
  </definedNames>
  <calcPr calcId="181029"/>
</workbook>
</file>

<file path=xl/calcChain.xml><?xml version="1.0" encoding="utf-8"?>
<calcChain xmlns="http://schemas.openxmlformats.org/spreadsheetml/2006/main">
  <c r="D1497" i="3" l="1"/>
  <c r="H1500" i="3" l="1"/>
  <c r="E1500" i="3"/>
  <c r="H1497" i="3"/>
  <c r="G1497" i="3" l="1"/>
  <c r="F1497" i="3"/>
  <c r="E1497" i="3"/>
  <c r="D1500" i="3" l="1"/>
  <c r="C1500" i="3" l="1"/>
  <c r="C1497" i="3"/>
  <c r="B1500" i="3"/>
  <c r="B1499" i="3" l="1"/>
  <c r="B1497" i="3"/>
  <c r="H1194" i="4"/>
  <c r="G1194" i="4"/>
  <c r="F1194" i="4"/>
  <c r="E1194" i="4"/>
  <c r="D1194" i="4"/>
  <c r="C1194" i="4"/>
  <c r="B1194" i="4"/>
  <c r="I1193" i="4"/>
  <c r="I1192" i="4"/>
  <c r="I1191" i="4"/>
  <c r="I1194" i="4" s="1"/>
  <c r="H1189" i="4"/>
  <c r="G1189" i="4"/>
  <c r="F1189" i="4"/>
  <c r="E1189" i="4"/>
  <c r="D1189" i="4"/>
  <c r="C1189" i="4"/>
  <c r="B1189" i="4"/>
  <c r="I1188" i="4"/>
  <c r="I1187" i="4"/>
  <c r="I1186" i="4"/>
  <c r="I1185" i="4"/>
  <c r="I1184" i="4"/>
  <c r="I1183" i="4"/>
  <c r="I1182" i="4"/>
  <c r="I1181" i="4"/>
  <c r="I1180" i="4"/>
  <c r="I1179" i="4"/>
  <c r="I1527" i="3"/>
  <c r="I1526" i="3"/>
  <c r="I1524" i="3"/>
  <c r="H1523" i="3"/>
  <c r="G1523" i="3"/>
  <c r="F1523" i="3"/>
  <c r="E1523" i="3"/>
  <c r="D1523" i="3"/>
  <c r="C1523" i="3"/>
  <c r="B1523" i="3"/>
  <c r="I1522" i="3"/>
  <c r="I1521" i="3"/>
  <c r="I1520" i="3"/>
  <c r="I1519" i="3"/>
  <c r="I1518" i="3"/>
  <c r="H1516" i="3"/>
  <c r="G1516" i="3"/>
  <c r="F1516" i="3"/>
  <c r="E1516" i="3"/>
  <c r="D1516" i="3"/>
  <c r="C1516" i="3"/>
  <c r="B1516" i="3"/>
  <c r="I1515" i="3"/>
  <c r="I1514" i="3"/>
  <c r="I1513" i="3"/>
  <c r="I1512" i="3"/>
  <c r="I1511" i="3"/>
  <c r="I1510" i="3"/>
  <c r="I1509" i="3"/>
  <c r="I1508" i="3"/>
  <c r="I1507" i="3"/>
  <c r="I1506" i="3"/>
  <c r="I1516" i="3" l="1"/>
  <c r="I1189" i="4"/>
  <c r="I1523" i="3"/>
  <c r="H1473" i="3"/>
  <c r="H1472" i="3"/>
  <c r="H1470" i="3"/>
  <c r="H1455" i="3"/>
  <c r="G1473" i="3" l="1"/>
  <c r="G1472" i="3"/>
  <c r="G1470" i="3"/>
  <c r="F1473" i="3" l="1"/>
  <c r="F1472" i="3"/>
  <c r="F1470" i="3"/>
  <c r="J1463" i="3" l="1"/>
  <c r="J1471" i="3"/>
  <c r="J1116" i="3"/>
  <c r="J1108" i="3"/>
  <c r="M886" i="3"/>
  <c r="J130" i="3" l="1"/>
  <c r="E1472" i="3"/>
  <c r="D1472" i="3"/>
  <c r="B1473" i="3"/>
  <c r="C1473" i="3"/>
  <c r="D1473" i="3"/>
  <c r="E1473" i="3"/>
  <c r="E1470" i="3"/>
  <c r="D1470" i="3"/>
  <c r="C1470" i="3"/>
  <c r="B1470" i="3"/>
  <c r="H1173" i="4" l="1"/>
  <c r="G1173" i="4"/>
  <c r="F1173" i="4"/>
  <c r="E1173" i="4"/>
  <c r="D1173" i="4"/>
  <c r="C1173" i="4"/>
  <c r="B1173" i="4"/>
  <c r="I1172" i="4"/>
  <c r="I1171" i="4"/>
  <c r="I1170" i="4"/>
  <c r="I1173" i="4" s="1"/>
  <c r="H1168" i="4"/>
  <c r="G1168" i="4"/>
  <c r="F1168" i="4"/>
  <c r="E1168" i="4"/>
  <c r="D1168" i="4"/>
  <c r="C1168" i="4"/>
  <c r="B1168" i="4"/>
  <c r="I1167" i="4"/>
  <c r="I1166" i="4"/>
  <c r="I1165" i="4"/>
  <c r="I1164" i="4"/>
  <c r="I1163" i="4"/>
  <c r="I1162" i="4"/>
  <c r="I1161" i="4"/>
  <c r="I1160" i="4"/>
  <c r="I1159" i="4"/>
  <c r="I1158" i="4"/>
  <c r="I1500" i="3"/>
  <c r="I1499" i="3"/>
  <c r="I1497" i="3"/>
  <c r="H1496" i="3"/>
  <c r="G1496" i="3"/>
  <c r="F1496" i="3"/>
  <c r="E1496" i="3"/>
  <c r="D1496" i="3"/>
  <c r="C1496" i="3"/>
  <c r="B1496" i="3"/>
  <c r="I1495" i="3"/>
  <c r="I1494" i="3"/>
  <c r="I1493" i="3"/>
  <c r="I1492" i="3"/>
  <c r="I1491" i="3"/>
  <c r="H1489" i="3"/>
  <c r="G1489" i="3"/>
  <c r="F1489" i="3"/>
  <c r="E1489" i="3"/>
  <c r="D1489" i="3"/>
  <c r="C1489" i="3"/>
  <c r="B1489" i="3"/>
  <c r="I1488" i="3"/>
  <c r="I1487" i="3"/>
  <c r="I1486" i="3"/>
  <c r="I1485" i="3"/>
  <c r="I1484" i="3"/>
  <c r="I1483" i="3"/>
  <c r="I1482" i="3"/>
  <c r="I1481" i="3"/>
  <c r="I1480" i="3"/>
  <c r="I1479" i="3"/>
  <c r="J1363" i="3"/>
  <c r="J1366" i="3"/>
  <c r="J1355" i="3"/>
  <c r="I1168" i="4" l="1"/>
  <c r="I1489" i="3"/>
  <c r="I1496" i="3"/>
  <c r="G1446" i="3"/>
  <c r="H1446" i="3"/>
  <c r="H1445" i="3"/>
  <c r="G1445" i="3"/>
  <c r="H1443" i="3"/>
  <c r="G1443" i="3"/>
  <c r="F1446" i="3" l="1"/>
  <c r="F1445" i="3"/>
  <c r="F1443" i="3"/>
  <c r="E1446" i="3" l="1"/>
  <c r="E1445" i="3"/>
  <c r="E1443" i="3"/>
  <c r="C1446" i="3" l="1"/>
  <c r="D1446" i="3"/>
  <c r="D1443" i="3"/>
  <c r="C1443" i="3"/>
  <c r="B1446" i="3"/>
  <c r="B1443" i="3"/>
  <c r="H1152" i="4" l="1"/>
  <c r="G1152" i="4"/>
  <c r="F1152" i="4"/>
  <c r="E1152" i="4"/>
  <c r="D1152" i="4"/>
  <c r="C1152" i="4"/>
  <c r="B1152" i="4"/>
  <c r="I1151" i="4"/>
  <c r="I1150" i="4"/>
  <c r="I1149" i="4"/>
  <c r="H1147" i="4"/>
  <c r="G1147" i="4"/>
  <c r="F1147" i="4"/>
  <c r="E1147" i="4"/>
  <c r="D1147" i="4"/>
  <c r="C1147" i="4"/>
  <c r="B1147" i="4"/>
  <c r="I1146" i="4"/>
  <c r="I1145" i="4"/>
  <c r="I1144" i="4"/>
  <c r="I1143" i="4"/>
  <c r="I1142" i="4"/>
  <c r="I1141" i="4"/>
  <c r="I1140" i="4"/>
  <c r="I1139" i="4"/>
  <c r="I1138" i="4"/>
  <c r="I1137" i="4"/>
  <c r="I1473" i="3"/>
  <c r="I1472" i="3"/>
  <c r="I1470" i="3"/>
  <c r="H1469" i="3"/>
  <c r="G1469" i="3"/>
  <c r="F1469" i="3"/>
  <c r="E1469" i="3"/>
  <c r="D1469" i="3"/>
  <c r="C1469" i="3"/>
  <c r="B1469" i="3"/>
  <c r="I1468" i="3"/>
  <c r="I1467" i="3"/>
  <c r="I1466" i="3"/>
  <c r="I1465" i="3"/>
  <c r="I1464" i="3"/>
  <c r="H1462" i="3"/>
  <c r="G1462" i="3"/>
  <c r="F1462" i="3"/>
  <c r="E1462" i="3"/>
  <c r="D1462" i="3"/>
  <c r="C1462" i="3"/>
  <c r="B1462" i="3"/>
  <c r="I1461" i="3"/>
  <c r="I1460" i="3"/>
  <c r="I1459" i="3"/>
  <c r="I1458" i="3"/>
  <c r="I1457" i="3"/>
  <c r="I1456" i="3"/>
  <c r="I1455" i="3"/>
  <c r="I1454" i="3"/>
  <c r="I1453" i="3"/>
  <c r="I1452" i="3"/>
  <c r="I1152" i="4" l="1"/>
  <c r="I1469" i="3"/>
  <c r="I1462" i="3"/>
  <c r="I1147" i="4"/>
  <c r="H1419" i="3"/>
  <c r="G1416" i="3"/>
  <c r="H1416" i="3"/>
  <c r="F1419" i="3"/>
  <c r="F1416" i="3"/>
  <c r="E1416" i="3"/>
  <c r="D1416" i="3"/>
  <c r="C1416" i="3" l="1"/>
  <c r="C1418" i="3"/>
  <c r="B1418" i="3"/>
  <c r="B1416" i="3"/>
  <c r="H1131" i="4" l="1"/>
  <c r="G1131" i="4"/>
  <c r="F1131" i="4"/>
  <c r="E1131" i="4"/>
  <c r="D1131" i="4"/>
  <c r="C1131" i="4"/>
  <c r="B1131" i="4"/>
  <c r="I1130" i="4"/>
  <c r="I1129" i="4"/>
  <c r="I1128" i="4"/>
  <c r="H1126" i="4"/>
  <c r="G1126" i="4"/>
  <c r="F1126" i="4"/>
  <c r="E1126" i="4"/>
  <c r="D1126" i="4"/>
  <c r="C1126" i="4"/>
  <c r="B1126" i="4"/>
  <c r="I1125" i="4"/>
  <c r="I1124" i="4"/>
  <c r="I1123" i="4"/>
  <c r="I1122" i="4"/>
  <c r="I1121" i="4"/>
  <c r="I1120" i="4"/>
  <c r="I1119" i="4"/>
  <c r="I1118" i="4"/>
  <c r="I1117" i="4"/>
  <c r="I1116" i="4"/>
  <c r="I1446" i="3"/>
  <c r="I1445" i="3"/>
  <c r="I1443" i="3"/>
  <c r="H1442" i="3"/>
  <c r="G1442" i="3"/>
  <c r="F1442" i="3"/>
  <c r="E1442" i="3"/>
  <c r="D1442" i="3"/>
  <c r="C1442" i="3"/>
  <c r="B1442" i="3"/>
  <c r="I1441" i="3"/>
  <c r="I1440" i="3"/>
  <c r="I1439" i="3"/>
  <c r="I1438" i="3"/>
  <c r="I1437" i="3"/>
  <c r="H1435" i="3"/>
  <c r="G1435" i="3"/>
  <c r="F1435" i="3"/>
  <c r="E1435" i="3"/>
  <c r="D1435" i="3"/>
  <c r="C1435" i="3"/>
  <c r="B1435" i="3"/>
  <c r="I1434" i="3"/>
  <c r="I1433" i="3"/>
  <c r="I1432" i="3"/>
  <c r="I1431" i="3"/>
  <c r="I1430" i="3"/>
  <c r="I1429" i="3"/>
  <c r="I1428" i="3"/>
  <c r="I1427" i="3"/>
  <c r="I1426" i="3"/>
  <c r="I1425" i="3"/>
  <c r="I1126" i="4" l="1"/>
  <c r="I1442" i="3"/>
  <c r="I1435" i="3"/>
  <c r="I1131" i="4"/>
  <c r="I1383" i="3"/>
  <c r="H1389" i="3" l="1"/>
  <c r="G1389" i="3" l="1"/>
  <c r="F1389" i="3"/>
  <c r="E1389" i="3"/>
  <c r="D1389" i="3"/>
  <c r="C1389" i="3"/>
  <c r="B1389" i="3"/>
  <c r="H1110" i="4" l="1"/>
  <c r="G1110" i="4"/>
  <c r="F1110" i="4"/>
  <c r="E1110" i="4"/>
  <c r="D1110" i="4"/>
  <c r="C1110" i="4"/>
  <c r="B1110" i="4"/>
  <c r="I1109" i="4"/>
  <c r="I1108" i="4"/>
  <c r="I1107" i="4"/>
  <c r="H1105" i="4"/>
  <c r="G1105" i="4"/>
  <c r="F1105" i="4"/>
  <c r="E1105" i="4"/>
  <c r="D1105" i="4"/>
  <c r="C1105" i="4"/>
  <c r="B1105" i="4"/>
  <c r="I1104" i="4"/>
  <c r="I1103" i="4"/>
  <c r="I1102" i="4"/>
  <c r="I1101" i="4"/>
  <c r="I1100" i="4"/>
  <c r="I1099" i="4"/>
  <c r="I1098" i="4"/>
  <c r="I1097" i="4"/>
  <c r="I1096" i="4"/>
  <c r="I1095" i="4"/>
  <c r="H1089" i="4"/>
  <c r="G1089" i="4"/>
  <c r="F1089" i="4"/>
  <c r="E1089" i="4"/>
  <c r="D1089" i="4"/>
  <c r="C1089" i="4"/>
  <c r="B1089" i="4"/>
  <c r="I1088" i="4"/>
  <c r="I1087" i="4"/>
  <c r="I1086" i="4"/>
  <c r="H1084" i="4"/>
  <c r="G1084" i="4"/>
  <c r="F1084" i="4"/>
  <c r="E1084" i="4"/>
  <c r="D1084" i="4"/>
  <c r="C1084" i="4"/>
  <c r="B1084" i="4"/>
  <c r="I1083" i="4"/>
  <c r="I1082" i="4"/>
  <c r="I1081" i="4"/>
  <c r="I1080" i="4"/>
  <c r="I1079" i="4"/>
  <c r="I1078" i="4"/>
  <c r="I1077" i="4"/>
  <c r="I1076" i="4"/>
  <c r="I1075" i="4"/>
  <c r="I1074" i="4"/>
  <c r="I1419" i="3"/>
  <c r="I1418" i="3"/>
  <c r="I1416" i="3"/>
  <c r="H1415" i="3"/>
  <c r="G1415" i="3"/>
  <c r="F1415" i="3"/>
  <c r="E1415" i="3"/>
  <c r="D1415" i="3"/>
  <c r="C1415" i="3"/>
  <c r="B1415" i="3"/>
  <c r="I1414" i="3"/>
  <c r="I1413" i="3"/>
  <c r="I1412" i="3"/>
  <c r="I1411" i="3"/>
  <c r="I1410" i="3"/>
  <c r="J1464" i="3" s="1"/>
  <c r="H1408" i="3"/>
  <c r="G1408" i="3"/>
  <c r="F1408" i="3"/>
  <c r="E1408" i="3"/>
  <c r="D1408" i="3"/>
  <c r="C1408" i="3"/>
  <c r="B1408" i="3"/>
  <c r="I1407" i="3"/>
  <c r="I1406" i="3"/>
  <c r="I1405" i="3"/>
  <c r="J1459" i="3" s="1"/>
  <c r="I1404" i="3"/>
  <c r="J1458" i="3" s="1"/>
  <c r="I1403" i="3"/>
  <c r="I1402" i="3"/>
  <c r="I1401" i="3"/>
  <c r="J1455" i="3" s="1"/>
  <c r="I1400" i="3"/>
  <c r="J1454" i="3" s="1"/>
  <c r="I1399" i="3"/>
  <c r="I1398" i="3"/>
  <c r="I1392" i="3"/>
  <c r="I1391" i="3"/>
  <c r="I1389" i="3"/>
  <c r="H1388" i="3"/>
  <c r="G1388" i="3"/>
  <c r="F1388" i="3"/>
  <c r="E1388" i="3"/>
  <c r="D1388" i="3"/>
  <c r="C1388" i="3"/>
  <c r="B1388" i="3"/>
  <c r="I1387" i="3"/>
  <c r="I1386" i="3"/>
  <c r="I1385" i="3"/>
  <c r="I1384" i="3"/>
  <c r="H1381" i="3"/>
  <c r="G1381" i="3"/>
  <c r="F1381" i="3"/>
  <c r="E1381" i="3"/>
  <c r="D1381" i="3"/>
  <c r="C1381" i="3"/>
  <c r="B1381" i="3"/>
  <c r="I1380" i="3"/>
  <c r="I1379" i="3"/>
  <c r="I1378" i="3"/>
  <c r="I1377" i="3"/>
  <c r="I1376" i="3"/>
  <c r="I1375" i="3"/>
  <c r="I1374" i="3"/>
  <c r="I1373" i="3"/>
  <c r="I1372" i="3"/>
  <c r="I1371" i="3"/>
  <c r="J1465" i="3" l="1"/>
  <c r="J1466" i="3"/>
  <c r="J1473" i="3"/>
  <c r="J1452" i="3"/>
  <c r="J1456" i="3"/>
  <c r="J1460" i="3"/>
  <c r="J1467" i="3"/>
  <c r="J1453" i="3"/>
  <c r="J1457" i="3"/>
  <c r="J1461" i="3"/>
  <c r="J1468" i="3"/>
  <c r="I1110" i="4"/>
  <c r="I1105" i="4"/>
  <c r="I1415" i="3"/>
  <c r="I1089" i="4"/>
  <c r="I1084" i="4"/>
  <c r="I1408" i="3"/>
  <c r="I1388" i="3"/>
  <c r="I1381" i="3"/>
  <c r="H1364" i="3" l="1"/>
  <c r="J1472" i="3" s="1"/>
  <c r="F1365" i="3"/>
  <c r="E1365" i="3"/>
  <c r="D1365" i="3"/>
  <c r="D1364" i="3"/>
  <c r="C1365" i="3"/>
  <c r="C1364" i="3"/>
  <c r="B1365" i="3"/>
  <c r="H1362" i="3"/>
  <c r="J1470" i="3" s="1"/>
  <c r="G1362" i="3" l="1"/>
  <c r="F1362" i="3"/>
  <c r="E1362" i="3"/>
  <c r="D1362" i="3"/>
  <c r="C1362" i="3"/>
  <c r="B1362" i="3"/>
  <c r="H1068" i="4"/>
  <c r="G1068" i="4"/>
  <c r="F1068" i="4"/>
  <c r="E1068" i="4"/>
  <c r="D1068" i="4"/>
  <c r="C1068" i="4"/>
  <c r="B1068" i="4"/>
  <c r="I1067" i="4"/>
  <c r="I1066" i="4"/>
  <c r="I1065" i="4"/>
  <c r="H1063" i="4"/>
  <c r="G1063" i="4"/>
  <c r="F1063" i="4"/>
  <c r="E1063" i="4"/>
  <c r="D1063" i="4"/>
  <c r="C1063" i="4"/>
  <c r="B1063" i="4"/>
  <c r="I1062" i="4"/>
  <c r="I1061" i="4"/>
  <c r="I1060" i="4"/>
  <c r="I1059" i="4"/>
  <c r="I1058" i="4"/>
  <c r="I1057" i="4"/>
  <c r="I1056" i="4"/>
  <c r="I1055" i="4"/>
  <c r="I1054" i="4"/>
  <c r="I1053" i="4"/>
  <c r="I1068" i="4" l="1"/>
  <c r="I1063" i="4"/>
  <c r="I1365" i="3" l="1"/>
  <c r="I1364" i="3"/>
  <c r="I1362" i="3"/>
  <c r="H1361" i="3"/>
  <c r="J1469" i="3" s="1"/>
  <c r="G1361" i="3"/>
  <c r="F1361" i="3"/>
  <c r="E1361" i="3"/>
  <c r="D1361" i="3"/>
  <c r="C1361" i="3"/>
  <c r="B1361" i="3"/>
  <c r="I1360" i="3"/>
  <c r="I1359" i="3"/>
  <c r="I1358" i="3"/>
  <c r="I1357" i="3"/>
  <c r="I1356" i="3"/>
  <c r="H1354" i="3"/>
  <c r="J1462" i="3" s="1"/>
  <c r="G1354" i="3"/>
  <c r="F1354" i="3"/>
  <c r="E1354" i="3"/>
  <c r="D1354" i="3"/>
  <c r="C1354" i="3"/>
  <c r="B1354" i="3"/>
  <c r="I1353" i="3"/>
  <c r="I1352" i="3"/>
  <c r="I1351" i="3"/>
  <c r="I1350" i="3"/>
  <c r="I1349" i="3"/>
  <c r="I1348" i="3"/>
  <c r="I1347" i="3"/>
  <c r="I1346" i="3"/>
  <c r="I1345" i="3"/>
  <c r="I1344" i="3"/>
  <c r="I1361" i="3" l="1"/>
  <c r="I1354" i="3"/>
  <c r="J1246" i="3"/>
  <c r="F1335" i="3" l="1"/>
  <c r="F1338" i="3"/>
  <c r="E1338" i="3" l="1"/>
  <c r="E1337" i="3"/>
  <c r="E1335" i="3"/>
  <c r="D1335" i="3" l="1"/>
  <c r="D1338" i="3"/>
  <c r="D1337" i="3"/>
  <c r="C1338" i="3" l="1"/>
  <c r="C1337" i="3"/>
  <c r="C1335" i="3"/>
  <c r="B1338" i="3"/>
  <c r="B1335" i="3" l="1"/>
  <c r="H1047" i="4"/>
  <c r="G1047" i="4"/>
  <c r="F1047" i="4"/>
  <c r="E1047" i="4"/>
  <c r="D1047" i="4"/>
  <c r="C1047" i="4"/>
  <c r="B1047" i="4"/>
  <c r="I1046" i="4"/>
  <c r="I1045" i="4"/>
  <c r="I1044" i="4"/>
  <c r="H1042" i="4"/>
  <c r="G1042" i="4"/>
  <c r="F1042" i="4"/>
  <c r="E1042" i="4"/>
  <c r="D1042" i="4"/>
  <c r="C1042" i="4"/>
  <c r="B1042" i="4"/>
  <c r="I1041" i="4"/>
  <c r="I1040" i="4"/>
  <c r="I1039" i="4"/>
  <c r="I1038" i="4"/>
  <c r="I1037" i="4"/>
  <c r="I1036" i="4"/>
  <c r="I1035" i="4"/>
  <c r="I1034" i="4"/>
  <c r="I1033" i="4"/>
  <c r="I1032" i="4"/>
  <c r="I1338" i="3"/>
  <c r="I1337" i="3"/>
  <c r="I1335" i="3"/>
  <c r="H1334" i="3"/>
  <c r="G1334" i="3"/>
  <c r="F1334" i="3"/>
  <c r="E1334" i="3"/>
  <c r="D1334" i="3"/>
  <c r="C1334" i="3"/>
  <c r="B1334" i="3"/>
  <c r="I1333" i="3"/>
  <c r="I1332" i="3"/>
  <c r="I1331" i="3"/>
  <c r="I1330" i="3"/>
  <c r="I1329" i="3"/>
  <c r="H1327" i="3"/>
  <c r="G1327" i="3"/>
  <c r="F1327" i="3"/>
  <c r="E1327" i="3"/>
  <c r="D1327" i="3"/>
  <c r="C1327" i="3"/>
  <c r="B1327" i="3"/>
  <c r="I1326" i="3"/>
  <c r="I1325" i="3"/>
  <c r="I1324" i="3"/>
  <c r="I1323" i="3"/>
  <c r="I1322" i="3"/>
  <c r="I1321" i="3"/>
  <c r="I1320" i="3"/>
  <c r="I1319" i="3"/>
  <c r="I1318" i="3"/>
  <c r="I1317" i="3"/>
  <c r="I1047" i="4" l="1"/>
  <c r="I1042" i="4"/>
  <c r="I1334" i="3"/>
  <c r="I1327" i="3"/>
  <c r="H1293" i="3"/>
  <c r="H1311" i="3"/>
  <c r="H1308" i="3"/>
  <c r="G1311" i="3" l="1"/>
  <c r="G1310" i="3"/>
  <c r="G1308" i="3"/>
  <c r="F1311" i="3"/>
  <c r="F1310" i="3"/>
  <c r="F1308" i="3"/>
  <c r="E1308" i="3"/>
  <c r="D1308" i="3"/>
  <c r="D1311" i="3"/>
  <c r="D1310" i="3"/>
  <c r="C1310" i="3" l="1"/>
  <c r="C1311" i="3"/>
  <c r="C1308" i="3"/>
  <c r="B1311" i="3"/>
  <c r="B1310" i="3"/>
  <c r="B1308" i="3"/>
  <c r="H1026" i="4" l="1"/>
  <c r="G1026" i="4"/>
  <c r="F1026" i="4"/>
  <c r="E1026" i="4"/>
  <c r="D1026" i="4"/>
  <c r="C1026" i="4"/>
  <c r="B1026" i="4"/>
  <c r="I1025" i="4"/>
  <c r="I1024" i="4"/>
  <c r="I1023" i="4"/>
  <c r="H1021" i="4"/>
  <c r="G1021" i="4"/>
  <c r="F1021" i="4"/>
  <c r="E1021" i="4"/>
  <c r="D1021" i="4"/>
  <c r="C1021" i="4"/>
  <c r="B1021" i="4"/>
  <c r="I1020" i="4"/>
  <c r="I1019" i="4"/>
  <c r="I1018" i="4"/>
  <c r="I1017" i="4"/>
  <c r="I1016" i="4"/>
  <c r="I1015" i="4"/>
  <c r="I1014" i="4"/>
  <c r="I1013" i="4"/>
  <c r="I1012" i="4"/>
  <c r="I1011" i="4"/>
  <c r="I1311" i="3"/>
  <c r="I1310" i="3"/>
  <c r="I1308" i="3"/>
  <c r="H1307" i="3"/>
  <c r="G1307" i="3"/>
  <c r="F1307" i="3"/>
  <c r="E1307" i="3"/>
  <c r="D1307" i="3"/>
  <c r="C1307" i="3"/>
  <c r="B1307" i="3"/>
  <c r="I1306" i="3"/>
  <c r="I1305" i="3"/>
  <c r="I1304" i="3"/>
  <c r="I1303" i="3"/>
  <c r="I1302" i="3"/>
  <c r="H1300" i="3"/>
  <c r="G1300" i="3"/>
  <c r="F1300" i="3"/>
  <c r="E1300" i="3"/>
  <c r="D1300" i="3"/>
  <c r="C1300" i="3"/>
  <c r="B1300" i="3"/>
  <c r="I1299" i="3"/>
  <c r="I1298" i="3"/>
  <c r="I1297" i="3"/>
  <c r="I1296" i="3"/>
  <c r="I1295" i="3"/>
  <c r="I1294" i="3"/>
  <c r="I1293" i="3"/>
  <c r="I1292" i="3"/>
  <c r="I1291" i="3"/>
  <c r="I1290" i="3"/>
  <c r="I1026" i="4" l="1"/>
  <c r="I1021" i="4"/>
  <c r="I1307" i="3"/>
  <c r="I1300" i="3"/>
  <c r="H1284" i="3"/>
  <c r="H1283" i="3"/>
  <c r="H1281" i="3"/>
  <c r="G1284" i="3" l="1"/>
  <c r="G1283" i="3"/>
  <c r="G1281" i="3"/>
  <c r="F1284" i="3"/>
  <c r="F1281" i="3"/>
  <c r="E1284" i="3" l="1"/>
  <c r="E1281" i="3"/>
  <c r="D1284" i="3" l="1"/>
  <c r="D1281" i="3"/>
  <c r="C1284" i="3" l="1"/>
  <c r="C1283" i="3"/>
  <c r="B1284" i="3"/>
  <c r="B1283" i="3"/>
  <c r="C1281" i="3"/>
  <c r="B1281" i="3"/>
  <c r="H1005" i="4" l="1"/>
  <c r="G1005" i="4"/>
  <c r="F1005" i="4"/>
  <c r="E1005" i="4"/>
  <c r="D1005" i="4"/>
  <c r="C1005" i="4"/>
  <c r="B1005" i="4"/>
  <c r="I1004" i="4"/>
  <c r="I1003" i="4"/>
  <c r="I1002" i="4"/>
  <c r="H1000" i="4"/>
  <c r="G1000" i="4"/>
  <c r="F1000" i="4"/>
  <c r="E1000" i="4"/>
  <c r="D1000" i="4"/>
  <c r="C1000" i="4"/>
  <c r="B1000" i="4"/>
  <c r="I999" i="4"/>
  <c r="I998" i="4"/>
  <c r="I997" i="4"/>
  <c r="I996" i="4"/>
  <c r="I995" i="4"/>
  <c r="I994" i="4"/>
  <c r="I993" i="4"/>
  <c r="I992" i="4"/>
  <c r="I991" i="4"/>
  <c r="I990" i="4"/>
  <c r="I1284" i="3"/>
  <c r="I1283" i="3"/>
  <c r="I1281" i="3"/>
  <c r="H1280" i="3"/>
  <c r="G1280" i="3"/>
  <c r="F1280" i="3"/>
  <c r="E1280" i="3"/>
  <c r="D1280" i="3"/>
  <c r="C1280" i="3"/>
  <c r="B1280" i="3"/>
  <c r="I1279" i="3"/>
  <c r="J1360" i="3" s="1"/>
  <c r="I1278" i="3"/>
  <c r="J1359" i="3" s="1"/>
  <c r="I1277" i="3"/>
  <c r="J1358" i="3" s="1"/>
  <c r="I1276" i="3"/>
  <c r="J1357" i="3" s="1"/>
  <c r="I1275" i="3"/>
  <c r="J1356" i="3" s="1"/>
  <c r="H1273" i="3"/>
  <c r="G1273" i="3"/>
  <c r="F1273" i="3"/>
  <c r="E1273" i="3"/>
  <c r="D1273" i="3"/>
  <c r="C1273" i="3"/>
  <c r="B1273" i="3"/>
  <c r="I1272" i="3"/>
  <c r="J1353" i="3" s="1"/>
  <c r="I1271" i="3"/>
  <c r="J1352" i="3" s="1"/>
  <c r="I1270" i="3"/>
  <c r="J1351" i="3" s="1"/>
  <c r="I1269" i="3"/>
  <c r="J1350" i="3" s="1"/>
  <c r="I1268" i="3"/>
  <c r="J1349" i="3" s="1"/>
  <c r="I1267" i="3"/>
  <c r="J1348" i="3" s="1"/>
  <c r="I1266" i="3"/>
  <c r="J1347" i="3" s="1"/>
  <c r="I1265" i="3"/>
  <c r="J1346" i="3" s="1"/>
  <c r="I1264" i="3"/>
  <c r="J1345" i="3" s="1"/>
  <c r="I1263" i="3"/>
  <c r="J1344" i="3" s="1"/>
  <c r="I1000" i="4" l="1"/>
  <c r="I1005" i="4"/>
  <c r="I1280" i="3"/>
  <c r="I1273" i="3"/>
  <c r="H1255" i="3"/>
  <c r="H1253" i="3"/>
  <c r="G1256" i="3"/>
  <c r="G1255" i="3"/>
  <c r="J1364" i="3" s="1"/>
  <c r="G1253" i="3"/>
  <c r="F971" i="4"/>
  <c r="F1256" i="3"/>
  <c r="J1365" i="3" s="1"/>
  <c r="F1253" i="3"/>
  <c r="J1362" i="3" s="1"/>
  <c r="K1362" i="3" s="1"/>
  <c r="E1256" i="3" l="1"/>
  <c r="E1255" i="3"/>
  <c r="E1253" i="3"/>
  <c r="I1249" i="3" l="1"/>
  <c r="D1255" i="3" l="1"/>
  <c r="D1253" i="3"/>
  <c r="H983" i="4" l="1"/>
  <c r="G983" i="4"/>
  <c r="F983" i="4"/>
  <c r="E983" i="4"/>
  <c r="D983" i="4"/>
  <c r="C983" i="4"/>
  <c r="B983" i="4"/>
  <c r="I982" i="4"/>
  <c r="I981" i="4"/>
  <c r="I980" i="4"/>
  <c r="H978" i="4"/>
  <c r="G978" i="4"/>
  <c r="F978" i="4"/>
  <c r="E978" i="4"/>
  <c r="D978" i="4"/>
  <c r="C978" i="4"/>
  <c r="B978" i="4"/>
  <c r="I977" i="4"/>
  <c r="I976" i="4"/>
  <c r="I975" i="4"/>
  <c r="I974" i="4"/>
  <c r="I973" i="4"/>
  <c r="I972" i="4"/>
  <c r="I971" i="4"/>
  <c r="I970" i="4"/>
  <c r="I969" i="4"/>
  <c r="I968" i="4"/>
  <c r="C1256" i="3"/>
  <c r="C1255" i="3"/>
  <c r="B1256" i="3"/>
  <c r="B1255" i="3"/>
  <c r="I1255" i="3" s="1"/>
  <c r="C1253" i="3"/>
  <c r="B1253" i="3"/>
  <c r="H1252" i="3"/>
  <c r="G1252" i="3"/>
  <c r="F1252" i="3"/>
  <c r="J1361" i="3" s="1"/>
  <c r="E1252" i="3"/>
  <c r="D1252" i="3"/>
  <c r="C1252" i="3"/>
  <c r="B1252" i="3"/>
  <c r="I1251" i="3"/>
  <c r="I1250" i="3"/>
  <c r="I1248" i="3"/>
  <c r="I1247" i="3"/>
  <c r="H1245" i="3"/>
  <c r="G1245" i="3"/>
  <c r="F1245" i="3"/>
  <c r="J1354" i="3" s="1"/>
  <c r="E1245" i="3"/>
  <c r="D1245" i="3"/>
  <c r="C1245" i="3"/>
  <c r="B1245" i="3"/>
  <c r="I1244" i="3"/>
  <c r="I1243" i="3"/>
  <c r="I1242" i="3"/>
  <c r="I1241" i="3"/>
  <c r="I1240" i="3"/>
  <c r="I1239" i="3"/>
  <c r="I1238" i="3"/>
  <c r="I1237" i="3"/>
  <c r="I1236" i="3"/>
  <c r="I1235" i="3"/>
  <c r="I1256" i="3" l="1"/>
  <c r="I978" i="4"/>
  <c r="I983" i="4"/>
  <c r="I1252" i="3"/>
  <c r="I1253" i="3"/>
  <c r="I1245" i="3"/>
  <c r="H1228" i="3"/>
  <c r="H1226" i="3"/>
  <c r="G1226" i="3"/>
  <c r="F1226" i="3" l="1"/>
  <c r="E1226" i="3"/>
  <c r="D1226" i="3"/>
  <c r="C1226" i="3"/>
  <c r="B1226" i="3"/>
  <c r="E1229" i="3"/>
  <c r="D1229" i="3" l="1"/>
  <c r="C1229" i="3"/>
  <c r="H961" i="4"/>
  <c r="G961" i="4"/>
  <c r="F961" i="4"/>
  <c r="E961" i="4"/>
  <c r="D961" i="4"/>
  <c r="C961" i="4"/>
  <c r="B961" i="4"/>
  <c r="I960" i="4"/>
  <c r="I959" i="4"/>
  <c r="I958" i="4"/>
  <c r="H956" i="4"/>
  <c r="G956" i="4"/>
  <c r="F956" i="4"/>
  <c r="E956" i="4"/>
  <c r="D956" i="4"/>
  <c r="C956" i="4"/>
  <c r="B956" i="4"/>
  <c r="I955" i="4"/>
  <c r="I954" i="4"/>
  <c r="I953" i="4"/>
  <c r="I952" i="4"/>
  <c r="I951" i="4"/>
  <c r="I950" i="4"/>
  <c r="I949" i="4"/>
  <c r="I948" i="4"/>
  <c r="I947" i="4"/>
  <c r="I946" i="4"/>
  <c r="I1228" i="3"/>
  <c r="I1226" i="3"/>
  <c r="H1225" i="3"/>
  <c r="G1225" i="3"/>
  <c r="F1225" i="3"/>
  <c r="E1225" i="3"/>
  <c r="D1225" i="3"/>
  <c r="C1225" i="3"/>
  <c r="B1225" i="3"/>
  <c r="I1224" i="3"/>
  <c r="I1223" i="3"/>
  <c r="I1222" i="3"/>
  <c r="I1221" i="3"/>
  <c r="I1220" i="3"/>
  <c r="H1218" i="3"/>
  <c r="G1218" i="3"/>
  <c r="F1218" i="3"/>
  <c r="E1218" i="3"/>
  <c r="D1218" i="3"/>
  <c r="C1218" i="3"/>
  <c r="B1218" i="3"/>
  <c r="I1217" i="3"/>
  <c r="I1216" i="3"/>
  <c r="I1215" i="3"/>
  <c r="I1214" i="3"/>
  <c r="I1213" i="3"/>
  <c r="I1212" i="3"/>
  <c r="I1211" i="3"/>
  <c r="I1210" i="3"/>
  <c r="I1209" i="3"/>
  <c r="I1208" i="3"/>
  <c r="I961" i="4" l="1"/>
  <c r="I956" i="4"/>
  <c r="I1229" i="3"/>
  <c r="I1225" i="3"/>
  <c r="I1218" i="3"/>
  <c r="I1188" i="3" l="1"/>
  <c r="H1198" i="3"/>
  <c r="G1198" i="3"/>
  <c r="G1200" i="3"/>
  <c r="G1201" i="3"/>
  <c r="F1200" i="3" l="1"/>
  <c r="F1201" i="3"/>
  <c r="F1198" i="3"/>
  <c r="E1201" i="3" l="1"/>
  <c r="E1198" i="3"/>
  <c r="D1201" i="3" l="1"/>
  <c r="D1198" i="3"/>
  <c r="B1201" i="3" l="1"/>
  <c r="C1198" i="3"/>
  <c r="B1198" i="3" l="1"/>
  <c r="I1201" i="3" l="1"/>
  <c r="I1200" i="3"/>
  <c r="I1198" i="3"/>
  <c r="H1197" i="3"/>
  <c r="G1197" i="3"/>
  <c r="F1197" i="3"/>
  <c r="E1197" i="3"/>
  <c r="D1197" i="3"/>
  <c r="C1197" i="3"/>
  <c r="B1197" i="3"/>
  <c r="I1196" i="3"/>
  <c r="I1195" i="3"/>
  <c r="I1194" i="3"/>
  <c r="I1193" i="3"/>
  <c r="I1192" i="3"/>
  <c r="H1190" i="3"/>
  <c r="G1190" i="3"/>
  <c r="F1190" i="3"/>
  <c r="E1190" i="3"/>
  <c r="D1190" i="3"/>
  <c r="C1190" i="3"/>
  <c r="B1190" i="3"/>
  <c r="I1189" i="3"/>
  <c r="I1187" i="3"/>
  <c r="I1186" i="3"/>
  <c r="I1185" i="3"/>
  <c r="I1184" i="3"/>
  <c r="I1183" i="3"/>
  <c r="I1182" i="3"/>
  <c r="I1181" i="3"/>
  <c r="I1180" i="3"/>
  <c r="H939" i="4"/>
  <c r="G939" i="4"/>
  <c r="F939" i="4"/>
  <c r="E939" i="4"/>
  <c r="D939" i="4"/>
  <c r="C939" i="4"/>
  <c r="B939" i="4"/>
  <c r="I938" i="4"/>
  <c r="I937" i="4"/>
  <c r="I936" i="4"/>
  <c r="H934" i="4"/>
  <c r="G934" i="4"/>
  <c r="F934" i="4"/>
  <c r="E934" i="4"/>
  <c r="D934" i="4"/>
  <c r="C934" i="4"/>
  <c r="B934" i="4"/>
  <c r="I933" i="4"/>
  <c r="I932" i="4"/>
  <c r="I931" i="4"/>
  <c r="I930" i="4"/>
  <c r="I929" i="4"/>
  <c r="I928" i="4"/>
  <c r="I927" i="4"/>
  <c r="I926" i="4"/>
  <c r="I925" i="4"/>
  <c r="I924" i="4"/>
  <c r="I1197" i="3" l="1"/>
  <c r="I1190" i="3"/>
  <c r="I934" i="4"/>
  <c r="I939" i="4"/>
  <c r="H1173" i="3"/>
  <c r="H1170" i="3"/>
  <c r="G1170" i="3"/>
  <c r="G1173" i="3"/>
  <c r="G1172" i="3"/>
  <c r="F1173" i="3"/>
  <c r="F1172" i="3"/>
  <c r="F1170" i="3"/>
  <c r="E1173" i="3" l="1"/>
  <c r="E1172" i="3"/>
  <c r="E1170" i="3"/>
  <c r="D1172" i="3" l="1"/>
  <c r="D1173" i="3"/>
  <c r="D1170" i="3"/>
  <c r="C1170" i="3" l="1"/>
  <c r="B1170" i="3"/>
  <c r="I1173" i="3" l="1"/>
  <c r="I1172" i="3"/>
  <c r="I1170" i="3"/>
  <c r="H1169" i="3"/>
  <c r="G1169" i="3"/>
  <c r="F1169" i="3"/>
  <c r="E1169" i="3"/>
  <c r="D1169" i="3"/>
  <c r="C1169" i="3"/>
  <c r="B1169" i="3"/>
  <c r="I1168" i="3"/>
  <c r="I1167" i="3"/>
  <c r="I1166" i="3"/>
  <c r="I1165" i="3"/>
  <c r="I1164" i="3"/>
  <c r="H1162" i="3"/>
  <c r="G1162" i="3"/>
  <c r="F1162" i="3"/>
  <c r="E1162" i="3"/>
  <c r="D1162" i="3"/>
  <c r="C1162" i="3"/>
  <c r="B1162" i="3"/>
  <c r="I1161" i="3"/>
  <c r="I1160" i="3"/>
  <c r="I1159" i="3"/>
  <c r="I1158" i="3"/>
  <c r="I1157" i="3"/>
  <c r="I1156" i="3"/>
  <c r="I1155" i="3"/>
  <c r="I1154" i="3"/>
  <c r="I1153" i="3"/>
  <c r="I1152" i="3"/>
  <c r="H917" i="4"/>
  <c r="G917" i="4"/>
  <c r="F917" i="4"/>
  <c r="E917" i="4"/>
  <c r="D917" i="4"/>
  <c r="C917" i="4"/>
  <c r="B917" i="4"/>
  <c r="I916" i="4"/>
  <c r="I915" i="4"/>
  <c r="I914" i="4"/>
  <c r="H912" i="4"/>
  <c r="G912" i="4"/>
  <c r="F912" i="4"/>
  <c r="E912" i="4"/>
  <c r="D912" i="4"/>
  <c r="C912" i="4"/>
  <c r="B912" i="4"/>
  <c r="I911" i="4"/>
  <c r="I910" i="4"/>
  <c r="I909" i="4"/>
  <c r="I908" i="4"/>
  <c r="I907" i="4"/>
  <c r="I906" i="4"/>
  <c r="I905" i="4"/>
  <c r="I904" i="4"/>
  <c r="I903" i="4"/>
  <c r="I902" i="4"/>
  <c r="I1169" i="3" l="1"/>
  <c r="I1162" i="3"/>
  <c r="I917" i="4"/>
  <c r="I912" i="4"/>
  <c r="H1143" i="3"/>
  <c r="H1145" i="3"/>
  <c r="G1145" i="3"/>
  <c r="G1143" i="3"/>
  <c r="E1143" i="3" l="1"/>
  <c r="F1143" i="3"/>
  <c r="D1143" i="3" l="1"/>
  <c r="C1143" i="3" l="1"/>
  <c r="B1143" i="3" l="1"/>
  <c r="H895" i="4" l="1"/>
  <c r="G895" i="4"/>
  <c r="F895" i="4"/>
  <c r="E895" i="4"/>
  <c r="D895" i="4"/>
  <c r="C895" i="4"/>
  <c r="B895" i="4"/>
  <c r="I894" i="4"/>
  <c r="I893" i="4"/>
  <c r="I892" i="4"/>
  <c r="H890" i="4"/>
  <c r="G890" i="4"/>
  <c r="F890" i="4"/>
  <c r="E890" i="4"/>
  <c r="D890" i="4"/>
  <c r="C890" i="4"/>
  <c r="B890" i="4"/>
  <c r="I889" i="4"/>
  <c r="I888" i="4"/>
  <c r="I887" i="4"/>
  <c r="I886" i="4"/>
  <c r="I885" i="4"/>
  <c r="I884" i="4"/>
  <c r="I883" i="4"/>
  <c r="I882" i="4"/>
  <c r="I881" i="4"/>
  <c r="I880" i="4"/>
  <c r="I1146" i="3"/>
  <c r="I1145" i="3"/>
  <c r="I1143" i="3"/>
  <c r="J1253" i="3" s="1"/>
  <c r="H1142" i="3"/>
  <c r="G1142" i="3"/>
  <c r="F1142" i="3"/>
  <c r="E1142" i="3"/>
  <c r="D1142" i="3"/>
  <c r="C1142" i="3"/>
  <c r="B1142" i="3"/>
  <c r="I1141" i="3"/>
  <c r="J1251" i="3" s="1"/>
  <c r="I1140" i="3"/>
  <c r="J1250" i="3" s="1"/>
  <c r="I1139" i="3"/>
  <c r="J1249" i="3" s="1"/>
  <c r="I1138" i="3"/>
  <c r="J1248" i="3" s="1"/>
  <c r="I1137" i="3"/>
  <c r="J1247" i="3" s="1"/>
  <c r="H1135" i="3"/>
  <c r="G1135" i="3"/>
  <c r="F1135" i="3"/>
  <c r="E1135" i="3"/>
  <c r="D1135" i="3"/>
  <c r="C1135" i="3"/>
  <c r="B1135" i="3"/>
  <c r="I1134" i="3"/>
  <c r="J1244" i="3" s="1"/>
  <c r="I1133" i="3"/>
  <c r="J1243" i="3" s="1"/>
  <c r="I1132" i="3"/>
  <c r="J1242" i="3" s="1"/>
  <c r="I1131" i="3"/>
  <c r="J1241" i="3" s="1"/>
  <c r="I1130" i="3"/>
  <c r="J1240" i="3" s="1"/>
  <c r="I1129" i="3"/>
  <c r="J1239" i="3" s="1"/>
  <c r="I1128" i="3"/>
  <c r="J1238" i="3" s="1"/>
  <c r="I1127" i="3"/>
  <c r="J1237" i="3" s="1"/>
  <c r="I1126" i="3"/>
  <c r="J1236" i="3" s="1"/>
  <c r="I1125" i="3"/>
  <c r="J1235" i="3" s="1"/>
  <c r="I895" i="4" l="1"/>
  <c r="I1142" i="3"/>
  <c r="J1252" i="3" s="1"/>
  <c r="I890" i="4"/>
  <c r="I1135" i="3"/>
  <c r="J1245" i="3" s="1"/>
  <c r="H1115" i="3"/>
  <c r="G1115" i="3" l="1"/>
  <c r="B1115" i="3" l="1"/>
  <c r="B1117" i="3" l="1"/>
  <c r="F1115" i="3"/>
  <c r="E1118" i="3"/>
  <c r="E1117" i="3"/>
  <c r="E1115" i="3"/>
  <c r="D1118" i="3"/>
  <c r="D1117" i="3"/>
  <c r="D1115" i="3"/>
  <c r="C1118" i="3"/>
  <c r="C1117" i="3"/>
  <c r="C1115" i="3"/>
  <c r="H872" i="4" l="1"/>
  <c r="G872" i="4"/>
  <c r="F872" i="4"/>
  <c r="E872" i="4"/>
  <c r="D872" i="4"/>
  <c r="C872" i="4"/>
  <c r="B872" i="4"/>
  <c r="I871" i="4"/>
  <c r="I870" i="4"/>
  <c r="I869" i="4"/>
  <c r="H867" i="4"/>
  <c r="G867" i="4"/>
  <c r="F867" i="4"/>
  <c r="E867" i="4"/>
  <c r="D867" i="4"/>
  <c r="C867" i="4"/>
  <c r="B867" i="4"/>
  <c r="I866" i="4"/>
  <c r="I865" i="4"/>
  <c r="I864" i="4"/>
  <c r="I863" i="4"/>
  <c r="I862" i="4"/>
  <c r="I861" i="4"/>
  <c r="I860" i="4"/>
  <c r="I859" i="4"/>
  <c r="I858" i="4"/>
  <c r="I857" i="4"/>
  <c r="I1118" i="3"/>
  <c r="I1117" i="3"/>
  <c r="I1115" i="3"/>
  <c r="H1114" i="3"/>
  <c r="G1114" i="3"/>
  <c r="F1114" i="3"/>
  <c r="E1114" i="3"/>
  <c r="D1114" i="3"/>
  <c r="C1114" i="3"/>
  <c r="B1114" i="3"/>
  <c r="I1113" i="3"/>
  <c r="I1112" i="3"/>
  <c r="I1111" i="3"/>
  <c r="I1110" i="3"/>
  <c r="I1109" i="3"/>
  <c r="H1107" i="3"/>
  <c r="G1107" i="3"/>
  <c r="F1107" i="3"/>
  <c r="E1107" i="3"/>
  <c r="D1107" i="3"/>
  <c r="C1107" i="3"/>
  <c r="B1107" i="3"/>
  <c r="I1106" i="3"/>
  <c r="I1105" i="3"/>
  <c r="I1104" i="3"/>
  <c r="I1103" i="3"/>
  <c r="I1102" i="3"/>
  <c r="I1101" i="3"/>
  <c r="I1100" i="3"/>
  <c r="I1099" i="3"/>
  <c r="I1098" i="3"/>
  <c r="I1097" i="3"/>
  <c r="I867" i="4" l="1"/>
  <c r="I1107" i="3"/>
  <c r="I872" i="4"/>
  <c r="I1114" i="3"/>
  <c r="H1089" i="3"/>
  <c r="H1087" i="3"/>
  <c r="G1089" i="3"/>
  <c r="G1087" i="3"/>
  <c r="F1089" i="3" l="1"/>
  <c r="F1087" i="3"/>
  <c r="E1089" i="3" l="1"/>
  <c r="E1087" i="3"/>
  <c r="D1090" i="3" l="1"/>
  <c r="D1089" i="3"/>
  <c r="D1087" i="3"/>
  <c r="C1090" i="3" l="1"/>
  <c r="C1089" i="3"/>
  <c r="C1087" i="3"/>
  <c r="B1089" i="3"/>
  <c r="I1089" i="3" s="1"/>
  <c r="B1087" i="3"/>
  <c r="I1090" i="3"/>
  <c r="I1087" i="3"/>
  <c r="H1086" i="3"/>
  <c r="G1086" i="3"/>
  <c r="F1086" i="3"/>
  <c r="E1086" i="3"/>
  <c r="D1086" i="3"/>
  <c r="C1086" i="3"/>
  <c r="B1086" i="3"/>
  <c r="I1085" i="3"/>
  <c r="I1084" i="3"/>
  <c r="I1083" i="3"/>
  <c r="I1082" i="3"/>
  <c r="I1081" i="3"/>
  <c r="H1079" i="3"/>
  <c r="G1079" i="3"/>
  <c r="F1079" i="3"/>
  <c r="E1079" i="3"/>
  <c r="D1079" i="3"/>
  <c r="C1079" i="3"/>
  <c r="B1079" i="3"/>
  <c r="I1078" i="3"/>
  <c r="I1077" i="3"/>
  <c r="I1076" i="3"/>
  <c r="I1075" i="3"/>
  <c r="I1074" i="3"/>
  <c r="I1073" i="3"/>
  <c r="I1072" i="3"/>
  <c r="I1071" i="3"/>
  <c r="I1070" i="3"/>
  <c r="I1069" i="3"/>
  <c r="I1086" i="3" l="1"/>
  <c r="I1079" i="3"/>
  <c r="H850" i="4" l="1"/>
  <c r="G850" i="4"/>
  <c r="F850" i="4"/>
  <c r="E850" i="4"/>
  <c r="D850" i="4"/>
  <c r="C850" i="4"/>
  <c r="B850" i="4"/>
  <c r="I849" i="4"/>
  <c r="I848" i="4"/>
  <c r="I847" i="4"/>
  <c r="H845" i="4"/>
  <c r="G845" i="4"/>
  <c r="F845" i="4"/>
  <c r="E845" i="4"/>
  <c r="D845" i="4"/>
  <c r="C845" i="4"/>
  <c r="B845" i="4"/>
  <c r="I844" i="4"/>
  <c r="I843" i="4"/>
  <c r="I842" i="4"/>
  <c r="I841" i="4"/>
  <c r="I840" i="4"/>
  <c r="I839" i="4"/>
  <c r="I838" i="4"/>
  <c r="I837" i="4"/>
  <c r="I836" i="4"/>
  <c r="I835" i="4"/>
  <c r="I850" i="4" l="1"/>
  <c r="I845" i="4"/>
  <c r="E1060" i="3"/>
  <c r="H1060" i="3" l="1"/>
  <c r="G1063" i="3"/>
  <c r="G1060" i="3"/>
  <c r="F1063" i="3"/>
  <c r="F1062" i="3"/>
  <c r="F1060" i="3"/>
  <c r="E1063" i="3"/>
  <c r="E1062" i="3"/>
  <c r="D1062" i="3"/>
  <c r="D1060" i="3"/>
  <c r="B829" i="4" l="1"/>
  <c r="C829" i="4"/>
  <c r="D829" i="4"/>
  <c r="E829" i="4"/>
  <c r="F829" i="4"/>
  <c r="G829" i="4"/>
  <c r="H829" i="4"/>
  <c r="I828" i="4"/>
  <c r="I827" i="4"/>
  <c r="I826" i="4"/>
  <c r="H824" i="4"/>
  <c r="G824" i="4"/>
  <c r="F824" i="4"/>
  <c r="E824" i="4"/>
  <c r="D824" i="4"/>
  <c r="C824" i="4"/>
  <c r="B824" i="4"/>
  <c r="I823" i="4"/>
  <c r="I822" i="4"/>
  <c r="I821" i="4"/>
  <c r="I820" i="4"/>
  <c r="I819" i="4"/>
  <c r="I818" i="4"/>
  <c r="I817" i="4"/>
  <c r="I816" i="4"/>
  <c r="I815" i="4"/>
  <c r="I814" i="4"/>
  <c r="C1060" i="3"/>
  <c r="B1060" i="3"/>
  <c r="I1063" i="3"/>
  <c r="I1062" i="3"/>
  <c r="H1059" i="3"/>
  <c r="G1059" i="3"/>
  <c r="F1059" i="3"/>
  <c r="E1059" i="3"/>
  <c r="D1059" i="3"/>
  <c r="C1059" i="3"/>
  <c r="B1059" i="3"/>
  <c r="I1058" i="3"/>
  <c r="I1057" i="3"/>
  <c r="I1056" i="3"/>
  <c r="I1055" i="3"/>
  <c r="I1054" i="3"/>
  <c r="H1052" i="3"/>
  <c r="G1052" i="3"/>
  <c r="F1052" i="3"/>
  <c r="E1052" i="3"/>
  <c r="D1052" i="3"/>
  <c r="C1052" i="3"/>
  <c r="B1052" i="3"/>
  <c r="I1051" i="3"/>
  <c r="I1050" i="3"/>
  <c r="I1049" i="3"/>
  <c r="I1048" i="3"/>
  <c r="I1047" i="3"/>
  <c r="I1046" i="3"/>
  <c r="I1045" i="3"/>
  <c r="I1044" i="3"/>
  <c r="I1043" i="3"/>
  <c r="I1042" i="3"/>
  <c r="I1060" i="3" l="1"/>
  <c r="I829" i="4"/>
  <c r="I824" i="4"/>
  <c r="I1059" i="3"/>
  <c r="I1052" i="3"/>
  <c r="H1036" i="3"/>
  <c r="H1033" i="3"/>
  <c r="G1036" i="3"/>
  <c r="G1033" i="3"/>
  <c r="F1033" i="3"/>
  <c r="F1036" i="3"/>
  <c r="F1035" i="3"/>
  <c r="E1036" i="3"/>
  <c r="E1033" i="3"/>
  <c r="D1036" i="3" l="1"/>
  <c r="D1033" i="3"/>
  <c r="C1036" i="3"/>
  <c r="C1033" i="3"/>
  <c r="H807" i="4" l="1"/>
  <c r="G807" i="4"/>
  <c r="F807" i="4"/>
  <c r="E807" i="4"/>
  <c r="D807" i="4"/>
  <c r="C807" i="4"/>
  <c r="B807" i="4"/>
  <c r="I806" i="4"/>
  <c r="I805" i="4"/>
  <c r="I804" i="4"/>
  <c r="H802" i="4"/>
  <c r="G802" i="4"/>
  <c r="F802" i="4"/>
  <c r="E802" i="4"/>
  <c r="D802" i="4"/>
  <c r="C802" i="4"/>
  <c r="B802" i="4"/>
  <c r="I801" i="4"/>
  <c r="I800" i="4"/>
  <c r="I799" i="4"/>
  <c r="I798" i="4"/>
  <c r="I797" i="4"/>
  <c r="I796" i="4"/>
  <c r="I795" i="4"/>
  <c r="I794" i="4"/>
  <c r="I793" i="4"/>
  <c r="I792" i="4"/>
  <c r="B1033" i="3"/>
  <c r="I1033" i="3" s="1"/>
  <c r="B1036" i="3"/>
  <c r="I1036" i="3" s="1"/>
  <c r="I1035" i="3"/>
  <c r="H1032" i="3"/>
  <c r="G1032" i="3"/>
  <c r="F1032" i="3"/>
  <c r="E1032" i="3"/>
  <c r="D1032" i="3"/>
  <c r="C1032" i="3"/>
  <c r="B1032" i="3"/>
  <c r="I1031" i="3"/>
  <c r="I1030" i="3"/>
  <c r="I1029" i="3"/>
  <c r="I1028" i="3"/>
  <c r="I1027" i="3"/>
  <c r="H1025" i="3"/>
  <c r="G1025" i="3"/>
  <c r="F1025" i="3"/>
  <c r="E1025" i="3"/>
  <c r="D1025" i="3"/>
  <c r="C1025" i="3"/>
  <c r="B1025" i="3"/>
  <c r="I1024" i="3"/>
  <c r="J1106" i="3" s="1"/>
  <c r="I1023" i="3"/>
  <c r="J1105" i="3" s="1"/>
  <c r="I1022" i="3"/>
  <c r="J1104" i="3" s="1"/>
  <c r="I1021" i="3"/>
  <c r="J1103" i="3" s="1"/>
  <c r="I1020" i="3"/>
  <c r="J1102" i="3" s="1"/>
  <c r="I1019" i="3"/>
  <c r="J1101" i="3" s="1"/>
  <c r="I1018" i="3"/>
  <c r="J1100" i="3" s="1"/>
  <c r="I1017" i="3"/>
  <c r="J1099" i="3" s="1"/>
  <c r="I1016" i="3"/>
  <c r="J1098" i="3" s="1"/>
  <c r="I1015" i="3"/>
  <c r="J1097" i="3" s="1"/>
  <c r="J1139" i="3" l="1"/>
  <c r="J1111" i="3"/>
  <c r="J1140" i="3"/>
  <c r="J1112" i="3"/>
  <c r="J1137" i="3"/>
  <c r="J1109" i="3"/>
  <c r="J1141" i="3"/>
  <c r="J1113" i="3"/>
  <c r="J1138" i="3"/>
  <c r="J1110" i="3"/>
  <c r="I1032" i="3"/>
  <c r="I807" i="4"/>
  <c r="I802" i="4"/>
  <c r="I1025" i="3"/>
  <c r="D54" i="5" l="1"/>
  <c r="J782" i="4"/>
  <c r="J999" i="3"/>
  <c r="I39" i="5"/>
  <c r="I37" i="5"/>
  <c r="I43" i="5" s="1"/>
  <c r="H1009" i="3" l="1"/>
  <c r="J1118" i="3" s="1"/>
  <c r="H1008" i="3"/>
  <c r="J1117" i="3" s="1"/>
  <c r="H1006" i="3"/>
  <c r="J1115" i="3" s="1"/>
  <c r="F1008" i="3" l="1"/>
  <c r="G1009" i="3"/>
  <c r="G1006" i="3"/>
  <c r="F1006" i="3"/>
  <c r="E1008" i="3" l="1"/>
  <c r="E1009" i="3"/>
  <c r="E1006" i="3"/>
  <c r="D1006" i="3" l="1"/>
  <c r="H786" i="4"/>
  <c r="G786" i="4"/>
  <c r="F786" i="4"/>
  <c r="E786" i="4"/>
  <c r="D786" i="4"/>
  <c r="C786" i="4"/>
  <c r="B786" i="4"/>
  <c r="I785" i="4"/>
  <c r="I784" i="4"/>
  <c r="I783" i="4"/>
  <c r="H781" i="4"/>
  <c r="G781" i="4"/>
  <c r="F781" i="4"/>
  <c r="E781" i="4"/>
  <c r="D781" i="4"/>
  <c r="C781" i="4"/>
  <c r="B781" i="4"/>
  <c r="I780" i="4"/>
  <c r="I779" i="4"/>
  <c r="I778" i="4"/>
  <c r="I777" i="4"/>
  <c r="I776" i="4"/>
  <c r="I775" i="4"/>
  <c r="I774" i="4"/>
  <c r="I773" i="4"/>
  <c r="I772" i="4"/>
  <c r="I771" i="4"/>
  <c r="C1006" i="3"/>
  <c r="B1009" i="3"/>
  <c r="I1009" i="3" s="1"/>
  <c r="B1006" i="3"/>
  <c r="B998" i="3"/>
  <c r="C998" i="3"/>
  <c r="D998" i="3"/>
  <c r="E998" i="3"/>
  <c r="F998" i="3"/>
  <c r="G998" i="3"/>
  <c r="H998" i="3"/>
  <c r="J1107" i="3" s="1"/>
  <c r="I1008" i="3"/>
  <c r="H1005" i="3"/>
  <c r="G1005" i="3"/>
  <c r="F1005" i="3"/>
  <c r="E1005" i="3"/>
  <c r="D1005" i="3"/>
  <c r="C1005" i="3"/>
  <c r="B1005" i="3"/>
  <c r="I1004" i="3"/>
  <c r="I1003" i="3"/>
  <c r="I1002" i="3"/>
  <c r="I1001" i="3"/>
  <c r="I1000" i="3"/>
  <c r="I997" i="3"/>
  <c r="I996" i="3"/>
  <c r="I995" i="3"/>
  <c r="I994" i="3"/>
  <c r="I993" i="3"/>
  <c r="I992" i="3"/>
  <c r="I991" i="3"/>
  <c r="I990" i="3"/>
  <c r="I989" i="3"/>
  <c r="I988" i="3"/>
  <c r="B979" i="3"/>
  <c r="J1142" i="3" l="1"/>
  <c r="J1114" i="3"/>
  <c r="L992" i="3"/>
  <c r="I1006" i="3"/>
  <c r="I786" i="4"/>
  <c r="I781" i="4"/>
  <c r="I1005" i="3"/>
  <c r="I998" i="3"/>
  <c r="H979" i="3" l="1"/>
  <c r="G979" i="3"/>
  <c r="F979" i="3" l="1"/>
  <c r="E979" i="3" l="1"/>
  <c r="D979" i="3"/>
  <c r="H765" i="4" l="1"/>
  <c r="G765" i="4"/>
  <c r="F765" i="4"/>
  <c r="E765" i="4"/>
  <c r="D765" i="4"/>
  <c r="C765" i="4"/>
  <c r="B765" i="4"/>
  <c r="I764" i="4"/>
  <c r="I763" i="4"/>
  <c r="I762" i="4"/>
  <c r="H760" i="4"/>
  <c r="G760" i="4"/>
  <c r="F760" i="4"/>
  <c r="E760" i="4"/>
  <c r="D760" i="4"/>
  <c r="C760" i="4"/>
  <c r="B760" i="4"/>
  <c r="I759" i="4"/>
  <c r="I758" i="4"/>
  <c r="I757" i="4"/>
  <c r="I756" i="4"/>
  <c r="I755" i="4"/>
  <c r="I754" i="4"/>
  <c r="I753" i="4"/>
  <c r="I752" i="4"/>
  <c r="I751" i="4"/>
  <c r="I750" i="4"/>
  <c r="C979" i="3"/>
  <c r="I765" i="4" l="1"/>
  <c r="I760" i="4"/>
  <c r="I982" i="3" l="1"/>
  <c r="I981" i="3"/>
  <c r="I979" i="3"/>
  <c r="H978" i="3"/>
  <c r="G978" i="3"/>
  <c r="F978" i="3"/>
  <c r="E978" i="3"/>
  <c r="D978" i="3"/>
  <c r="C978" i="3"/>
  <c r="B978" i="3"/>
  <c r="I977" i="3"/>
  <c r="I976" i="3"/>
  <c r="I975" i="3"/>
  <c r="I974" i="3"/>
  <c r="I973" i="3"/>
  <c r="H971" i="3"/>
  <c r="G971" i="3"/>
  <c r="F971" i="3"/>
  <c r="E971" i="3"/>
  <c r="D971" i="3"/>
  <c r="C971" i="3"/>
  <c r="B971" i="3"/>
  <c r="I970" i="3"/>
  <c r="I969" i="3"/>
  <c r="I968" i="3"/>
  <c r="I967" i="3"/>
  <c r="I966" i="3"/>
  <c r="I965" i="3"/>
  <c r="I964" i="3"/>
  <c r="I963" i="3"/>
  <c r="I962" i="3"/>
  <c r="I961" i="3"/>
  <c r="J965" i="3" l="1"/>
  <c r="I978" i="3"/>
  <c r="I971" i="3"/>
  <c r="I916" i="3"/>
  <c r="H952" i="3" l="1"/>
  <c r="G952" i="3" l="1"/>
  <c r="F952" i="3"/>
  <c r="D955" i="3" l="1"/>
  <c r="C955" i="3"/>
  <c r="D743" i="4"/>
  <c r="E952" i="3"/>
  <c r="D952" i="3"/>
  <c r="C952" i="3" l="1"/>
  <c r="B952" i="3"/>
  <c r="B743" i="4" l="1"/>
  <c r="I955" i="3"/>
  <c r="I954" i="3"/>
  <c r="I952" i="3"/>
  <c r="H951" i="3"/>
  <c r="G951" i="3"/>
  <c r="F951" i="3"/>
  <c r="E951" i="3"/>
  <c r="D951" i="3"/>
  <c r="C951" i="3"/>
  <c r="B951" i="3"/>
  <c r="I950" i="3"/>
  <c r="I949" i="3"/>
  <c r="I948" i="3"/>
  <c r="I947" i="3"/>
  <c r="I946" i="3"/>
  <c r="I943" i="3"/>
  <c r="I942" i="3"/>
  <c r="I941" i="3"/>
  <c r="I940" i="3"/>
  <c r="I939" i="3"/>
  <c r="I938" i="3"/>
  <c r="I937" i="3"/>
  <c r="I936" i="3"/>
  <c r="I935" i="3"/>
  <c r="I934" i="3"/>
  <c r="H944" i="3"/>
  <c r="G944" i="3"/>
  <c r="F944" i="3"/>
  <c r="E944" i="3"/>
  <c r="D944" i="3"/>
  <c r="C944" i="3"/>
  <c r="B944" i="3"/>
  <c r="C743" i="4"/>
  <c r="E743" i="4"/>
  <c r="F743" i="4"/>
  <c r="G743" i="4"/>
  <c r="H743" i="4"/>
  <c r="J940" i="3" l="1"/>
  <c r="J946" i="3"/>
  <c r="K946" i="3"/>
  <c r="I951" i="3"/>
  <c r="I944" i="3"/>
  <c r="I742" i="4" l="1"/>
  <c r="I741" i="4"/>
  <c r="I740" i="4"/>
  <c r="H738" i="4"/>
  <c r="G738" i="4"/>
  <c r="F738" i="4"/>
  <c r="I737" i="4"/>
  <c r="I736" i="4"/>
  <c r="I735" i="4"/>
  <c r="I734" i="4"/>
  <c r="I733" i="4"/>
  <c r="I732" i="4"/>
  <c r="I731" i="4"/>
  <c r="I730" i="4"/>
  <c r="I729" i="4"/>
  <c r="I728" i="4"/>
  <c r="E738" i="4"/>
  <c r="D738" i="4"/>
  <c r="C738" i="4"/>
  <c r="B738" i="4"/>
  <c r="I743" i="4" l="1"/>
  <c r="I738" i="4"/>
  <c r="F717" i="4"/>
  <c r="G717" i="4"/>
  <c r="H717" i="4"/>
  <c r="H924" i="3"/>
  <c r="H922" i="3"/>
  <c r="G924" i="3"/>
  <c r="G922" i="3"/>
  <c r="F922" i="3"/>
  <c r="F925" i="3"/>
  <c r="F924" i="3"/>
  <c r="F903" i="3"/>
  <c r="K734" i="4" l="1"/>
  <c r="E706" i="4"/>
  <c r="D706" i="4"/>
  <c r="E903" i="3"/>
  <c r="D903" i="3"/>
  <c r="E922" i="3"/>
  <c r="D922" i="3"/>
  <c r="D924" i="3"/>
  <c r="E924" i="3"/>
  <c r="D925" i="3"/>
  <c r="E925" i="3"/>
  <c r="C706" i="4" l="1"/>
  <c r="C903" i="3"/>
  <c r="C925" i="3"/>
  <c r="C924" i="3"/>
  <c r="C922" i="3"/>
  <c r="D893" i="3" l="1"/>
  <c r="D700" i="4"/>
  <c r="B706" i="4"/>
  <c r="B925" i="3"/>
  <c r="B924" i="3"/>
  <c r="B922" i="3"/>
  <c r="B903" i="3"/>
  <c r="H722" i="4"/>
  <c r="G722" i="4"/>
  <c r="F722" i="4"/>
  <c r="E722" i="4"/>
  <c r="D722" i="4"/>
  <c r="C722" i="4"/>
  <c r="B722" i="4"/>
  <c r="I721" i="4"/>
  <c r="I720" i="4"/>
  <c r="I719" i="4"/>
  <c r="E717" i="4"/>
  <c r="I716" i="4"/>
  <c r="I715" i="4"/>
  <c r="I714" i="4"/>
  <c r="I713" i="4"/>
  <c r="I712" i="4"/>
  <c r="I711" i="4"/>
  <c r="I710" i="4"/>
  <c r="I709" i="4"/>
  <c r="I708" i="4"/>
  <c r="I707" i="4"/>
  <c r="D717" i="4"/>
  <c r="C717" i="4"/>
  <c r="B717" i="4"/>
  <c r="J740" i="4" l="1"/>
  <c r="J741" i="4"/>
  <c r="J742" i="4"/>
  <c r="I722" i="4"/>
  <c r="I717" i="4"/>
  <c r="J743" i="4" l="1"/>
  <c r="H684" i="4"/>
  <c r="G896" i="3"/>
  <c r="G895" i="3"/>
  <c r="H893" i="3"/>
  <c r="I925" i="3"/>
  <c r="I924" i="3"/>
  <c r="I922" i="3"/>
  <c r="H921" i="3"/>
  <c r="G921" i="3"/>
  <c r="F921" i="3"/>
  <c r="E921" i="3"/>
  <c r="D921" i="3"/>
  <c r="C921" i="3"/>
  <c r="B921" i="3"/>
  <c r="I920" i="3"/>
  <c r="I919" i="3"/>
  <c r="I918" i="3"/>
  <c r="I917" i="3"/>
  <c r="F914" i="3"/>
  <c r="E914" i="3"/>
  <c r="D914" i="3"/>
  <c r="I913" i="3"/>
  <c r="I912" i="3"/>
  <c r="I911" i="3"/>
  <c r="I910" i="3"/>
  <c r="I909" i="3"/>
  <c r="I908" i="3"/>
  <c r="I907" i="3"/>
  <c r="I906" i="3"/>
  <c r="I905" i="3"/>
  <c r="I904" i="3"/>
  <c r="H903" i="3"/>
  <c r="H914" i="3" s="1"/>
  <c r="G903" i="3"/>
  <c r="G914" i="3" s="1"/>
  <c r="C914" i="3"/>
  <c r="B914" i="3"/>
  <c r="K949" i="3" l="1"/>
  <c r="J949" i="3"/>
  <c r="J907" i="3"/>
  <c r="K940" i="3" s="1"/>
  <c r="K947" i="3"/>
  <c r="J947" i="3"/>
  <c r="K950" i="3"/>
  <c r="J950" i="3"/>
  <c r="L950" i="3" s="1"/>
  <c r="K952" i="3"/>
  <c r="J952" i="3"/>
  <c r="K948" i="3"/>
  <c r="J948" i="3"/>
  <c r="I921" i="3"/>
  <c r="I914" i="3"/>
  <c r="G878" i="3"/>
  <c r="K992" i="3" s="1"/>
  <c r="G874" i="3"/>
  <c r="F874" i="3"/>
  <c r="G688" i="4"/>
  <c r="G684" i="4"/>
  <c r="F684" i="4"/>
  <c r="G893" i="3"/>
  <c r="F895" i="3"/>
  <c r="F896" i="3"/>
  <c r="F893" i="3"/>
  <c r="J951" i="3" l="1"/>
  <c r="K951" i="3"/>
  <c r="E684" i="4"/>
  <c r="D684" i="4"/>
  <c r="E895" i="3"/>
  <c r="E893" i="3"/>
  <c r="D895" i="3"/>
  <c r="C684" i="4"/>
  <c r="C874" i="3"/>
  <c r="C895" i="3"/>
  <c r="C893" i="3"/>
  <c r="B684" i="4" l="1"/>
  <c r="H700" i="4"/>
  <c r="G700" i="4"/>
  <c r="F700" i="4"/>
  <c r="E700" i="4"/>
  <c r="C700" i="4"/>
  <c r="B700" i="4"/>
  <c r="I699" i="4"/>
  <c r="J785" i="4" s="1"/>
  <c r="I698" i="4"/>
  <c r="J784" i="4" s="1"/>
  <c r="I697" i="4"/>
  <c r="J783" i="4" s="1"/>
  <c r="H695" i="4"/>
  <c r="G695" i="4"/>
  <c r="F695" i="4"/>
  <c r="E695" i="4"/>
  <c r="B695" i="4"/>
  <c r="I694" i="4"/>
  <c r="I693" i="4"/>
  <c r="I692" i="4"/>
  <c r="I691" i="4"/>
  <c r="I690" i="4"/>
  <c r="I689" i="4"/>
  <c r="I688" i="4"/>
  <c r="I687" i="4"/>
  <c r="I686" i="4"/>
  <c r="I685" i="4"/>
  <c r="D695" i="4"/>
  <c r="C695" i="4"/>
  <c r="B874" i="3"/>
  <c r="B885" i="3" s="1"/>
  <c r="B896" i="3"/>
  <c r="I896" i="3" s="1"/>
  <c r="K896" i="3" s="1"/>
  <c r="B895" i="3"/>
  <c r="I895" i="3" s="1"/>
  <c r="K895" i="3" s="1"/>
  <c r="B893" i="3"/>
  <c r="I893" i="3" s="1"/>
  <c r="I876" i="3"/>
  <c r="I877" i="3"/>
  <c r="I878" i="3"/>
  <c r="I879" i="3"/>
  <c r="I880" i="3"/>
  <c r="I881" i="3"/>
  <c r="I882" i="3"/>
  <c r="J995" i="3" s="1"/>
  <c r="I883" i="3"/>
  <c r="I884" i="3"/>
  <c r="I875" i="3"/>
  <c r="H892" i="3"/>
  <c r="G892" i="3"/>
  <c r="F892" i="3"/>
  <c r="E892" i="3"/>
  <c r="D892" i="3"/>
  <c r="C892" i="3"/>
  <c r="B892" i="3"/>
  <c r="I891" i="3"/>
  <c r="J1004" i="3" s="1"/>
  <c r="I890" i="3"/>
  <c r="I889" i="3"/>
  <c r="I888" i="3"/>
  <c r="I887" i="3"/>
  <c r="E885" i="3"/>
  <c r="D885" i="3"/>
  <c r="C885" i="3"/>
  <c r="H874" i="3"/>
  <c r="H885" i="3" s="1"/>
  <c r="G885" i="3"/>
  <c r="F885" i="3"/>
  <c r="L873" i="3"/>
  <c r="K888" i="3" l="1"/>
  <c r="J1001" i="3"/>
  <c r="K889" i="3"/>
  <c r="J1002" i="3"/>
  <c r="K883" i="3"/>
  <c r="J996" i="3"/>
  <c r="K879" i="3"/>
  <c r="J992" i="3"/>
  <c r="K893" i="3"/>
  <c r="J1006" i="3"/>
  <c r="K1006" i="3" s="1"/>
  <c r="K884" i="3"/>
  <c r="J997" i="3"/>
  <c r="K880" i="3"/>
  <c r="J993" i="3"/>
  <c r="K876" i="3"/>
  <c r="J989" i="3"/>
  <c r="K890" i="3"/>
  <c r="J1003" i="3"/>
  <c r="K878" i="3"/>
  <c r="J991" i="3"/>
  <c r="K887" i="3"/>
  <c r="J1000" i="3"/>
  <c r="K875" i="3"/>
  <c r="J988" i="3"/>
  <c r="K881" i="3"/>
  <c r="J994" i="3"/>
  <c r="K877" i="3"/>
  <c r="J990" i="3"/>
  <c r="I695" i="4"/>
  <c r="I700" i="4"/>
  <c r="J786" i="4" s="1"/>
  <c r="I885" i="3"/>
  <c r="I892" i="3"/>
  <c r="J1005" i="3" s="1"/>
  <c r="K892" i="3" l="1"/>
  <c r="K1005" i="3"/>
  <c r="K885" i="3"/>
  <c r="J998" i="3"/>
  <c r="L844" i="3"/>
  <c r="H845" i="3"/>
  <c r="G845" i="3"/>
  <c r="F845" i="3"/>
  <c r="E845" i="3"/>
  <c r="G867" i="3"/>
  <c r="G866" i="3"/>
  <c r="F866" i="3"/>
  <c r="E866" i="3"/>
  <c r="H866" i="3"/>
  <c r="H864" i="3"/>
  <c r="G864" i="3"/>
  <c r="F864" i="3"/>
  <c r="E864" i="3"/>
  <c r="D667" i="4" l="1"/>
  <c r="D662" i="4"/>
  <c r="C662" i="4"/>
  <c r="B662" i="4"/>
  <c r="D850" i="3"/>
  <c r="D845" i="3"/>
  <c r="C845" i="3"/>
  <c r="B845" i="3"/>
  <c r="B867" i="3"/>
  <c r="D866" i="3"/>
  <c r="C866" i="3"/>
  <c r="B866" i="3"/>
  <c r="D864" i="3"/>
  <c r="C864" i="3"/>
  <c r="B864" i="3"/>
  <c r="H678" i="4" l="1"/>
  <c r="G678" i="4"/>
  <c r="F678" i="4"/>
  <c r="E678" i="4"/>
  <c r="D678" i="4"/>
  <c r="C678" i="4"/>
  <c r="B678" i="4"/>
  <c r="I677" i="4"/>
  <c r="K677" i="4" s="1"/>
  <c r="I676" i="4"/>
  <c r="K676" i="4" s="1"/>
  <c r="I675" i="4"/>
  <c r="K675" i="4" s="1"/>
  <c r="H673" i="4"/>
  <c r="I672" i="4"/>
  <c r="K672" i="4" s="1"/>
  <c r="I671" i="4"/>
  <c r="K671" i="4" s="1"/>
  <c r="I670" i="4"/>
  <c r="I669" i="4"/>
  <c r="K669" i="4" s="1"/>
  <c r="I668" i="4"/>
  <c r="K668" i="4" s="1"/>
  <c r="I667" i="4"/>
  <c r="K667" i="4" s="1"/>
  <c r="I666" i="4"/>
  <c r="K666" i="4" s="1"/>
  <c r="I665" i="4"/>
  <c r="K665" i="4" s="1"/>
  <c r="I664" i="4"/>
  <c r="K664" i="4" s="1"/>
  <c r="I663" i="4"/>
  <c r="K663" i="4" s="1"/>
  <c r="G673" i="4"/>
  <c r="F673" i="4"/>
  <c r="E673" i="4"/>
  <c r="D673" i="4"/>
  <c r="C673" i="4"/>
  <c r="B673" i="4"/>
  <c r="I867" i="3"/>
  <c r="K867" i="3" s="1"/>
  <c r="I866" i="3"/>
  <c r="K866" i="3" s="1"/>
  <c r="I864" i="3"/>
  <c r="K864" i="3" s="1"/>
  <c r="H863" i="3"/>
  <c r="G863" i="3"/>
  <c r="F863" i="3"/>
  <c r="E863" i="3"/>
  <c r="D863" i="3"/>
  <c r="C863" i="3"/>
  <c r="B863" i="3"/>
  <c r="I862" i="3"/>
  <c r="I861" i="3"/>
  <c r="I860" i="3"/>
  <c r="I859" i="3"/>
  <c r="I858" i="3"/>
  <c r="H856" i="3"/>
  <c r="I855" i="3"/>
  <c r="I854" i="3"/>
  <c r="I853" i="3"/>
  <c r="I852" i="3"/>
  <c r="I851" i="3"/>
  <c r="I850" i="3"/>
  <c r="I849" i="3"/>
  <c r="I848" i="3"/>
  <c r="I847" i="3"/>
  <c r="I846" i="3"/>
  <c r="G856" i="3"/>
  <c r="F856" i="3"/>
  <c r="E856" i="3"/>
  <c r="D856" i="3"/>
  <c r="C856" i="3"/>
  <c r="B856" i="3"/>
  <c r="H838" i="3"/>
  <c r="H837" i="3"/>
  <c r="I31" i="5"/>
  <c r="I30" i="5"/>
  <c r="I32" i="5"/>
  <c r="I28" i="5"/>
  <c r="D39" i="5"/>
  <c r="D37" i="5"/>
  <c r="I27" i="5" s="1"/>
  <c r="K851" i="3" l="1"/>
  <c r="K849" i="3"/>
  <c r="K858" i="3"/>
  <c r="K847" i="3"/>
  <c r="K855" i="3"/>
  <c r="K860" i="3"/>
  <c r="K848" i="3"/>
  <c r="K852" i="3"/>
  <c r="K861" i="3"/>
  <c r="K846" i="3"/>
  <c r="K850" i="3"/>
  <c r="K854" i="3"/>
  <c r="K859" i="3"/>
  <c r="D43" i="5"/>
  <c r="I678" i="4"/>
  <c r="I673" i="4"/>
  <c r="K673" i="4" s="1"/>
  <c r="I863" i="3"/>
  <c r="I856" i="3"/>
  <c r="I29" i="5"/>
  <c r="I33" i="5" s="1"/>
  <c r="M749" i="3"/>
  <c r="K749" i="3"/>
  <c r="K863" i="3" l="1"/>
  <c r="K856" i="3"/>
  <c r="K678" i="4"/>
  <c r="K741" i="3"/>
  <c r="G639" i="4" l="1"/>
  <c r="F639" i="4"/>
  <c r="G816" i="3"/>
  <c r="F816" i="3"/>
  <c r="G838" i="3"/>
  <c r="F838" i="3"/>
  <c r="G837" i="3"/>
  <c r="F837" i="3"/>
  <c r="E837" i="3"/>
  <c r="G835" i="3"/>
  <c r="F835" i="3"/>
  <c r="C837" i="3" l="1"/>
  <c r="I837" i="3" s="1"/>
  <c r="E639" i="4"/>
  <c r="E816" i="3"/>
  <c r="E838" i="3"/>
  <c r="E835" i="3"/>
  <c r="I817" i="3" l="1"/>
  <c r="D639" i="4" l="1"/>
  <c r="I818" i="3"/>
  <c r="I819" i="3"/>
  <c r="I820" i="3"/>
  <c r="I821" i="3"/>
  <c r="I822" i="3"/>
  <c r="I823" i="3"/>
  <c r="I824" i="3"/>
  <c r="I825" i="3"/>
  <c r="I826" i="3"/>
  <c r="D816" i="3"/>
  <c r="D838" i="3"/>
  <c r="D835" i="3"/>
  <c r="C639" i="4" l="1"/>
  <c r="B639" i="4"/>
  <c r="C838" i="3"/>
  <c r="C816" i="3"/>
  <c r="B838" i="3"/>
  <c r="B816" i="3"/>
  <c r="B787" i="3"/>
  <c r="C835" i="3"/>
  <c r="B835" i="3"/>
  <c r="H655" i="4" l="1"/>
  <c r="G655" i="4"/>
  <c r="F655" i="4"/>
  <c r="E655" i="4"/>
  <c r="D655" i="4"/>
  <c r="C655" i="4"/>
  <c r="B655" i="4"/>
  <c r="I654" i="4"/>
  <c r="I653" i="4"/>
  <c r="I652" i="4"/>
  <c r="G650" i="4"/>
  <c r="F650" i="4"/>
  <c r="I649" i="4"/>
  <c r="I648" i="4"/>
  <c r="I647" i="4"/>
  <c r="I646" i="4"/>
  <c r="I645" i="4"/>
  <c r="I644" i="4"/>
  <c r="I643" i="4"/>
  <c r="I642" i="4"/>
  <c r="I641" i="4"/>
  <c r="I640" i="4"/>
  <c r="H650" i="4"/>
  <c r="E650" i="4"/>
  <c r="D650" i="4"/>
  <c r="C650" i="4"/>
  <c r="B650" i="4"/>
  <c r="I838" i="3"/>
  <c r="I835" i="3"/>
  <c r="H834" i="3"/>
  <c r="G834" i="3"/>
  <c r="F834" i="3"/>
  <c r="E834" i="3"/>
  <c r="D834" i="3"/>
  <c r="C834" i="3"/>
  <c r="B834" i="3"/>
  <c r="I833" i="3"/>
  <c r="I832" i="3"/>
  <c r="I831" i="3"/>
  <c r="I830" i="3"/>
  <c r="I829" i="3"/>
  <c r="G827" i="3"/>
  <c r="F827" i="3"/>
  <c r="E827" i="3"/>
  <c r="D827" i="3"/>
  <c r="C827" i="3"/>
  <c r="B827" i="3"/>
  <c r="H827" i="3"/>
  <c r="H617" i="4"/>
  <c r="I789" i="3"/>
  <c r="I790" i="3"/>
  <c r="I791" i="3"/>
  <c r="I792" i="3"/>
  <c r="I793" i="3"/>
  <c r="I794" i="3"/>
  <c r="I795" i="3"/>
  <c r="I796" i="3"/>
  <c r="I797" i="3"/>
  <c r="I788" i="3"/>
  <c r="H809" i="3"/>
  <c r="H806" i="3"/>
  <c r="H787" i="3"/>
  <c r="I834" i="3" l="1"/>
  <c r="I655" i="4"/>
  <c r="I650" i="4"/>
  <c r="I827" i="3"/>
  <c r="I622" i="4"/>
  <c r="I620" i="4"/>
  <c r="I621" i="4"/>
  <c r="I619" i="4"/>
  <c r="E617" i="4"/>
  <c r="D617" i="4"/>
  <c r="C617" i="4"/>
  <c r="B617" i="4"/>
  <c r="H633" i="4"/>
  <c r="G633" i="4"/>
  <c r="F633" i="4"/>
  <c r="E633" i="4"/>
  <c r="D633" i="4"/>
  <c r="C633" i="4"/>
  <c r="B633" i="4"/>
  <c r="G806" i="3" l="1"/>
  <c r="F806" i="3" l="1"/>
  <c r="H661" i="3" l="1"/>
  <c r="D661" i="3"/>
  <c r="E787" i="3" l="1"/>
  <c r="D787" i="3"/>
  <c r="C787" i="3"/>
  <c r="E806" i="3"/>
  <c r="D806" i="3"/>
  <c r="C806" i="3"/>
  <c r="B806" i="3"/>
  <c r="I809" i="3" l="1"/>
  <c r="I808" i="3"/>
  <c r="I806" i="3"/>
  <c r="H805" i="3"/>
  <c r="G805" i="3"/>
  <c r="F805" i="3"/>
  <c r="E805" i="3"/>
  <c r="D805" i="3"/>
  <c r="C805" i="3"/>
  <c r="B805" i="3"/>
  <c r="I804" i="3"/>
  <c r="I803" i="3"/>
  <c r="I802" i="3"/>
  <c r="I801" i="3"/>
  <c r="I800" i="3"/>
  <c r="B798" i="3"/>
  <c r="H798" i="3"/>
  <c r="G798" i="3"/>
  <c r="F798" i="3"/>
  <c r="E798" i="3"/>
  <c r="D798" i="3"/>
  <c r="C798" i="3"/>
  <c r="I623" i="4"/>
  <c r="I624" i="4"/>
  <c r="I625" i="4"/>
  <c r="I626" i="4"/>
  <c r="I627" i="4"/>
  <c r="I618" i="4"/>
  <c r="I597" i="4"/>
  <c r="I598" i="4"/>
  <c r="I599" i="4"/>
  <c r="I600" i="4"/>
  <c r="I601" i="4"/>
  <c r="I602" i="4"/>
  <c r="I603" i="4"/>
  <c r="I604" i="4"/>
  <c r="I605" i="4"/>
  <c r="I596" i="4"/>
  <c r="I632" i="4"/>
  <c r="I631" i="4"/>
  <c r="I630" i="4"/>
  <c r="D628" i="4"/>
  <c r="C628" i="4"/>
  <c r="H628" i="4"/>
  <c r="G628" i="4"/>
  <c r="F628" i="4"/>
  <c r="E628" i="4"/>
  <c r="B628" i="4"/>
  <c r="H595" i="4"/>
  <c r="G595" i="4"/>
  <c r="F595" i="4"/>
  <c r="H758" i="3"/>
  <c r="G758" i="3"/>
  <c r="F758" i="3"/>
  <c r="F777" i="3"/>
  <c r="G777" i="3"/>
  <c r="H777" i="3"/>
  <c r="I633" i="4" l="1"/>
  <c r="I805" i="3"/>
  <c r="I798" i="3"/>
  <c r="I628" i="4"/>
  <c r="E595" i="4"/>
  <c r="E758" i="3"/>
  <c r="E777" i="3"/>
  <c r="I764" i="3"/>
  <c r="M880" i="3" s="1"/>
  <c r="I762" i="3"/>
  <c r="M878" i="3" s="1"/>
  <c r="I759" i="3"/>
  <c r="M875" i="3" s="1"/>
  <c r="I760" i="3"/>
  <c r="M876" i="3" s="1"/>
  <c r="D758" i="3"/>
  <c r="C758" i="3"/>
  <c r="C779" i="3"/>
  <c r="D779" i="3"/>
  <c r="D777" i="3"/>
  <c r="C777" i="3"/>
  <c r="B758" i="3" l="1"/>
  <c r="B769" i="3" s="1"/>
  <c r="B779" i="3"/>
  <c r="I779" i="3" s="1"/>
  <c r="B777" i="3"/>
  <c r="I777" i="3" s="1"/>
  <c r="B595" i="4"/>
  <c r="B606" i="4" s="1"/>
  <c r="I780" i="3"/>
  <c r="H776" i="3"/>
  <c r="G776" i="3"/>
  <c r="F776" i="3"/>
  <c r="E776" i="3"/>
  <c r="D776" i="3"/>
  <c r="C776" i="3"/>
  <c r="B776" i="3"/>
  <c r="I775" i="3"/>
  <c r="M891" i="3" s="1"/>
  <c r="I774" i="3"/>
  <c r="M890" i="3" s="1"/>
  <c r="I773" i="3"/>
  <c r="M889" i="3" s="1"/>
  <c r="I772" i="3"/>
  <c r="M888" i="3" s="1"/>
  <c r="I771" i="3"/>
  <c r="M887" i="3" s="1"/>
  <c r="I768" i="3"/>
  <c r="M884" i="3" s="1"/>
  <c r="I767" i="3"/>
  <c r="M883" i="3" s="1"/>
  <c r="I766" i="3"/>
  <c r="M882" i="3" s="1"/>
  <c r="I765" i="3"/>
  <c r="M881" i="3" s="1"/>
  <c r="I763" i="3"/>
  <c r="M879" i="3" s="1"/>
  <c r="I761" i="3"/>
  <c r="M877" i="3" s="1"/>
  <c r="H769" i="3"/>
  <c r="G769" i="3"/>
  <c r="F769" i="3"/>
  <c r="E769" i="3"/>
  <c r="D769" i="3"/>
  <c r="C769" i="3"/>
  <c r="I731" i="3"/>
  <c r="I732" i="3"/>
  <c r="I733" i="3"/>
  <c r="I734" i="3"/>
  <c r="I735" i="3"/>
  <c r="I736" i="3"/>
  <c r="I737" i="3"/>
  <c r="I738" i="3"/>
  <c r="I739" i="3"/>
  <c r="I730" i="3"/>
  <c r="I184" i="3"/>
  <c r="I185" i="3"/>
  <c r="I575" i="4"/>
  <c r="I576" i="4"/>
  <c r="I577" i="4"/>
  <c r="I578" i="4"/>
  <c r="I579" i="4"/>
  <c r="I580" i="4"/>
  <c r="I581" i="4"/>
  <c r="I582" i="4"/>
  <c r="I583" i="4"/>
  <c r="I574" i="4"/>
  <c r="H611" i="4"/>
  <c r="G611" i="4"/>
  <c r="F611" i="4"/>
  <c r="E611" i="4"/>
  <c r="D611" i="4"/>
  <c r="C611" i="4"/>
  <c r="B611" i="4"/>
  <c r="I610" i="4"/>
  <c r="I609" i="4"/>
  <c r="I608" i="4"/>
  <c r="G606" i="4"/>
  <c r="E606" i="4"/>
  <c r="D606" i="4"/>
  <c r="C606" i="4"/>
  <c r="H606" i="4"/>
  <c r="F606" i="4"/>
  <c r="H573" i="4"/>
  <c r="G573" i="4"/>
  <c r="F573" i="4"/>
  <c r="F729" i="3"/>
  <c r="H729" i="3"/>
  <c r="G729" i="3"/>
  <c r="G751" i="3"/>
  <c r="F751" i="3"/>
  <c r="H748" i="3"/>
  <c r="G748" i="3"/>
  <c r="F748" i="3"/>
  <c r="I606" i="4" l="1"/>
  <c r="I776" i="3"/>
  <c r="M892" i="3" s="1"/>
  <c r="I769" i="3"/>
  <c r="M885" i="3" s="1"/>
  <c r="I611" i="4"/>
  <c r="J700" i="4" s="1"/>
  <c r="E573" i="4"/>
  <c r="E729" i="3"/>
  <c r="E748" i="3"/>
  <c r="D573" i="4"/>
  <c r="D750" i="3" l="1"/>
  <c r="D748" i="3"/>
  <c r="D729" i="3"/>
  <c r="C729" i="3" l="1"/>
  <c r="C573" i="4"/>
  <c r="C750" i="3"/>
  <c r="C748" i="3"/>
  <c r="B750" i="3" l="1"/>
  <c r="B573" i="4" l="1"/>
  <c r="B584" i="4" s="1"/>
  <c r="B729" i="3"/>
  <c r="B751" i="3"/>
  <c r="I751" i="3" s="1"/>
  <c r="I750" i="3"/>
  <c r="B748" i="3"/>
  <c r="I748" i="3" s="1"/>
  <c r="H589" i="4"/>
  <c r="G589" i="4"/>
  <c r="F589" i="4"/>
  <c r="E589" i="4"/>
  <c r="D589" i="4"/>
  <c r="C589" i="4"/>
  <c r="B589" i="4"/>
  <c r="I588" i="4"/>
  <c r="I587" i="4"/>
  <c r="I586" i="4"/>
  <c r="H584" i="4"/>
  <c r="G584" i="4"/>
  <c r="F584" i="4"/>
  <c r="E584" i="4"/>
  <c r="D584" i="4"/>
  <c r="C584" i="4"/>
  <c r="H747" i="3"/>
  <c r="G747" i="3"/>
  <c r="F747" i="3"/>
  <c r="E747" i="3"/>
  <c r="D747" i="3"/>
  <c r="C747" i="3"/>
  <c r="B747" i="3"/>
  <c r="I746" i="3"/>
  <c r="I745" i="3"/>
  <c r="I744" i="3"/>
  <c r="I743" i="3"/>
  <c r="I742" i="3"/>
  <c r="H740" i="3"/>
  <c r="G740" i="3"/>
  <c r="F740" i="3"/>
  <c r="E740" i="3"/>
  <c r="D740" i="3"/>
  <c r="C740" i="3"/>
  <c r="B740" i="3"/>
  <c r="I589" i="4" l="1"/>
  <c r="I584" i="4"/>
  <c r="I747" i="3"/>
  <c r="I740" i="3"/>
  <c r="H722" i="3" l="1"/>
  <c r="H721" i="3"/>
  <c r="G722" i="3"/>
  <c r="G721" i="3"/>
  <c r="H719" i="3"/>
  <c r="G719" i="3"/>
  <c r="H551" i="4"/>
  <c r="H562" i="4" s="1"/>
  <c r="G551" i="4"/>
  <c r="G562" i="4" s="1"/>
  <c r="F722" i="3"/>
  <c r="F721" i="3"/>
  <c r="F719" i="3"/>
  <c r="E721" i="3"/>
  <c r="E719" i="3"/>
  <c r="D721" i="3"/>
  <c r="D719" i="3"/>
  <c r="C721" i="3"/>
  <c r="C719" i="3"/>
  <c r="B721" i="3"/>
  <c r="B719" i="3"/>
  <c r="F551" i="4"/>
  <c r="F562" i="4" s="1"/>
  <c r="E551" i="4"/>
  <c r="E562" i="4" s="1"/>
  <c r="D551" i="4"/>
  <c r="D562" i="4" s="1"/>
  <c r="C551" i="4"/>
  <c r="C562" i="4" s="1"/>
  <c r="B551" i="4"/>
  <c r="B562" i="4" s="1"/>
  <c r="H718" i="3"/>
  <c r="G718" i="3"/>
  <c r="F718" i="3"/>
  <c r="E718" i="3"/>
  <c r="D718" i="3"/>
  <c r="C718" i="3"/>
  <c r="B718" i="3"/>
  <c r="I717" i="3"/>
  <c r="I716" i="3"/>
  <c r="I715" i="3"/>
  <c r="I714" i="3"/>
  <c r="I713" i="3"/>
  <c r="B711" i="3"/>
  <c r="I710" i="3"/>
  <c r="I709" i="3"/>
  <c r="I708" i="3"/>
  <c r="I707" i="3"/>
  <c r="I706" i="3"/>
  <c r="I705" i="3"/>
  <c r="I704" i="3"/>
  <c r="I703" i="3"/>
  <c r="I702" i="3"/>
  <c r="I701" i="3"/>
  <c r="H711" i="3"/>
  <c r="G711" i="3"/>
  <c r="F711" i="3"/>
  <c r="E711" i="3"/>
  <c r="D711" i="3"/>
  <c r="C711" i="3"/>
  <c r="H567" i="4"/>
  <c r="G567" i="4"/>
  <c r="F567" i="4"/>
  <c r="E567" i="4"/>
  <c r="D567" i="4"/>
  <c r="C567" i="4"/>
  <c r="B567" i="4"/>
  <c r="I566" i="4"/>
  <c r="I565" i="4"/>
  <c r="I564" i="4"/>
  <c r="H693" i="3"/>
  <c r="H692" i="3"/>
  <c r="H690" i="3"/>
  <c r="G693" i="3"/>
  <c r="G692" i="3"/>
  <c r="G690" i="3"/>
  <c r="E693" i="3"/>
  <c r="F693" i="3"/>
  <c r="F690" i="3"/>
  <c r="E690" i="3"/>
  <c r="D693" i="3"/>
  <c r="D690" i="3"/>
  <c r="H671" i="3"/>
  <c r="G671" i="3"/>
  <c r="F671" i="3"/>
  <c r="E671" i="3"/>
  <c r="D671" i="3"/>
  <c r="H529" i="4"/>
  <c r="G529" i="4"/>
  <c r="F529" i="4"/>
  <c r="F540" i="4" s="1"/>
  <c r="E529" i="4"/>
  <c r="D529" i="4"/>
  <c r="I722" i="3" l="1"/>
  <c r="I721" i="3"/>
  <c r="I719" i="3"/>
  <c r="I562" i="4"/>
  <c r="I718" i="3"/>
  <c r="I711" i="3"/>
  <c r="I567" i="4"/>
  <c r="K137" i="3" l="1"/>
  <c r="K145" i="3"/>
  <c r="I10" i="5"/>
  <c r="K261" i="3"/>
  <c r="K253" i="3"/>
  <c r="D21" i="5"/>
  <c r="D10" i="5"/>
  <c r="I21" i="5"/>
  <c r="D32" i="5"/>
  <c r="M633" i="3"/>
  <c r="M625" i="3"/>
  <c r="C529" i="4" l="1"/>
  <c r="C671" i="3"/>
  <c r="C693" i="3"/>
  <c r="C690" i="3"/>
  <c r="B529" i="4" l="1"/>
  <c r="B540" i="4" s="1"/>
  <c r="B671" i="3"/>
  <c r="B693" i="3"/>
  <c r="I693" i="3" s="1"/>
  <c r="B690" i="3"/>
  <c r="I690" i="3" s="1"/>
  <c r="H507" i="4"/>
  <c r="G507" i="4"/>
  <c r="H545" i="4"/>
  <c r="G545" i="4"/>
  <c r="F545" i="4"/>
  <c r="E545" i="4"/>
  <c r="D545" i="4"/>
  <c r="C545" i="4"/>
  <c r="B545" i="4"/>
  <c r="I544" i="4"/>
  <c r="I543" i="4"/>
  <c r="I542" i="4"/>
  <c r="H540" i="4"/>
  <c r="G540" i="4"/>
  <c r="E540" i="4"/>
  <c r="D540" i="4"/>
  <c r="C540" i="4"/>
  <c r="I692" i="3"/>
  <c r="H689" i="3"/>
  <c r="G689" i="3"/>
  <c r="F689" i="3"/>
  <c r="E689" i="3"/>
  <c r="D689" i="3"/>
  <c r="C689" i="3"/>
  <c r="B689" i="3"/>
  <c r="I688" i="3"/>
  <c r="I687" i="3"/>
  <c r="I686" i="3"/>
  <c r="I685" i="3"/>
  <c r="I684" i="3"/>
  <c r="I681" i="3"/>
  <c r="I680" i="3"/>
  <c r="I679" i="3"/>
  <c r="I678" i="3"/>
  <c r="I677" i="3"/>
  <c r="I676" i="3"/>
  <c r="I675" i="3"/>
  <c r="I674" i="3"/>
  <c r="I673" i="3"/>
  <c r="I672" i="3"/>
  <c r="H682" i="3"/>
  <c r="G682" i="3"/>
  <c r="F682" i="3"/>
  <c r="E682" i="3"/>
  <c r="D682" i="3"/>
  <c r="C682" i="3"/>
  <c r="B682" i="3"/>
  <c r="I545" i="4" l="1"/>
  <c r="I540" i="4"/>
  <c r="I689" i="3"/>
  <c r="I682" i="3"/>
  <c r="H642" i="3" l="1"/>
  <c r="G642" i="3"/>
  <c r="H664" i="3"/>
  <c r="G664" i="3"/>
  <c r="G661" i="3"/>
  <c r="C664" i="3" l="1"/>
  <c r="D664" i="3"/>
  <c r="E664" i="3"/>
  <c r="F664" i="3"/>
  <c r="B664" i="3"/>
  <c r="F642" i="3"/>
  <c r="E642" i="3"/>
  <c r="D642" i="3"/>
  <c r="C642" i="3"/>
  <c r="B642" i="3"/>
  <c r="F661" i="3"/>
  <c r="E661" i="3"/>
  <c r="C661" i="3"/>
  <c r="B661" i="3"/>
  <c r="I664" i="3" l="1"/>
  <c r="I663" i="3"/>
  <c r="I661" i="3"/>
  <c r="H660" i="3"/>
  <c r="G660" i="3"/>
  <c r="F660" i="3"/>
  <c r="E660" i="3"/>
  <c r="D660" i="3"/>
  <c r="C660" i="3"/>
  <c r="B660" i="3"/>
  <c r="I659" i="3"/>
  <c r="K746" i="3" s="1"/>
  <c r="I658" i="3"/>
  <c r="K745" i="3" s="1"/>
  <c r="I657" i="3"/>
  <c r="K744" i="3" s="1"/>
  <c r="I656" i="3"/>
  <c r="K743" i="3" s="1"/>
  <c r="I655" i="3"/>
  <c r="K742" i="3" s="1"/>
  <c r="E653" i="3"/>
  <c r="C653" i="3"/>
  <c r="I652" i="3"/>
  <c r="K739" i="3" s="1"/>
  <c r="I651" i="3"/>
  <c r="K738" i="3" s="1"/>
  <c r="I650" i="3"/>
  <c r="K737" i="3" s="1"/>
  <c r="I649" i="3"/>
  <c r="K736" i="3" s="1"/>
  <c r="I648" i="3"/>
  <c r="K735" i="3" s="1"/>
  <c r="I647" i="3"/>
  <c r="K734" i="3" s="1"/>
  <c r="I646" i="3"/>
  <c r="K733" i="3" s="1"/>
  <c r="I645" i="3"/>
  <c r="K732" i="3" s="1"/>
  <c r="I644" i="3"/>
  <c r="K731" i="3" s="1"/>
  <c r="I643" i="3"/>
  <c r="K730" i="3" s="1"/>
  <c r="H653" i="3"/>
  <c r="G653" i="3"/>
  <c r="F653" i="3"/>
  <c r="D653" i="3"/>
  <c r="B653" i="3"/>
  <c r="H523" i="4"/>
  <c r="G523" i="4"/>
  <c r="F523" i="4"/>
  <c r="E523" i="4"/>
  <c r="D523" i="4"/>
  <c r="C523" i="4"/>
  <c r="B523" i="4"/>
  <c r="I522" i="4"/>
  <c r="K588" i="4" s="1"/>
  <c r="I521" i="4"/>
  <c r="K587" i="4" s="1"/>
  <c r="I520" i="4"/>
  <c r="K586" i="4" s="1"/>
  <c r="H518" i="4"/>
  <c r="G518" i="4"/>
  <c r="F518" i="4"/>
  <c r="E518" i="4"/>
  <c r="D518" i="4"/>
  <c r="C518" i="4"/>
  <c r="B518" i="4"/>
  <c r="I523" i="4" l="1"/>
  <c r="I660" i="3"/>
  <c r="I653" i="3"/>
  <c r="I518" i="4"/>
  <c r="I627" i="3" l="1"/>
  <c r="I628" i="3"/>
  <c r="I629" i="3"/>
  <c r="I630" i="3"/>
  <c r="I626" i="3"/>
  <c r="E635" i="3" l="1"/>
  <c r="G635" i="3"/>
  <c r="H635" i="3"/>
  <c r="B635" i="3"/>
  <c r="F635" i="3"/>
  <c r="D635" i="3"/>
  <c r="C635" i="3"/>
  <c r="I635" i="3" l="1"/>
  <c r="G634" i="3" l="1"/>
  <c r="E613" i="3"/>
  <c r="F613" i="3"/>
  <c r="G613" i="3"/>
  <c r="H613" i="3"/>
  <c r="F634" i="3"/>
  <c r="E634" i="3"/>
  <c r="H632" i="3"/>
  <c r="G632" i="3"/>
  <c r="F632" i="3"/>
  <c r="E632" i="3"/>
  <c r="K748" i="3" l="1"/>
  <c r="J593" i="4" s="1"/>
  <c r="D613" i="3"/>
  <c r="C613" i="3"/>
  <c r="B613" i="3"/>
  <c r="D632" i="3"/>
  <c r="C632" i="3"/>
  <c r="B632" i="3"/>
  <c r="H501" i="4" l="1"/>
  <c r="G501" i="4"/>
  <c r="F501" i="4"/>
  <c r="E501" i="4"/>
  <c r="D501" i="4"/>
  <c r="C501" i="4"/>
  <c r="B501" i="4"/>
  <c r="I500" i="4"/>
  <c r="I499" i="4"/>
  <c r="I498" i="4"/>
  <c r="H496" i="4"/>
  <c r="G496" i="4"/>
  <c r="C496" i="4"/>
  <c r="B496" i="4"/>
  <c r="F496" i="4"/>
  <c r="E496" i="4"/>
  <c r="I614" i="3"/>
  <c r="I634" i="3"/>
  <c r="I632" i="3"/>
  <c r="H631" i="3"/>
  <c r="G631" i="3"/>
  <c r="F631" i="3"/>
  <c r="E631" i="3"/>
  <c r="D631" i="3"/>
  <c r="C631" i="3"/>
  <c r="B631" i="3"/>
  <c r="H624" i="3"/>
  <c r="F624" i="3"/>
  <c r="E624" i="3"/>
  <c r="D624" i="3"/>
  <c r="C624" i="3"/>
  <c r="I623" i="3"/>
  <c r="I622" i="3"/>
  <c r="I621" i="3"/>
  <c r="I620" i="3"/>
  <c r="I619" i="3"/>
  <c r="I618" i="3"/>
  <c r="I617" i="3"/>
  <c r="I616" i="3"/>
  <c r="I615" i="3"/>
  <c r="G624" i="3"/>
  <c r="B624" i="3"/>
  <c r="H463" i="4"/>
  <c r="H606" i="3"/>
  <c r="H603" i="3"/>
  <c r="K589" i="4" l="1"/>
  <c r="K740" i="3"/>
  <c r="K747" i="3"/>
  <c r="I501" i="4"/>
  <c r="D496" i="4"/>
  <c r="I496" i="4" s="1"/>
  <c r="I631" i="3"/>
  <c r="I624" i="3"/>
  <c r="G584" i="3"/>
  <c r="F479" i="4"/>
  <c r="G606" i="3"/>
  <c r="G603" i="3"/>
  <c r="J594" i="4" l="1"/>
  <c r="F463" i="4"/>
  <c r="F474" i="4" s="1"/>
  <c r="F606" i="3"/>
  <c r="F603" i="3"/>
  <c r="E463" i="4"/>
  <c r="E474" i="4" s="1"/>
  <c r="D463" i="4"/>
  <c r="D474" i="4" s="1"/>
  <c r="E606" i="3"/>
  <c r="E603" i="3"/>
  <c r="D606" i="3"/>
  <c r="D603" i="3"/>
  <c r="C584" i="3"/>
  <c r="C595" i="3" s="1"/>
  <c r="B584" i="3"/>
  <c r="B595" i="3" s="1"/>
  <c r="C606" i="3"/>
  <c r="B606" i="3"/>
  <c r="B603" i="3"/>
  <c r="C603" i="3"/>
  <c r="H479" i="4"/>
  <c r="G479" i="4"/>
  <c r="E479" i="4"/>
  <c r="D479" i="4"/>
  <c r="C479" i="4"/>
  <c r="B479" i="4"/>
  <c r="I478" i="4"/>
  <c r="I477" i="4"/>
  <c r="I476" i="4"/>
  <c r="H474" i="4"/>
  <c r="G474" i="4"/>
  <c r="C474" i="4"/>
  <c r="B474" i="4"/>
  <c r="I473" i="4"/>
  <c r="I472" i="4"/>
  <c r="I471" i="4"/>
  <c r="I470" i="4"/>
  <c r="I469" i="4"/>
  <c r="I468" i="4"/>
  <c r="I467" i="4"/>
  <c r="I466" i="4"/>
  <c r="I465" i="4"/>
  <c r="I464" i="4"/>
  <c r="I605" i="3"/>
  <c r="H602" i="3"/>
  <c r="G602" i="3"/>
  <c r="F602" i="3"/>
  <c r="E602" i="3"/>
  <c r="D602" i="3"/>
  <c r="C602" i="3"/>
  <c r="B602" i="3"/>
  <c r="I601" i="3"/>
  <c r="I600" i="3"/>
  <c r="I599" i="3"/>
  <c r="I598" i="3"/>
  <c r="I597" i="3"/>
  <c r="H595" i="3"/>
  <c r="G595" i="3"/>
  <c r="E595" i="3"/>
  <c r="D595" i="3"/>
  <c r="I594" i="3"/>
  <c r="I593" i="3"/>
  <c r="I592" i="3"/>
  <c r="I591" i="3"/>
  <c r="I590" i="3"/>
  <c r="I589" i="3"/>
  <c r="I588" i="3"/>
  <c r="I587" i="3"/>
  <c r="I586" i="3"/>
  <c r="I585" i="3"/>
  <c r="F595" i="3"/>
  <c r="I606" i="3" l="1"/>
  <c r="I463" i="4"/>
  <c r="I603" i="3"/>
  <c r="I479" i="4"/>
  <c r="I474" i="4"/>
  <c r="I602" i="3"/>
  <c r="I595" i="3"/>
  <c r="H576" i="3" l="1"/>
  <c r="H574" i="3"/>
  <c r="G574" i="3"/>
  <c r="G576" i="3" l="1"/>
  <c r="F555" i="3" l="1"/>
  <c r="F577" i="3"/>
  <c r="F576" i="3"/>
  <c r="F574" i="3"/>
  <c r="E577" i="3" l="1"/>
  <c r="E576" i="3"/>
  <c r="E574" i="3"/>
  <c r="D576" i="3" l="1"/>
  <c r="D574" i="3"/>
  <c r="C555" i="3" l="1"/>
  <c r="B555" i="3"/>
  <c r="B574" i="3"/>
  <c r="B576" i="3"/>
  <c r="C576" i="3"/>
  <c r="C574" i="3"/>
  <c r="I577" i="3" l="1"/>
  <c r="I576" i="3"/>
  <c r="I574" i="3"/>
  <c r="H573" i="3"/>
  <c r="G573" i="3"/>
  <c r="F573" i="3"/>
  <c r="E573" i="3"/>
  <c r="D573" i="3"/>
  <c r="C573" i="3"/>
  <c r="B573" i="3"/>
  <c r="I572" i="3"/>
  <c r="I571" i="3"/>
  <c r="I570" i="3"/>
  <c r="I569" i="3"/>
  <c r="I568" i="3"/>
  <c r="H566" i="3"/>
  <c r="G566" i="3"/>
  <c r="E566" i="3"/>
  <c r="D566" i="3"/>
  <c r="C566" i="3"/>
  <c r="B566" i="3"/>
  <c r="I565" i="3"/>
  <c r="I564" i="3"/>
  <c r="I563" i="3"/>
  <c r="I562" i="3"/>
  <c r="I561" i="3"/>
  <c r="I560" i="3"/>
  <c r="I559" i="3"/>
  <c r="I558" i="3"/>
  <c r="I557" i="3"/>
  <c r="I556" i="3"/>
  <c r="F566" i="3"/>
  <c r="H457" i="4"/>
  <c r="G457" i="4"/>
  <c r="F457" i="4"/>
  <c r="E457" i="4"/>
  <c r="D457" i="4"/>
  <c r="C457" i="4"/>
  <c r="B457" i="4"/>
  <c r="I456" i="4"/>
  <c r="I455" i="4"/>
  <c r="I454" i="4"/>
  <c r="H452" i="4"/>
  <c r="F452" i="4"/>
  <c r="D452" i="4"/>
  <c r="C452" i="4"/>
  <c r="B452" i="4"/>
  <c r="I451" i="4"/>
  <c r="I450" i="4"/>
  <c r="I449" i="4"/>
  <c r="I448" i="4"/>
  <c r="I447" i="4"/>
  <c r="I446" i="4"/>
  <c r="I445" i="4"/>
  <c r="I444" i="4"/>
  <c r="I443" i="4"/>
  <c r="I442" i="4"/>
  <c r="E441" i="4"/>
  <c r="E452" i="4" s="1"/>
  <c r="F545" i="3"/>
  <c r="H423" i="4"/>
  <c r="I423" i="4" s="1"/>
  <c r="G419" i="4"/>
  <c r="G430" i="4" s="1"/>
  <c r="H545" i="3"/>
  <c r="H544" i="3"/>
  <c r="H547" i="3"/>
  <c r="G547" i="3"/>
  <c r="G545" i="3"/>
  <c r="E547" i="3"/>
  <c r="E545" i="3"/>
  <c r="E419" i="4"/>
  <c r="E430" i="4" s="1"/>
  <c r="F526" i="3"/>
  <c r="F537" i="3" s="1"/>
  <c r="F548" i="3"/>
  <c r="F547" i="3"/>
  <c r="D526" i="3"/>
  <c r="D537" i="3" s="1"/>
  <c r="D548" i="3"/>
  <c r="D547" i="3"/>
  <c r="D545" i="3"/>
  <c r="C526" i="3"/>
  <c r="C537" i="3" s="1"/>
  <c r="C547" i="3"/>
  <c r="C545" i="3"/>
  <c r="C544" i="3"/>
  <c r="B547" i="3"/>
  <c r="B545" i="3"/>
  <c r="B526" i="3"/>
  <c r="B537" i="3" s="1"/>
  <c r="H435" i="4"/>
  <c r="G435" i="4"/>
  <c r="F435" i="4"/>
  <c r="E435" i="4"/>
  <c r="D435" i="4"/>
  <c r="C435" i="4"/>
  <c r="B435" i="4"/>
  <c r="I434" i="4"/>
  <c r="I433" i="4"/>
  <c r="I432" i="4"/>
  <c r="H430" i="4"/>
  <c r="D430" i="4"/>
  <c r="C430" i="4"/>
  <c r="B430" i="4"/>
  <c r="I429" i="4"/>
  <c r="I428" i="4"/>
  <c r="I427" i="4"/>
  <c r="I426" i="4"/>
  <c r="I425" i="4"/>
  <c r="I424" i="4"/>
  <c r="I422" i="4"/>
  <c r="I421" i="4"/>
  <c r="I420" i="4"/>
  <c r="G544" i="3"/>
  <c r="F544" i="3"/>
  <c r="E544" i="3"/>
  <c r="D544" i="3"/>
  <c r="B544" i="3"/>
  <c r="I543" i="3"/>
  <c r="I542" i="3"/>
  <c r="I541" i="3"/>
  <c r="I540" i="3"/>
  <c r="I539" i="3"/>
  <c r="H537" i="3"/>
  <c r="G537" i="3"/>
  <c r="I536" i="3"/>
  <c r="I535" i="3"/>
  <c r="I534" i="3"/>
  <c r="I533" i="3"/>
  <c r="I532" i="3"/>
  <c r="I531" i="3"/>
  <c r="I530" i="3"/>
  <c r="I529" i="3"/>
  <c r="I528" i="3"/>
  <c r="I527" i="3"/>
  <c r="E537" i="3"/>
  <c r="I419" i="4" l="1"/>
  <c r="I548" i="3"/>
  <c r="I441" i="4"/>
  <c r="I573" i="3"/>
  <c r="I566" i="3"/>
  <c r="I457" i="4"/>
  <c r="G452" i="4"/>
  <c r="I452" i="4" s="1"/>
  <c r="I547" i="3"/>
  <c r="I545" i="3"/>
  <c r="I435" i="4"/>
  <c r="F430" i="4"/>
  <c r="I430" i="4" s="1"/>
  <c r="I544" i="3"/>
  <c r="I537" i="3"/>
  <c r="M491" i="3" l="1"/>
  <c r="M483" i="3"/>
  <c r="B517" i="3" l="1"/>
  <c r="F517" i="3" l="1"/>
  <c r="F397" i="4"/>
  <c r="H519" i="3"/>
  <c r="E517" i="3"/>
  <c r="G517" i="3"/>
  <c r="H517" i="3"/>
  <c r="G520" i="3"/>
  <c r="G519" i="3"/>
  <c r="H392" i="4"/>
  <c r="F520" i="3"/>
  <c r="F519" i="3"/>
  <c r="E498" i="3" l="1"/>
  <c r="E509" i="3" s="1"/>
  <c r="E520" i="3"/>
  <c r="I520" i="3" s="1"/>
  <c r="M635" i="3" s="1"/>
  <c r="E519" i="3"/>
  <c r="D397" i="4"/>
  <c r="D408" i="4" s="1"/>
  <c r="C517" i="3"/>
  <c r="D519" i="3"/>
  <c r="D517" i="3"/>
  <c r="D498" i="3"/>
  <c r="D509" i="3" s="1"/>
  <c r="H413" i="4"/>
  <c r="G413" i="4"/>
  <c r="F413" i="4"/>
  <c r="E413" i="4"/>
  <c r="D413" i="4"/>
  <c r="C413" i="4"/>
  <c r="B413" i="4"/>
  <c r="I412" i="4"/>
  <c r="I411" i="4"/>
  <c r="I410" i="4"/>
  <c r="E408" i="4"/>
  <c r="C408" i="4"/>
  <c r="B408" i="4"/>
  <c r="I407" i="4"/>
  <c r="I406" i="4"/>
  <c r="I405" i="4"/>
  <c r="I404" i="4"/>
  <c r="I403" i="4"/>
  <c r="I402" i="4"/>
  <c r="I401" i="4"/>
  <c r="I400" i="4"/>
  <c r="I399" i="4"/>
  <c r="I398" i="4"/>
  <c r="H408" i="4"/>
  <c r="G408" i="4"/>
  <c r="H516" i="3"/>
  <c r="G516" i="3"/>
  <c r="F516" i="3"/>
  <c r="E516" i="3"/>
  <c r="D516" i="3"/>
  <c r="C516" i="3"/>
  <c r="B516" i="3"/>
  <c r="I515" i="3"/>
  <c r="M630" i="3" s="1"/>
  <c r="I514" i="3"/>
  <c r="M629" i="3" s="1"/>
  <c r="I513" i="3"/>
  <c r="M628" i="3" s="1"/>
  <c r="I512" i="3"/>
  <c r="M627" i="3" s="1"/>
  <c r="I511" i="3"/>
  <c r="M626" i="3" s="1"/>
  <c r="H509" i="3"/>
  <c r="C509" i="3"/>
  <c r="B509" i="3"/>
  <c r="I508" i="3"/>
  <c r="M623" i="3" s="1"/>
  <c r="I507" i="3"/>
  <c r="M622" i="3" s="1"/>
  <c r="I506" i="3"/>
  <c r="M621" i="3" s="1"/>
  <c r="I505" i="3"/>
  <c r="M620" i="3" s="1"/>
  <c r="I504" i="3"/>
  <c r="M619" i="3" s="1"/>
  <c r="I503" i="3"/>
  <c r="M618" i="3" s="1"/>
  <c r="I502" i="3"/>
  <c r="M617" i="3" s="1"/>
  <c r="I501" i="3"/>
  <c r="M616" i="3" s="1"/>
  <c r="I500" i="3"/>
  <c r="M615" i="3" s="1"/>
  <c r="I499" i="3"/>
  <c r="M614" i="3" s="1"/>
  <c r="G509" i="3"/>
  <c r="F498" i="3"/>
  <c r="F509" i="3" s="1"/>
  <c r="I519" i="3" l="1"/>
  <c r="M634" i="3" s="1"/>
  <c r="I397" i="4"/>
  <c r="I517" i="3"/>
  <c r="M632" i="3" s="1"/>
  <c r="I516" i="3"/>
  <c r="M631" i="3" s="1"/>
  <c r="I413" i="4"/>
  <c r="K501" i="4" s="1"/>
  <c r="F408" i="4"/>
  <c r="I408" i="4" s="1"/>
  <c r="I509" i="3"/>
  <c r="M624" i="3" s="1"/>
  <c r="H492" i="3"/>
  <c r="G492" i="3"/>
  <c r="G493" i="3"/>
  <c r="H376" i="4"/>
  <c r="G376" i="4"/>
  <c r="G471" i="3"/>
  <c r="M642" i="3" l="1"/>
  <c r="M644" i="3" s="1"/>
  <c r="F492" i="3"/>
  <c r="D492" i="3"/>
  <c r="E492" i="3"/>
  <c r="F376" i="4"/>
  <c r="F471" i="3"/>
  <c r="F493" i="3"/>
  <c r="F490" i="3"/>
  <c r="E490" i="3" l="1"/>
  <c r="D490" i="3" l="1"/>
  <c r="C492" i="3" l="1"/>
  <c r="C490" i="3"/>
  <c r="B492" i="3" l="1"/>
  <c r="I492" i="3" s="1"/>
  <c r="B490" i="3"/>
  <c r="G392" i="4" l="1"/>
  <c r="F392" i="4"/>
  <c r="E392" i="4"/>
  <c r="D392" i="4"/>
  <c r="C392" i="4"/>
  <c r="B392" i="4"/>
  <c r="I391" i="4"/>
  <c r="I390" i="4"/>
  <c r="I389" i="4"/>
  <c r="H387" i="4"/>
  <c r="G387" i="4"/>
  <c r="F387" i="4"/>
  <c r="I386" i="4"/>
  <c r="I385" i="4"/>
  <c r="I384" i="4"/>
  <c r="I383" i="4"/>
  <c r="I382" i="4"/>
  <c r="I381" i="4"/>
  <c r="I380" i="4"/>
  <c r="I379" i="4"/>
  <c r="I378" i="4"/>
  <c r="I377" i="4"/>
  <c r="I376" i="4"/>
  <c r="E387" i="4"/>
  <c r="D387" i="4"/>
  <c r="C387" i="4"/>
  <c r="B387" i="4"/>
  <c r="I493" i="3"/>
  <c r="I490" i="3"/>
  <c r="H489" i="3"/>
  <c r="G489" i="3"/>
  <c r="F489" i="3"/>
  <c r="E489" i="3"/>
  <c r="D489" i="3"/>
  <c r="C489" i="3"/>
  <c r="B489" i="3"/>
  <c r="I488" i="3"/>
  <c r="I487" i="3"/>
  <c r="I486" i="3"/>
  <c r="I485" i="3"/>
  <c r="I484" i="3"/>
  <c r="E482" i="3"/>
  <c r="D482" i="3"/>
  <c r="I481" i="3"/>
  <c r="I480" i="3"/>
  <c r="I479" i="3"/>
  <c r="I478" i="3"/>
  <c r="I477" i="3"/>
  <c r="I476" i="3"/>
  <c r="I475" i="3"/>
  <c r="I474" i="3"/>
  <c r="I473" i="3"/>
  <c r="I472" i="3"/>
  <c r="H471" i="3"/>
  <c r="H482" i="3" s="1"/>
  <c r="G482" i="3"/>
  <c r="F482" i="3"/>
  <c r="C482" i="3"/>
  <c r="B482" i="3"/>
  <c r="C463" i="3"/>
  <c r="I392" i="4" l="1"/>
  <c r="I387" i="4"/>
  <c r="I489" i="3"/>
  <c r="I482" i="3"/>
  <c r="I456" i="3"/>
  <c r="I457" i="3"/>
  <c r="I458" i="3"/>
  <c r="I455" i="3"/>
  <c r="H463" i="3"/>
  <c r="G463" i="3"/>
  <c r="F461" i="3"/>
  <c r="G358" i="4"/>
  <c r="H354" i="4"/>
  <c r="G354" i="4"/>
  <c r="F354" i="4"/>
  <c r="E354" i="4"/>
  <c r="D354" i="4"/>
  <c r="C354" i="4"/>
  <c r="B354" i="4"/>
  <c r="H442" i="3"/>
  <c r="G446" i="3"/>
  <c r="G442" i="3"/>
  <c r="F442" i="3"/>
  <c r="G461" i="3"/>
  <c r="H461" i="3"/>
  <c r="F464" i="3"/>
  <c r="F463" i="3"/>
  <c r="E442" i="3" l="1"/>
  <c r="E463" i="3"/>
  <c r="E461" i="3"/>
  <c r="D442" i="3" l="1"/>
  <c r="D463" i="3"/>
  <c r="D461" i="3"/>
  <c r="C442" i="3" l="1"/>
  <c r="C461" i="3"/>
  <c r="B442" i="3"/>
  <c r="B463" i="3"/>
  <c r="I464" i="3" l="1"/>
  <c r="I463" i="3"/>
  <c r="I461" i="3"/>
  <c r="H460" i="3"/>
  <c r="G460" i="3"/>
  <c r="F460" i="3"/>
  <c r="E460" i="3"/>
  <c r="D460" i="3"/>
  <c r="C460" i="3"/>
  <c r="B460" i="3"/>
  <c r="I459" i="3"/>
  <c r="H453" i="3"/>
  <c r="F453" i="3"/>
  <c r="D453" i="3"/>
  <c r="I452" i="3"/>
  <c r="I451" i="3"/>
  <c r="I450" i="3"/>
  <c r="I449" i="3"/>
  <c r="I448" i="3"/>
  <c r="I447" i="3"/>
  <c r="I446" i="3"/>
  <c r="I445" i="3"/>
  <c r="I444" i="3"/>
  <c r="I443" i="3"/>
  <c r="G453" i="3"/>
  <c r="E453" i="3"/>
  <c r="C453" i="3"/>
  <c r="B453" i="3"/>
  <c r="H370" i="4"/>
  <c r="G370" i="4"/>
  <c r="F370" i="4"/>
  <c r="E370" i="4"/>
  <c r="D370" i="4"/>
  <c r="C370" i="4"/>
  <c r="B370" i="4"/>
  <c r="I369" i="4"/>
  <c r="I368" i="4"/>
  <c r="I367" i="4"/>
  <c r="H365" i="4"/>
  <c r="D365" i="4"/>
  <c r="C365" i="4"/>
  <c r="B365" i="4"/>
  <c r="I364" i="4"/>
  <c r="I363" i="4"/>
  <c r="I362" i="4"/>
  <c r="I361" i="4"/>
  <c r="I360" i="4"/>
  <c r="I359" i="4"/>
  <c r="I358" i="4"/>
  <c r="I357" i="4"/>
  <c r="I356" i="4"/>
  <c r="I355" i="4"/>
  <c r="G365" i="4"/>
  <c r="F365" i="4"/>
  <c r="E365" i="4"/>
  <c r="H435" i="3"/>
  <c r="H434" i="3"/>
  <c r="H432" i="3"/>
  <c r="I460" i="3" l="1"/>
  <c r="I453" i="3"/>
  <c r="I354" i="4"/>
  <c r="I370" i="4"/>
  <c r="I365" i="4"/>
  <c r="G432" i="3"/>
  <c r="F432" i="3"/>
  <c r="E432" i="3"/>
  <c r="G434" i="3"/>
  <c r="G435" i="3"/>
  <c r="F435" i="3"/>
  <c r="E332" i="4" l="1"/>
  <c r="E413" i="3"/>
  <c r="E435" i="3"/>
  <c r="D413" i="3" l="1"/>
  <c r="D435" i="3"/>
  <c r="D432" i="3"/>
  <c r="C435" i="3" l="1"/>
  <c r="B435" i="3"/>
  <c r="C413" i="3" l="1"/>
  <c r="B413" i="3"/>
  <c r="C432" i="3"/>
  <c r="B432" i="3"/>
  <c r="H348" i="4" l="1"/>
  <c r="G348" i="4"/>
  <c r="F348" i="4"/>
  <c r="E348" i="4"/>
  <c r="D348" i="4"/>
  <c r="C348" i="4"/>
  <c r="B348" i="4"/>
  <c r="I347" i="4"/>
  <c r="I346" i="4"/>
  <c r="I345" i="4"/>
  <c r="H343" i="4"/>
  <c r="D343" i="4"/>
  <c r="C343" i="4"/>
  <c r="B343" i="4"/>
  <c r="I342" i="4"/>
  <c r="I341" i="4"/>
  <c r="I340" i="4"/>
  <c r="I339" i="4"/>
  <c r="I338" i="4"/>
  <c r="I337" i="4"/>
  <c r="I336" i="4"/>
  <c r="I335" i="4"/>
  <c r="I334" i="4"/>
  <c r="I333" i="4"/>
  <c r="G332" i="4"/>
  <c r="G343" i="4" s="1"/>
  <c r="F332" i="4"/>
  <c r="F343" i="4" s="1"/>
  <c r="E343" i="4"/>
  <c r="I434" i="3"/>
  <c r="I435" i="3"/>
  <c r="I432" i="3"/>
  <c r="H431" i="3"/>
  <c r="G431" i="3"/>
  <c r="F431" i="3"/>
  <c r="E431" i="3"/>
  <c r="D431" i="3"/>
  <c r="C431" i="3"/>
  <c r="B431" i="3"/>
  <c r="I430" i="3"/>
  <c r="I429" i="3"/>
  <c r="I428" i="3"/>
  <c r="I427" i="3"/>
  <c r="I426" i="3"/>
  <c r="H424" i="3"/>
  <c r="C424" i="3"/>
  <c r="I423" i="3"/>
  <c r="I422" i="3"/>
  <c r="I421" i="3"/>
  <c r="I420" i="3"/>
  <c r="I419" i="3"/>
  <c r="I418" i="3"/>
  <c r="I417" i="3"/>
  <c r="I416" i="3"/>
  <c r="I415" i="3"/>
  <c r="I414" i="3"/>
  <c r="G413" i="3"/>
  <c r="G424" i="3" s="1"/>
  <c r="F424" i="3"/>
  <c r="E424" i="3"/>
  <c r="D424" i="3"/>
  <c r="B424" i="3"/>
  <c r="I332" i="4" l="1"/>
  <c r="I348" i="4"/>
  <c r="I343" i="4"/>
  <c r="I431" i="3"/>
  <c r="I424" i="3"/>
  <c r="H402" i="3"/>
  <c r="I397" i="3"/>
  <c r="M484" i="3" s="1"/>
  <c r="I399" i="3"/>
  <c r="M486" i="3" s="1"/>
  <c r="I400" i="3"/>
  <c r="M487" i="3" s="1"/>
  <c r="I401" i="3"/>
  <c r="M488" i="3" s="1"/>
  <c r="I398" i="3"/>
  <c r="M485" i="3" s="1"/>
  <c r="I402" i="3" l="1"/>
  <c r="M489" i="3" s="1"/>
  <c r="H405" i="3"/>
  <c r="H406" i="3"/>
  <c r="G406" i="3" l="1"/>
  <c r="H403" i="3"/>
  <c r="I341" i="3" l="1"/>
  <c r="I342" i="3"/>
  <c r="I343" i="3"/>
  <c r="I344" i="3"/>
  <c r="I340" i="3"/>
  <c r="M367" i="3" l="1"/>
  <c r="M375" i="3"/>
  <c r="G310" i="4" l="1"/>
  <c r="F310" i="4"/>
  <c r="G384" i="3"/>
  <c r="G403" i="3"/>
  <c r="F384" i="3"/>
  <c r="F406" i="3"/>
  <c r="F403" i="3"/>
  <c r="E406" i="3" l="1"/>
  <c r="E310" i="4"/>
  <c r="E384" i="3"/>
  <c r="E403" i="3"/>
  <c r="C310" i="4" l="1"/>
  <c r="C384" i="3"/>
  <c r="C403" i="3"/>
  <c r="D384" i="3"/>
  <c r="D310" i="4"/>
  <c r="D403" i="3"/>
  <c r="L404" i="3"/>
  <c r="I310" i="4" l="1"/>
  <c r="B406" i="3"/>
  <c r="I406" i="3" s="1"/>
  <c r="M493" i="3" s="1"/>
  <c r="B388" i="3"/>
  <c r="I388" i="3" s="1"/>
  <c r="M475" i="3" s="1"/>
  <c r="B384" i="3"/>
  <c r="B395" i="3" s="1"/>
  <c r="B403" i="3"/>
  <c r="I403" i="3" s="1"/>
  <c r="M490" i="3" s="1"/>
  <c r="I405" i="3"/>
  <c r="M492" i="3" s="1"/>
  <c r="G402" i="3"/>
  <c r="F402" i="3"/>
  <c r="E402" i="3"/>
  <c r="D402" i="3"/>
  <c r="C402" i="3"/>
  <c r="B402" i="3"/>
  <c r="E395" i="3"/>
  <c r="I394" i="3"/>
  <c r="M481" i="3" s="1"/>
  <c r="I393" i="3"/>
  <c r="M480" i="3" s="1"/>
  <c r="I392" i="3"/>
  <c r="M479" i="3" s="1"/>
  <c r="I391" i="3"/>
  <c r="M478" i="3" s="1"/>
  <c r="I390" i="3"/>
  <c r="M477" i="3" s="1"/>
  <c r="I389" i="3"/>
  <c r="M476" i="3" s="1"/>
  <c r="I387" i="3"/>
  <c r="M474" i="3" s="1"/>
  <c r="I386" i="3"/>
  <c r="M473" i="3" s="1"/>
  <c r="I385" i="3"/>
  <c r="M472" i="3" s="1"/>
  <c r="H395" i="3"/>
  <c r="G395" i="3"/>
  <c r="F395" i="3"/>
  <c r="D395" i="3"/>
  <c r="C395" i="3"/>
  <c r="H326" i="4"/>
  <c r="G326" i="4"/>
  <c r="F326" i="4"/>
  <c r="E326" i="4"/>
  <c r="D326" i="4"/>
  <c r="C326" i="4"/>
  <c r="B326" i="4"/>
  <c r="I325" i="4"/>
  <c r="K391" i="4" s="1"/>
  <c r="I324" i="4"/>
  <c r="K390" i="4" s="1"/>
  <c r="I323" i="4"/>
  <c r="K389" i="4" s="1"/>
  <c r="G321" i="4"/>
  <c r="E321" i="4"/>
  <c r="D321" i="4"/>
  <c r="C321" i="4"/>
  <c r="B321" i="4"/>
  <c r="I320" i="4"/>
  <c r="I319" i="4"/>
  <c r="I318" i="4"/>
  <c r="I317" i="4"/>
  <c r="I316" i="4"/>
  <c r="I315" i="4"/>
  <c r="I314" i="4"/>
  <c r="I313" i="4"/>
  <c r="I312" i="4"/>
  <c r="I311" i="4"/>
  <c r="H321" i="4"/>
  <c r="F321" i="4"/>
  <c r="H288" i="4"/>
  <c r="H377" i="3"/>
  <c r="H355" i="3"/>
  <c r="H374" i="3"/>
  <c r="G355" i="3"/>
  <c r="G377" i="3"/>
  <c r="G374" i="3"/>
  <c r="I326" i="4" l="1"/>
  <c r="K392" i="4" s="1"/>
  <c r="I395" i="3"/>
  <c r="M482" i="3" s="1"/>
  <c r="I321" i="4"/>
  <c r="F377" i="3"/>
  <c r="F374" i="3"/>
  <c r="E355" i="3" l="1"/>
  <c r="E374" i="3"/>
  <c r="D299" i="4" l="1"/>
  <c r="D355" i="3"/>
  <c r="D366" i="3" s="1"/>
  <c r="C355" i="3"/>
  <c r="C366" i="3" s="1"/>
  <c r="D377" i="3"/>
  <c r="D374" i="3"/>
  <c r="C377" i="3"/>
  <c r="C374" i="3"/>
  <c r="B299" i="4"/>
  <c r="B355" i="3"/>
  <c r="B366" i="3" s="1"/>
  <c r="B374" i="3"/>
  <c r="I368" i="3"/>
  <c r="I376" i="3"/>
  <c r="H373" i="3"/>
  <c r="G373" i="3"/>
  <c r="F373" i="3"/>
  <c r="E373" i="3"/>
  <c r="D373" i="3"/>
  <c r="C373" i="3"/>
  <c r="B373" i="3"/>
  <c r="I372" i="3"/>
  <c r="I371" i="3"/>
  <c r="I370" i="3"/>
  <c r="I369" i="3"/>
  <c r="I365" i="3"/>
  <c r="I364" i="3"/>
  <c r="I363" i="3"/>
  <c r="I362" i="3"/>
  <c r="I361" i="3"/>
  <c r="I360" i="3"/>
  <c r="I359" i="3"/>
  <c r="I358" i="3"/>
  <c r="I357" i="3"/>
  <c r="I356" i="3"/>
  <c r="H366" i="3"/>
  <c r="G366" i="3"/>
  <c r="F355" i="3"/>
  <c r="F366" i="3" s="1"/>
  <c r="E366" i="3"/>
  <c r="H304" i="4"/>
  <c r="G304" i="4"/>
  <c r="F304" i="4"/>
  <c r="E304" i="4"/>
  <c r="D304" i="4"/>
  <c r="C304" i="4"/>
  <c r="B304" i="4"/>
  <c r="I303" i="4"/>
  <c r="I302" i="4"/>
  <c r="I301" i="4"/>
  <c r="G299" i="4"/>
  <c r="I298" i="4"/>
  <c r="I297" i="4"/>
  <c r="I296" i="4"/>
  <c r="I295" i="4"/>
  <c r="I294" i="4"/>
  <c r="I293" i="4"/>
  <c r="I292" i="4"/>
  <c r="I291" i="4"/>
  <c r="I290" i="4"/>
  <c r="I289" i="4"/>
  <c r="H299" i="4"/>
  <c r="F288" i="4"/>
  <c r="F299" i="4" s="1"/>
  <c r="E299" i="4"/>
  <c r="C299" i="4"/>
  <c r="L398" i="3" l="1"/>
  <c r="L399" i="3"/>
  <c r="L400" i="3"/>
  <c r="L401" i="3"/>
  <c r="L405" i="3"/>
  <c r="L397" i="3"/>
  <c r="I374" i="3"/>
  <c r="I377" i="3"/>
  <c r="I373" i="3"/>
  <c r="L402" i="3" s="1"/>
  <c r="I366" i="3"/>
  <c r="I299" i="4"/>
  <c r="I304" i="4"/>
  <c r="L406" i="3" l="1"/>
  <c r="L403" i="3"/>
  <c r="I278" i="4"/>
  <c r="H327" i="3" l="1"/>
  <c r="H265" i="4"/>
  <c r="H349" i="3"/>
  <c r="H346" i="3"/>
  <c r="C345" i="3" l="1"/>
  <c r="D345" i="3"/>
  <c r="E345" i="3"/>
  <c r="F345" i="3"/>
  <c r="G345" i="3"/>
  <c r="H345" i="3"/>
  <c r="G327" i="3"/>
  <c r="F265" i="4"/>
  <c r="E265" i="4"/>
  <c r="D265" i="4"/>
  <c r="C265" i="4"/>
  <c r="B265" i="4"/>
  <c r="F327" i="3"/>
  <c r="G349" i="3"/>
  <c r="G346" i="3"/>
  <c r="F349" i="3"/>
  <c r="F346" i="3"/>
  <c r="F281" i="4"/>
  <c r="E281" i="4"/>
  <c r="D281" i="4"/>
  <c r="E327" i="3"/>
  <c r="E349" i="3"/>
  <c r="E348" i="3"/>
  <c r="E346" i="3"/>
  <c r="D327" i="3"/>
  <c r="D349" i="3"/>
  <c r="D348" i="3"/>
  <c r="D346" i="3"/>
  <c r="I139" i="3" l="1"/>
  <c r="I140" i="3"/>
  <c r="I141" i="3"/>
  <c r="I142" i="3"/>
  <c r="I138" i="3"/>
  <c r="I168" i="3"/>
  <c r="I169" i="3"/>
  <c r="I170" i="3"/>
  <c r="I171" i="3"/>
  <c r="I167" i="3"/>
  <c r="I197" i="3"/>
  <c r="I198" i="3"/>
  <c r="I199" i="3"/>
  <c r="I200" i="3"/>
  <c r="I196" i="3"/>
  <c r="C348" i="3"/>
  <c r="C349" i="3"/>
  <c r="C346" i="3"/>
  <c r="C327" i="3"/>
  <c r="B349" i="3"/>
  <c r="B346" i="3"/>
  <c r="B327" i="3"/>
  <c r="I349" i="3" l="1"/>
  <c r="I348" i="3"/>
  <c r="I346" i="3"/>
  <c r="B345" i="3"/>
  <c r="H338" i="3"/>
  <c r="E338" i="3"/>
  <c r="I337" i="3"/>
  <c r="I336" i="3"/>
  <c r="I335" i="3"/>
  <c r="I334" i="3"/>
  <c r="I333" i="3"/>
  <c r="I332" i="3"/>
  <c r="I331" i="3"/>
  <c r="I330" i="3"/>
  <c r="I329" i="3"/>
  <c r="I328" i="3"/>
  <c r="G338" i="3"/>
  <c r="F338" i="3"/>
  <c r="D338" i="3"/>
  <c r="C338" i="3"/>
  <c r="B338" i="3"/>
  <c r="H281" i="4"/>
  <c r="G281" i="4"/>
  <c r="C281" i="4"/>
  <c r="B281" i="4"/>
  <c r="I280" i="4"/>
  <c r="I279" i="4"/>
  <c r="E276" i="4"/>
  <c r="D276" i="4"/>
  <c r="C276" i="4"/>
  <c r="B276" i="4"/>
  <c r="I275" i="4"/>
  <c r="I274" i="4"/>
  <c r="I273" i="4"/>
  <c r="I272" i="4"/>
  <c r="I271" i="4"/>
  <c r="I270" i="4"/>
  <c r="I269" i="4"/>
  <c r="I268" i="4"/>
  <c r="I267" i="4"/>
  <c r="I266" i="4"/>
  <c r="H276" i="4"/>
  <c r="G276" i="4"/>
  <c r="F276" i="4"/>
  <c r="I281" i="4" l="1"/>
  <c r="I345" i="3"/>
  <c r="I338" i="3"/>
  <c r="I276" i="4"/>
  <c r="H320" i="3"/>
  <c r="H317" i="3"/>
  <c r="H242" i="4" l="1"/>
  <c r="G320" i="3" l="1"/>
  <c r="F320" i="3"/>
  <c r="G242" i="4"/>
  <c r="F242" i="4"/>
  <c r="G298" i="3"/>
  <c r="F298" i="3"/>
  <c r="G317" i="3"/>
  <c r="F317" i="3"/>
  <c r="I256" i="4"/>
  <c r="I257" i="4"/>
  <c r="C258" i="4"/>
  <c r="D258" i="4"/>
  <c r="E258" i="4"/>
  <c r="F258" i="4"/>
  <c r="G258" i="4"/>
  <c r="H258" i="4"/>
  <c r="C316" i="3"/>
  <c r="D316" i="3"/>
  <c r="E316" i="3"/>
  <c r="C320" i="3"/>
  <c r="D320" i="3"/>
  <c r="E320" i="3"/>
  <c r="E298" i="3"/>
  <c r="D298" i="3"/>
  <c r="C298" i="3"/>
  <c r="C317" i="3"/>
  <c r="E317" i="3"/>
  <c r="D317" i="3"/>
  <c r="I312" i="3" l="1"/>
  <c r="I313" i="3"/>
  <c r="I314" i="3"/>
  <c r="I315" i="3"/>
  <c r="I311" i="3"/>
  <c r="B298" i="3"/>
  <c r="B309" i="3" s="1"/>
  <c r="B316" i="3"/>
  <c r="L342" i="3" l="1"/>
  <c r="L341" i="3"/>
  <c r="L343" i="3"/>
  <c r="L340" i="3"/>
  <c r="I316" i="3"/>
  <c r="I320" i="3"/>
  <c r="I319" i="3"/>
  <c r="I317" i="3"/>
  <c r="H316" i="3"/>
  <c r="G316" i="3"/>
  <c r="F316" i="3"/>
  <c r="D309" i="3"/>
  <c r="I308" i="3"/>
  <c r="I307" i="3"/>
  <c r="I306" i="3"/>
  <c r="I305" i="3"/>
  <c r="I304" i="3"/>
  <c r="I303" i="3"/>
  <c r="I302" i="3"/>
  <c r="I301" i="3"/>
  <c r="I300" i="3"/>
  <c r="I299" i="3"/>
  <c r="H309" i="3"/>
  <c r="G309" i="3"/>
  <c r="F309" i="3"/>
  <c r="E309" i="3"/>
  <c r="C309" i="3"/>
  <c r="I255" i="4"/>
  <c r="B258" i="4"/>
  <c r="H253" i="4"/>
  <c r="G253" i="4"/>
  <c r="F253" i="4"/>
  <c r="E253" i="4"/>
  <c r="D253" i="4"/>
  <c r="C253" i="4"/>
  <c r="B253" i="4"/>
  <c r="I252" i="4"/>
  <c r="I251" i="4"/>
  <c r="I250" i="4"/>
  <c r="I249" i="4"/>
  <c r="I248" i="4"/>
  <c r="I247" i="4"/>
  <c r="I246" i="4"/>
  <c r="I245" i="4"/>
  <c r="I244" i="4"/>
  <c r="I243" i="4"/>
  <c r="C230" i="3"/>
  <c r="D230" i="3"/>
  <c r="E230" i="3"/>
  <c r="F230" i="3"/>
  <c r="G230" i="3"/>
  <c r="H230" i="3"/>
  <c r="B230" i="3"/>
  <c r="B259" i="3"/>
  <c r="B287" i="3"/>
  <c r="C143" i="3"/>
  <c r="D143" i="3"/>
  <c r="E143" i="3"/>
  <c r="F143" i="3"/>
  <c r="G143" i="3"/>
  <c r="H143" i="3"/>
  <c r="B143" i="3"/>
  <c r="C172" i="3"/>
  <c r="D172" i="3"/>
  <c r="E172" i="3"/>
  <c r="F172" i="3"/>
  <c r="G172" i="3"/>
  <c r="H172" i="3"/>
  <c r="B172" i="3"/>
  <c r="I176" i="3"/>
  <c r="I232" i="4"/>
  <c r="I234" i="4"/>
  <c r="K303" i="4" s="1"/>
  <c r="I290" i="3"/>
  <c r="H234" i="3"/>
  <c r="G233" i="3"/>
  <c r="B233" i="3"/>
  <c r="B234" i="3"/>
  <c r="K301" i="4" l="1"/>
  <c r="L346" i="3"/>
  <c r="L345" i="3"/>
  <c r="M376" i="3"/>
  <c r="I309" i="3"/>
  <c r="I258" i="4"/>
  <c r="I253" i="4"/>
  <c r="G291" i="3" l="1"/>
  <c r="H291" i="3"/>
  <c r="H269" i="3" l="1"/>
  <c r="G269" i="3"/>
  <c r="F269" i="3"/>
  <c r="H288" i="3"/>
  <c r="G288" i="3"/>
  <c r="F288" i="3"/>
  <c r="I233" i="4" l="1"/>
  <c r="K302" i="4" s="1"/>
  <c r="I235" i="4" l="1"/>
  <c r="E219" i="4"/>
  <c r="E288" i="3" l="1"/>
  <c r="E269" i="3"/>
  <c r="D269" i="3" l="1"/>
  <c r="D280" i="3" s="1"/>
  <c r="D288" i="3"/>
  <c r="C259" i="3" l="1"/>
  <c r="D259" i="3"/>
  <c r="E259" i="3"/>
  <c r="F259" i="3"/>
  <c r="G259" i="3"/>
  <c r="H259" i="3"/>
  <c r="C287" i="3"/>
  <c r="D287" i="3"/>
  <c r="E287" i="3"/>
  <c r="F287" i="3"/>
  <c r="G287" i="3"/>
  <c r="H287" i="3"/>
  <c r="C269" i="3" l="1"/>
  <c r="C197" i="4"/>
  <c r="C288" i="3"/>
  <c r="H231" i="3" l="1"/>
  <c r="G231" i="3"/>
  <c r="F231" i="3"/>
  <c r="E231" i="3"/>
  <c r="D231" i="3"/>
  <c r="C231" i="3"/>
  <c r="B231" i="3"/>
  <c r="H212" i="3" l="1"/>
  <c r="H223" i="3" s="1"/>
  <c r="E212" i="3"/>
  <c r="E223" i="3" s="1"/>
  <c r="I233" i="3"/>
  <c r="I229" i="3"/>
  <c r="K258" i="3" s="1"/>
  <c r="I228" i="3"/>
  <c r="K257" i="3" s="1"/>
  <c r="I227" i="3"/>
  <c r="K256" i="3" s="1"/>
  <c r="I226" i="3"/>
  <c r="K255" i="3" s="1"/>
  <c r="I225" i="3"/>
  <c r="K254" i="3" s="1"/>
  <c r="F223" i="3"/>
  <c r="D223" i="3"/>
  <c r="C223" i="3"/>
  <c r="B223" i="3"/>
  <c r="I222" i="3"/>
  <c r="I221" i="3"/>
  <c r="I220" i="3"/>
  <c r="I219" i="3"/>
  <c r="I218" i="3"/>
  <c r="I217" i="3"/>
  <c r="I216" i="3"/>
  <c r="I215" i="3"/>
  <c r="I214" i="3"/>
  <c r="I213" i="3"/>
  <c r="G223" i="3"/>
  <c r="M254" i="3" l="1"/>
  <c r="L254" i="3"/>
  <c r="M257" i="3"/>
  <c r="L257" i="3"/>
  <c r="I231" i="3"/>
  <c r="I234" i="3"/>
  <c r="I230" i="3"/>
  <c r="I223" i="3"/>
  <c r="L258" i="3" l="1"/>
  <c r="M258" i="3"/>
  <c r="C230" i="4"/>
  <c r="F230" i="4"/>
  <c r="G230" i="4"/>
  <c r="H230" i="4"/>
  <c r="H235" i="4"/>
  <c r="G235" i="4"/>
  <c r="F235" i="4"/>
  <c r="E235" i="4"/>
  <c r="D235" i="4"/>
  <c r="C235" i="4"/>
  <c r="B235" i="4"/>
  <c r="E230" i="4"/>
  <c r="D230" i="4"/>
  <c r="B230" i="4"/>
  <c r="I229" i="4"/>
  <c r="I228" i="4"/>
  <c r="I227" i="4"/>
  <c r="I226" i="4"/>
  <c r="I225" i="4"/>
  <c r="I224" i="4"/>
  <c r="I223" i="4"/>
  <c r="I222" i="4"/>
  <c r="I221" i="4"/>
  <c r="I220" i="4"/>
  <c r="B291" i="3"/>
  <c r="I291" i="3" s="1"/>
  <c r="B288" i="3"/>
  <c r="I288" i="3" s="1"/>
  <c r="B269" i="3"/>
  <c r="B280" i="3" s="1"/>
  <c r="I286" i="3"/>
  <c r="M372" i="3" s="1"/>
  <c r="I285" i="3"/>
  <c r="M371" i="3" s="1"/>
  <c r="I284" i="3"/>
  <c r="M370" i="3" s="1"/>
  <c r="I283" i="3"/>
  <c r="M369" i="3" s="1"/>
  <c r="I282" i="3"/>
  <c r="F280" i="3"/>
  <c r="C280" i="3"/>
  <c r="I279" i="3"/>
  <c r="M365" i="3" s="1"/>
  <c r="I278" i="3"/>
  <c r="M364" i="3" s="1"/>
  <c r="I277" i="3"/>
  <c r="M363" i="3" s="1"/>
  <c r="I276" i="3"/>
  <c r="M362" i="3" s="1"/>
  <c r="I275" i="3"/>
  <c r="M361" i="3" s="1"/>
  <c r="I274" i="3"/>
  <c r="M360" i="3" s="1"/>
  <c r="I273" i="3"/>
  <c r="I272" i="3"/>
  <c r="M358" i="3" s="1"/>
  <c r="I271" i="3"/>
  <c r="M357" i="3" s="1"/>
  <c r="I270" i="3"/>
  <c r="M356" i="3" s="1"/>
  <c r="H280" i="3"/>
  <c r="G280" i="3"/>
  <c r="E280" i="3"/>
  <c r="I254" i="3"/>
  <c r="M359" i="3" l="1"/>
  <c r="J366" i="3"/>
  <c r="I287" i="3"/>
  <c r="M373" i="3" s="1"/>
  <c r="M368" i="3"/>
  <c r="L264" i="3"/>
  <c r="I230" i="4"/>
  <c r="I280" i="3"/>
  <c r="F263" i="3"/>
  <c r="F197" i="4"/>
  <c r="H263" i="3" l="1"/>
  <c r="G263" i="3"/>
  <c r="G197" i="4"/>
  <c r="G241" i="3"/>
  <c r="H241" i="3"/>
  <c r="H197" i="4"/>
  <c r="H213" i="4"/>
  <c r="F213" i="4"/>
  <c r="G213" i="4"/>
  <c r="I255" i="3"/>
  <c r="I256" i="3"/>
  <c r="I257" i="3"/>
  <c r="I258" i="3"/>
  <c r="K304" i="4" l="1"/>
  <c r="M377" i="3"/>
  <c r="H260" i="3"/>
  <c r="G260" i="3"/>
  <c r="F260" i="3"/>
  <c r="E260" i="3"/>
  <c r="D260" i="3"/>
  <c r="C260" i="3"/>
  <c r="B260" i="3"/>
  <c r="I262" i="3"/>
  <c r="E241" i="3"/>
  <c r="D263" i="3"/>
  <c r="C263" i="3"/>
  <c r="B263" i="3"/>
  <c r="J374" i="3" l="1"/>
  <c r="K374" i="3" s="1"/>
  <c r="M374" i="3"/>
  <c r="I263" i="3"/>
  <c r="I260" i="3"/>
  <c r="E213" i="4"/>
  <c r="D213" i="4"/>
  <c r="C213" i="4"/>
  <c r="B213" i="4"/>
  <c r="I212" i="4"/>
  <c r="I211" i="4"/>
  <c r="I210" i="4"/>
  <c r="G208" i="4"/>
  <c r="F208" i="4"/>
  <c r="D208" i="4"/>
  <c r="C208" i="4"/>
  <c r="B208" i="4"/>
  <c r="I207" i="4"/>
  <c r="I206" i="4"/>
  <c r="I205" i="4"/>
  <c r="I204" i="4"/>
  <c r="I203" i="4"/>
  <c r="I202" i="4"/>
  <c r="I201" i="4"/>
  <c r="I200" i="4"/>
  <c r="I199" i="4"/>
  <c r="I198" i="4"/>
  <c r="H208" i="4"/>
  <c r="E208" i="4"/>
  <c r="I213" i="4" l="1"/>
  <c r="I208" i="4"/>
  <c r="I242" i="3"/>
  <c r="H175" i="4"/>
  <c r="E175" i="4" l="1"/>
  <c r="D191" i="4" l="1"/>
  <c r="H191" i="4" l="1"/>
  <c r="G191" i="4"/>
  <c r="F191" i="4"/>
  <c r="E191" i="4"/>
  <c r="C191" i="4"/>
  <c r="B191" i="4"/>
  <c r="I190" i="4"/>
  <c r="I189" i="4"/>
  <c r="I188" i="4"/>
  <c r="H186" i="4"/>
  <c r="G186" i="4"/>
  <c r="F186" i="4"/>
  <c r="E186" i="4"/>
  <c r="D186" i="4"/>
  <c r="C186" i="4"/>
  <c r="B186" i="4"/>
  <c r="I185" i="4"/>
  <c r="I184" i="4"/>
  <c r="I183" i="4"/>
  <c r="I182" i="4"/>
  <c r="I181" i="4"/>
  <c r="I180" i="4"/>
  <c r="I179" i="4"/>
  <c r="I178" i="4"/>
  <c r="I177" i="4"/>
  <c r="I176" i="4"/>
  <c r="H252" i="3"/>
  <c r="G252" i="3"/>
  <c r="F252" i="3"/>
  <c r="E252" i="3"/>
  <c r="D252" i="3"/>
  <c r="C252" i="3"/>
  <c r="B252" i="3"/>
  <c r="I251" i="3"/>
  <c r="I250" i="3"/>
  <c r="I249" i="3"/>
  <c r="I248" i="3"/>
  <c r="I247" i="3"/>
  <c r="I246" i="3"/>
  <c r="I245" i="3"/>
  <c r="I244" i="3"/>
  <c r="I243" i="3"/>
  <c r="M366" i="3" l="1"/>
  <c r="I259" i="3"/>
  <c r="I191" i="4"/>
  <c r="I186" i="4"/>
  <c r="I252" i="3"/>
  <c r="H205" i="3"/>
  <c r="H204" i="3"/>
  <c r="G204" i="3"/>
  <c r="H202" i="3"/>
  <c r="G202" i="3" l="1"/>
  <c r="F205" i="3"/>
  <c r="F202" i="3"/>
  <c r="E202" i="3"/>
  <c r="D202" i="3" l="1"/>
  <c r="D205" i="3"/>
  <c r="K47" i="4" l="1"/>
  <c r="C205" i="3" l="1"/>
  <c r="B205" i="3"/>
  <c r="C202" i="3"/>
  <c r="H168" i="4" l="1"/>
  <c r="G168" i="4"/>
  <c r="F168" i="4"/>
  <c r="E168" i="4"/>
  <c r="D168" i="4"/>
  <c r="C168" i="4"/>
  <c r="B168" i="4"/>
  <c r="I167" i="4"/>
  <c r="I166" i="4"/>
  <c r="I165" i="4"/>
  <c r="H163" i="4"/>
  <c r="G163" i="4"/>
  <c r="F163" i="4"/>
  <c r="E163" i="4"/>
  <c r="D163" i="4"/>
  <c r="C163" i="4"/>
  <c r="B163" i="4"/>
  <c r="I162" i="4"/>
  <c r="I161" i="4"/>
  <c r="I160" i="4"/>
  <c r="I159" i="4"/>
  <c r="I158" i="4"/>
  <c r="I157" i="4"/>
  <c r="I156" i="4"/>
  <c r="I155" i="4"/>
  <c r="I154" i="4"/>
  <c r="I153" i="4"/>
  <c r="B202" i="3"/>
  <c r="I168" i="4" l="1"/>
  <c r="I163" i="4"/>
  <c r="I205" i="3" l="1"/>
  <c r="K263" i="3" s="1"/>
  <c r="I204" i="3"/>
  <c r="I202" i="3"/>
  <c r="H201" i="3"/>
  <c r="G201" i="3"/>
  <c r="F201" i="3"/>
  <c r="E201" i="3"/>
  <c r="D201" i="3"/>
  <c r="C201" i="3"/>
  <c r="B201" i="3"/>
  <c r="H194" i="3"/>
  <c r="G194" i="3"/>
  <c r="F194" i="3"/>
  <c r="E194" i="3"/>
  <c r="D194" i="3"/>
  <c r="C194" i="3"/>
  <c r="B194" i="3"/>
  <c r="I193" i="3"/>
  <c r="I192" i="3"/>
  <c r="I191" i="3"/>
  <c r="I190" i="3"/>
  <c r="I189" i="3"/>
  <c r="I188" i="3"/>
  <c r="I187" i="3"/>
  <c r="I186" i="3"/>
  <c r="I201" i="3" l="1"/>
  <c r="I194" i="3"/>
  <c r="H173" i="3"/>
  <c r="G173" i="3"/>
  <c r="D173" i="3"/>
  <c r="B173" i="3"/>
  <c r="C173" i="3"/>
  <c r="E173" i="3"/>
  <c r="F173" i="3"/>
  <c r="H145" i="4" l="1"/>
  <c r="G145" i="4"/>
  <c r="F145" i="4"/>
  <c r="E145" i="4"/>
  <c r="D145" i="4"/>
  <c r="C145" i="4"/>
  <c r="B145" i="4"/>
  <c r="I144" i="4"/>
  <c r="J212" i="4" s="1"/>
  <c r="I143" i="4"/>
  <c r="J211" i="4" s="1"/>
  <c r="I142" i="4"/>
  <c r="J210" i="4" s="1"/>
  <c r="H140" i="4"/>
  <c r="G140" i="4"/>
  <c r="F140" i="4"/>
  <c r="E140" i="4"/>
  <c r="D140" i="4"/>
  <c r="C140" i="4"/>
  <c r="B140" i="4"/>
  <c r="I139" i="4"/>
  <c r="I138" i="4"/>
  <c r="I137" i="4"/>
  <c r="I136" i="4"/>
  <c r="I135" i="4"/>
  <c r="I134" i="4"/>
  <c r="I133" i="4"/>
  <c r="I132" i="4"/>
  <c r="I131" i="4"/>
  <c r="I130" i="4"/>
  <c r="I175" i="3"/>
  <c r="K262" i="3" s="1"/>
  <c r="H165" i="3"/>
  <c r="G165" i="3"/>
  <c r="F165" i="3"/>
  <c r="E165" i="3"/>
  <c r="D165" i="3"/>
  <c r="C165" i="3"/>
  <c r="B165" i="3"/>
  <c r="I164" i="3"/>
  <c r="K251" i="3" s="1"/>
  <c r="I163" i="3"/>
  <c r="K250" i="3" s="1"/>
  <c r="I162" i="3"/>
  <c r="K249" i="3" s="1"/>
  <c r="I161" i="3"/>
  <c r="K248" i="3" s="1"/>
  <c r="I160" i="3"/>
  <c r="K247" i="3" s="1"/>
  <c r="I159" i="3"/>
  <c r="K246" i="3" s="1"/>
  <c r="I158" i="3"/>
  <c r="I157" i="3"/>
  <c r="K244" i="3" s="1"/>
  <c r="I156" i="3"/>
  <c r="K243" i="3" s="1"/>
  <c r="I155" i="3"/>
  <c r="K242" i="3" s="1"/>
  <c r="K245" i="3" l="1"/>
  <c r="J141" i="3"/>
  <c r="K210" i="4"/>
  <c r="K211" i="4"/>
  <c r="I172" i="3"/>
  <c r="K259" i="3" s="1"/>
  <c r="I165" i="3"/>
  <c r="I173" i="3"/>
  <c r="I145" i="4"/>
  <c r="I140" i="4"/>
  <c r="K212" i="4" l="1"/>
  <c r="M259" i="3" s="1"/>
  <c r="H144" i="3"/>
  <c r="C144" i="3"/>
  <c r="B144" i="3"/>
  <c r="M264" i="3" l="1"/>
  <c r="M260" i="3"/>
  <c r="G144" i="3"/>
  <c r="F144" i="3"/>
  <c r="E144" i="3"/>
  <c r="J231" i="3" l="1"/>
  <c r="K231" i="3" s="1"/>
  <c r="K260" i="3"/>
  <c r="N261" i="3"/>
  <c r="N264" i="3"/>
  <c r="L265" i="3" s="1"/>
  <c r="L268" i="3" s="1"/>
  <c r="D144" i="3"/>
  <c r="I144" i="3" l="1"/>
  <c r="M265" i="3"/>
  <c r="M268" i="3" s="1"/>
  <c r="N269" i="3" s="1"/>
  <c r="H122" i="4"/>
  <c r="G122" i="4"/>
  <c r="F122" i="4"/>
  <c r="E122" i="4"/>
  <c r="D122" i="4"/>
  <c r="C122" i="4"/>
  <c r="B122" i="4"/>
  <c r="I121" i="4"/>
  <c r="I120" i="4"/>
  <c r="I119" i="4"/>
  <c r="H117" i="4"/>
  <c r="G117" i="4"/>
  <c r="F117" i="4"/>
  <c r="E117" i="4"/>
  <c r="D117" i="4"/>
  <c r="C117" i="4"/>
  <c r="B117" i="4"/>
  <c r="I116" i="4"/>
  <c r="I115" i="4"/>
  <c r="I114" i="4"/>
  <c r="I113" i="4"/>
  <c r="I112" i="4"/>
  <c r="I111" i="4"/>
  <c r="I110" i="4"/>
  <c r="I109" i="4"/>
  <c r="I108" i="4"/>
  <c r="I107" i="4"/>
  <c r="J213" i="4" l="1"/>
  <c r="I117" i="4"/>
  <c r="I122" i="4"/>
  <c r="F114" i="3"/>
  <c r="H115" i="3"/>
  <c r="I115" i="3" s="1"/>
  <c r="I147" i="3"/>
  <c r="I146" i="3"/>
  <c r="H136" i="3"/>
  <c r="G136" i="3"/>
  <c r="F136" i="3"/>
  <c r="E136" i="3"/>
  <c r="D136" i="3"/>
  <c r="C136" i="3"/>
  <c r="B136" i="3"/>
  <c r="I135" i="3"/>
  <c r="I134" i="3"/>
  <c r="I133" i="3"/>
  <c r="I132" i="3"/>
  <c r="I131" i="3"/>
  <c r="I130" i="3"/>
  <c r="I129" i="3"/>
  <c r="I128" i="3"/>
  <c r="I127" i="3"/>
  <c r="I126" i="3"/>
  <c r="I118" i="3"/>
  <c r="I117" i="3"/>
  <c r="H114" i="3"/>
  <c r="G114" i="3"/>
  <c r="E114" i="3"/>
  <c r="D114" i="3"/>
  <c r="C114" i="3"/>
  <c r="B114" i="3"/>
  <c r="I113" i="3"/>
  <c r="I112" i="3"/>
  <c r="I111" i="3"/>
  <c r="I110" i="3"/>
  <c r="I109" i="3"/>
  <c r="H107" i="3"/>
  <c r="G107" i="3"/>
  <c r="F107" i="3"/>
  <c r="E107" i="3"/>
  <c r="D107" i="3"/>
  <c r="C107" i="3"/>
  <c r="B107" i="3"/>
  <c r="I106" i="3"/>
  <c r="I105" i="3"/>
  <c r="I104" i="3"/>
  <c r="I103" i="3"/>
  <c r="I102" i="3"/>
  <c r="I101" i="3"/>
  <c r="I100" i="3"/>
  <c r="I99" i="3"/>
  <c r="I98" i="3"/>
  <c r="I97" i="3"/>
  <c r="J102" i="3" l="1"/>
  <c r="K252" i="3"/>
  <c r="I143" i="3"/>
  <c r="I136" i="3"/>
  <c r="I114" i="3"/>
  <c r="I107" i="3"/>
  <c r="C85" i="3"/>
  <c r="B85" i="3"/>
  <c r="H99" i="4" l="1"/>
  <c r="G99" i="4"/>
  <c r="F99" i="4"/>
  <c r="E99" i="4"/>
  <c r="D99" i="4"/>
  <c r="C99" i="4"/>
  <c r="B99" i="4"/>
  <c r="I98" i="4"/>
  <c r="I97" i="4"/>
  <c r="I96" i="4"/>
  <c r="H94" i="4"/>
  <c r="G94" i="4"/>
  <c r="F94" i="4"/>
  <c r="E94" i="4"/>
  <c r="D94" i="4"/>
  <c r="C94" i="4"/>
  <c r="B94" i="4"/>
  <c r="I93" i="4"/>
  <c r="I92" i="4"/>
  <c r="I91" i="4"/>
  <c r="I90" i="4"/>
  <c r="I89" i="4"/>
  <c r="I88" i="4"/>
  <c r="I87" i="4"/>
  <c r="I86" i="4"/>
  <c r="I85" i="4"/>
  <c r="I84" i="4"/>
  <c r="I99" i="4" l="1"/>
  <c r="I94" i="4"/>
  <c r="D58" i="3"/>
  <c r="E58" i="3"/>
  <c r="C58" i="3" l="1"/>
  <c r="B58" i="3"/>
  <c r="I88" i="3" l="1"/>
  <c r="I87" i="3"/>
  <c r="I85" i="3"/>
  <c r="H84" i="3"/>
  <c r="G84" i="3"/>
  <c r="F84" i="3"/>
  <c r="E84" i="3"/>
  <c r="D84" i="3"/>
  <c r="C84" i="3"/>
  <c r="B84" i="3"/>
  <c r="I83" i="3"/>
  <c r="I82" i="3"/>
  <c r="I81" i="3"/>
  <c r="I80" i="3"/>
  <c r="I79" i="3"/>
  <c r="H77" i="3"/>
  <c r="G77" i="3"/>
  <c r="F77" i="3"/>
  <c r="E77" i="3"/>
  <c r="D77" i="3"/>
  <c r="C77" i="3"/>
  <c r="B77" i="3"/>
  <c r="I76" i="3"/>
  <c r="I75" i="3"/>
  <c r="I74" i="3"/>
  <c r="I73" i="3"/>
  <c r="I72" i="3"/>
  <c r="I71" i="3"/>
  <c r="I70" i="3"/>
  <c r="I69" i="3"/>
  <c r="I68" i="3"/>
  <c r="I67" i="3"/>
  <c r="I61" i="3"/>
  <c r="I60" i="3"/>
  <c r="I58" i="3"/>
  <c r="H57" i="3"/>
  <c r="G57" i="3"/>
  <c r="F57" i="3"/>
  <c r="E57" i="3"/>
  <c r="D57" i="3"/>
  <c r="C57" i="3"/>
  <c r="B57" i="3"/>
  <c r="I56" i="3"/>
  <c r="I55" i="3"/>
  <c r="I54" i="3"/>
  <c r="I53" i="3"/>
  <c r="I52" i="3"/>
  <c r="H50" i="3"/>
  <c r="G50" i="3"/>
  <c r="F50" i="3"/>
  <c r="E50" i="3"/>
  <c r="D50" i="3"/>
  <c r="C50" i="3"/>
  <c r="B50" i="3"/>
  <c r="I49" i="3"/>
  <c r="I48" i="3"/>
  <c r="I47" i="3"/>
  <c r="I46" i="3"/>
  <c r="I45" i="3"/>
  <c r="I44" i="3"/>
  <c r="I43" i="3"/>
  <c r="I42" i="3"/>
  <c r="I41" i="3"/>
  <c r="I40" i="3"/>
  <c r="H76" i="4"/>
  <c r="G76" i="4"/>
  <c r="F76" i="4"/>
  <c r="E76" i="4"/>
  <c r="D76" i="4"/>
  <c r="C76" i="4"/>
  <c r="B76" i="4"/>
  <c r="I75" i="4"/>
  <c r="I74" i="4"/>
  <c r="I73" i="4"/>
  <c r="H71" i="4"/>
  <c r="G71" i="4"/>
  <c r="F71" i="4"/>
  <c r="E71" i="4"/>
  <c r="D71" i="4"/>
  <c r="C71" i="4"/>
  <c r="B71" i="4"/>
  <c r="I70" i="4"/>
  <c r="I69" i="4"/>
  <c r="I68" i="4"/>
  <c r="I67" i="4"/>
  <c r="I66" i="4"/>
  <c r="I65" i="4"/>
  <c r="I64" i="4"/>
  <c r="I63" i="4"/>
  <c r="I62" i="4"/>
  <c r="I61" i="4"/>
  <c r="J42" i="3" l="1"/>
  <c r="J70" i="3"/>
  <c r="I76" i="4"/>
  <c r="I71" i="4"/>
  <c r="I84" i="3"/>
  <c r="I57" i="3"/>
  <c r="I77" i="3"/>
  <c r="I50" i="3"/>
  <c r="H31" i="3"/>
  <c r="G31" i="3" l="1"/>
  <c r="E31" i="3" l="1"/>
  <c r="F31" i="3"/>
  <c r="D31" i="3" l="1"/>
  <c r="B31" i="3" l="1"/>
  <c r="C31" i="3"/>
  <c r="H53" i="4" l="1"/>
  <c r="R57" i="3" s="1"/>
  <c r="G53" i="4"/>
  <c r="Q57" i="3" s="1"/>
  <c r="F53" i="4"/>
  <c r="P57" i="3" s="1"/>
  <c r="E53" i="4"/>
  <c r="O57" i="3" s="1"/>
  <c r="D53" i="4"/>
  <c r="N57" i="3" s="1"/>
  <c r="C53" i="4"/>
  <c r="M57" i="3" s="1"/>
  <c r="B53" i="4"/>
  <c r="I52" i="4"/>
  <c r="I51" i="4"/>
  <c r="I50" i="4"/>
  <c r="H48" i="4"/>
  <c r="G48" i="4"/>
  <c r="F48" i="4"/>
  <c r="E48" i="4"/>
  <c r="D48" i="4"/>
  <c r="C48" i="4"/>
  <c r="B48" i="4"/>
  <c r="I47" i="4"/>
  <c r="I46" i="4"/>
  <c r="I45" i="4"/>
  <c r="I44" i="4"/>
  <c r="I43" i="4"/>
  <c r="I42" i="4"/>
  <c r="I41" i="4"/>
  <c r="I40" i="4"/>
  <c r="I39" i="4"/>
  <c r="I38" i="4"/>
  <c r="I53" i="4" l="1"/>
  <c r="I48" i="4"/>
  <c r="I34" i="3"/>
  <c r="K147" i="3" s="1"/>
  <c r="I33" i="3"/>
  <c r="K146" i="3" s="1"/>
  <c r="I31" i="3"/>
  <c r="H30" i="3"/>
  <c r="G30" i="3"/>
  <c r="F30" i="3"/>
  <c r="E30" i="3"/>
  <c r="D30" i="3"/>
  <c r="C30" i="3"/>
  <c r="B30" i="3"/>
  <c r="I29" i="3"/>
  <c r="K142" i="3" s="1"/>
  <c r="I28" i="3"/>
  <c r="K141" i="3" s="1"/>
  <c r="I27" i="3"/>
  <c r="K140" i="3" s="1"/>
  <c r="I26" i="3"/>
  <c r="K139" i="3" s="1"/>
  <c r="I25" i="3"/>
  <c r="K138" i="3" s="1"/>
  <c r="H23" i="3"/>
  <c r="G23" i="3"/>
  <c r="F23" i="3"/>
  <c r="E23" i="3"/>
  <c r="D23" i="3"/>
  <c r="C23" i="3"/>
  <c r="B23" i="3"/>
  <c r="I22" i="3"/>
  <c r="K135" i="3" s="1"/>
  <c r="I21" i="3"/>
  <c r="K134" i="3" s="1"/>
  <c r="I20" i="3"/>
  <c r="K133" i="3" s="1"/>
  <c r="I19" i="3"/>
  <c r="K132" i="3" s="1"/>
  <c r="I18" i="3"/>
  <c r="K131" i="3" s="1"/>
  <c r="I17" i="3"/>
  <c r="K130" i="3" s="1"/>
  <c r="I16" i="3"/>
  <c r="I15" i="3"/>
  <c r="K128" i="3" s="1"/>
  <c r="I14" i="3"/>
  <c r="K127" i="3" s="1"/>
  <c r="I13" i="3"/>
  <c r="K126" i="3" s="1"/>
  <c r="K129" i="3" l="1"/>
  <c r="J17" i="3"/>
  <c r="J124" i="3" s="1"/>
  <c r="K144" i="3"/>
  <c r="L144" i="3" s="1"/>
  <c r="L34" i="3"/>
  <c r="S57" i="3"/>
  <c r="I23" i="3"/>
  <c r="K136" i="3" s="1"/>
  <c r="I30" i="3"/>
  <c r="K143" i="3" s="1"/>
  <c r="H30" i="4" l="1"/>
  <c r="R30" i="3" s="1"/>
  <c r="G30" i="4"/>
  <c r="Q30" i="3" s="1"/>
  <c r="F30" i="4"/>
  <c r="P30" i="3" s="1"/>
  <c r="E30" i="4"/>
  <c r="O30" i="3" s="1"/>
  <c r="D30" i="4"/>
  <c r="N30" i="3" s="1"/>
  <c r="C30" i="4"/>
  <c r="M30" i="3" s="1"/>
  <c r="B30" i="4"/>
  <c r="L30" i="3" s="1"/>
  <c r="I29" i="4"/>
  <c r="K121" i="4" s="1"/>
  <c r="I28" i="4"/>
  <c r="K120" i="4" s="1"/>
  <c r="I27" i="4"/>
  <c r="K119" i="4" s="1"/>
  <c r="H25" i="4"/>
  <c r="G25" i="4"/>
  <c r="F25" i="4"/>
  <c r="E25" i="4"/>
  <c r="D25" i="4"/>
  <c r="C25" i="4"/>
  <c r="B25" i="4"/>
  <c r="I24" i="4"/>
  <c r="I23" i="4"/>
  <c r="I22" i="4"/>
  <c r="I21" i="4"/>
  <c r="I20" i="4"/>
  <c r="I19" i="4"/>
  <c r="I18" i="4"/>
  <c r="I17" i="4"/>
  <c r="I16" i="4"/>
  <c r="I15" i="4"/>
  <c r="I30" i="4" l="1"/>
  <c r="K122" i="4" s="1"/>
  <c r="I25" i="4"/>
  <c r="S30" i="3" l="1"/>
  <c r="L28" i="3"/>
  <c r="L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Fafali</author>
  </authors>
  <commentList>
    <comment ref="F50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39 adult was voided for wrong order enter thereby reducing the adult numbers to 14pax</t>
        </r>
      </text>
    </comment>
    <comment ref="F53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39 adult was voided for wrong order enter thereby reducing the adult numbers to 14pax</t>
        </r>
      </text>
    </comment>
    <comment ref="H55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complimentary by mr. ernest</t>
        </r>
      </text>
    </comment>
    <comment ref="H58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complimentary by mr. ernest</t>
        </r>
      </text>
    </comment>
    <comment ref="H64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complimentary by mr. ernest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Fafali</author>
  </authors>
  <commentList>
    <comment ref="F40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39 adult was voided for wrong order enter thereby reducing the adult numbers to 14pax</t>
        </r>
      </text>
    </comment>
    <comment ref="F42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39 adult was voided for wrong order enter thereby reducing the adult numbers to 14pax</t>
        </r>
      </text>
    </comment>
    <comment ref="F44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39 adult was voided for wrong order enter thereby reducing the adult numbers to 14pax</t>
        </r>
      </text>
    </comment>
    <comment ref="H5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complimentary by mr. ernest</t>
        </r>
      </text>
    </comment>
    <comment ref="C640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3 DAY VISITOR GIVEN BY GM.</t>
        </r>
      </text>
    </comment>
  </commentList>
</comments>
</file>

<file path=xl/sharedStrings.xml><?xml version="1.0" encoding="utf-8"?>
<sst xmlns="http://schemas.openxmlformats.org/spreadsheetml/2006/main" count="4246" uniqueCount="104">
  <si>
    <t>MON.</t>
  </si>
  <si>
    <t>TUES</t>
  </si>
  <si>
    <t>WED.</t>
  </si>
  <si>
    <t>THU.</t>
  </si>
  <si>
    <t>FRIDAY</t>
  </si>
  <si>
    <t>SAT.</t>
  </si>
  <si>
    <t>SUN</t>
  </si>
  <si>
    <t>TOTAL</t>
  </si>
  <si>
    <t>DETAILS</t>
  </si>
  <si>
    <t>GHS</t>
  </si>
  <si>
    <t>AVAILABLE CABINS</t>
  </si>
  <si>
    <t>COMPLIMENTARY</t>
  </si>
  <si>
    <t>PAYING GUEST</t>
  </si>
  <si>
    <t>FOOD ONLY - ADULTS</t>
  </si>
  <si>
    <t>FOOD ONLY - KIDS</t>
  </si>
  <si>
    <t>OCCUPANCY RATE</t>
  </si>
  <si>
    <t>REVENUE CENTRES</t>
  </si>
  <si>
    <t>CABINS</t>
  </si>
  <si>
    <t>FOOD REVENUE</t>
  </si>
  <si>
    <t>BEVERAGE</t>
  </si>
  <si>
    <t>DAY GUEST</t>
  </si>
  <si>
    <t xml:space="preserve">CONFERENCE </t>
  </si>
  <si>
    <t>OTHER REVENUE</t>
  </si>
  <si>
    <t>OWNERS AND ASSOCIATE</t>
  </si>
  <si>
    <t>OTHERS</t>
  </si>
  <si>
    <t>COMPLIMENTARY:</t>
  </si>
  <si>
    <t xml:space="preserve">PERIOD: </t>
  </si>
  <si>
    <t>DAILY SALES REPORT</t>
  </si>
  <si>
    <t>DAY VISIT - ADULTS</t>
  </si>
  <si>
    <t>DAY VISIT - KIDS</t>
  </si>
  <si>
    <t>COMPLIMENTARY FOR DAY VISIT</t>
  </si>
  <si>
    <t>DAY VISIT - TEENS</t>
  </si>
  <si>
    <t>TOUR ONLY</t>
  </si>
  <si>
    <t>NON RESIDENTIAL CONFERENCE</t>
  </si>
  <si>
    <t xml:space="preserve">CABINS REVENUE </t>
  </si>
  <si>
    <t>CONFERENCE REVENUE</t>
  </si>
  <si>
    <t>WEEK 1</t>
  </si>
  <si>
    <t>WEEK 2</t>
  </si>
  <si>
    <t xml:space="preserve"> 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</si>
  <si>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</si>
  <si>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</si>
  <si>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</si>
  <si>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</si>
  <si>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</si>
  <si>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</si>
  <si>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</si>
  <si>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</si>
  <si>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</si>
  <si>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</si>
  <si>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cabin</t>
  </si>
  <si>
    <t>conference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</si>
  <si>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</si>
  <si>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</si>
  <si>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</si>
  <si>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</si>
  <si>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</si>
  <si>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</si>
  <si>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</si>
  <si>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</si>
  <si>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</si>
  <si>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</si>
  <si>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</si>
  <si>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</si>
  <si>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 xml:space="preserve">ECO PARK </t>
  </si>
  <si>
    <t xml:space="preserve">TOTAL </t>
  </si>
  <si>
    <t>AMOUNT (GHC)</t>
  </si>
  <si>
    <t>WEEK 25</t>
  </si>
  <si>
    <t>WEEK 26</t>
  </si>
  <si>
    <t>WEEK 27</t>
  </si>
  <si>
    <t>WEEK 28</t>
  </si>
  <si>
    <t>WEEK 29</t>
  </si>
  <si>
    <t>CONFERENCE DISCOUNT</t>
  </si>
  <si>
    <t xml:space="preserve">DAY VISIT DISCOUNT </t>
  </si>
  <si>
    <t xml:space="preserve">CABIN DISCOUNT </t>
  </si>
  <si>
    <t>Jan - June -24</t>
  </si>
  <si>
    <t>WEEK 30</t>
  </si>
  <si>
    <t>F</t>
  </si>
  <si>
    <t>N</t>
  </si>
  <si>
    <t>WEEK 31</t>
  </si>
  <si>
    <t>WEEK 32</t>
  </si>
  <si>
    <t>WEEK 33</t>
  </si>
  <si>
    <t>WEEK 34</t>
  </si>
  <si>
    <t>WEEK 35</t>
  </si>
  <si>
    <t>MONTH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</si>
  <si>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</si>
  <si>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</si>
  <si>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</si>
  <si>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</si>
  <si>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</si>
  <si>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</si>
  <si>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</si>
  <si>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</si>
  <si>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</si>
  <si>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</si>
  <si>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</si>
  <si>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</si>
  <si>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</si>
  <si>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</si>
  <si>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</si>
  <si>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</si>
  <si>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</si>
  <si>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</si>
  <si>
    <t>01/01/24 TO 05/01/25</t>
  </si>
  <si>
    <t>PERIOD: 01/01/24 TO 05/01/25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</si>
</sst>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.000_);_(* \(#,##0.000\);_(* &quot;-&quot;???_);_(@_)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0000"/>
      <name val="Calibri"/>
      <family val="2"/>
    </font>
    <font>
      <u val="double"/>
      <sz val="14"/>
      <color rgb="FF000000"/>
      <name val="Calibri"/>
      <family val="2"/>
    </font>
    <font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4"/>
      <color rgb="FFFF0000"/>
      <name val="Calibri"/>
      <family val="2"/>
      <charset val="1"/>
    </font>
    <font>
      <sz val="14"/>
      <color theme="1"/>
      <name val="Colonna MT"/>
      <family val="5"/>
    </font>
    <font>
      <b/>
      <u val="double"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4EB3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right"/>
    </xf>
    <xf numFmtId="0" fontId="2" fillId="0" borderId="11" xfId="0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2" xfId="0" applyFont="1" applyBorder="1"/>
    <xf numFmtId="16" fontId="6" fillId="0" borderId="3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0" xfId="0" applyFont="1"/>
    <xf numFmtId="43" fontId="5" fillId="0" borderId="0" xfId="1" applyFont="1"/>
    <xf numFmtId="0" fontId="7" fillId="0" borderId="0" xfId="0" applyFont="1"/>
    <xf numFmtId="43" fontId="5" fillId="0" borderId="0" xfId="1" applyFont="1" applyFill="1" applyBorder="1" applyProtection="1"/>
    <xf numFmtId="0" fontId="5" fillId="0" borderId="9" xfId="0" applyFont="1" applyBorder="1"/>
    <xf numFmtId="43" fontId="5" fillId="0" borderId="12" xfId="1" applyFont="1" applyBorder="1" applyProtection="1"/>
    <xf numFmtId="0" fontId="5" fillId="2" borderId="13" xfId="0" applyFont="1" applyFill="1" applyBorder="1"/>
    <xf numFmtId="43" fontId="5" fillId="2" borderId="0" xfId="1" applyFont="1" applyFill="1" applyBorder="1" applyProtection="1"/>
    <xf numFmtId="0" fontId="8" fillId="3" borderId="13" xfId="0" applyFont="1" applyFill="1" applyBorder="1"/>
    <xf numFmtId="43" fontId="5" fillId="3" borderId="0" xfId="1" applyFont="1" applyFill="1" applyBorder="1" applyProtection="1"/>
    <xf numFmtId="0" fontId="5" fillId="3" borderId="13" xfId="0" applyFont="1" applyFill="1" applyBorder="1"/>
    <xf numFmtId="0" fontId="5" fillId="3" borderId="14" xfId="0" applyFont="1" applyFill="1" applyBorder="1"/>
    <xf numFmtId="43" fontId="2" fillId="0" borderId="0" xfId="1" applyFont="1"/>
    <xf numFmtId="43" fontId="2" fillId="0" borderId="0" xfId="0" applyNumberFormat="1" applyFont="1"/>
    <xf numFmtId="0" fontId="5" fillId="0" borderId="16" xfId="0" applyFont="1" applyBorder="1" applyAlignment="1">
      <alignment vertical="top"/>
    </xf>
    <xf numFmtId="10" fontId="5" fillId="0" borderId="15" xfId="2" applyNumberFormat="1" applyFont="1" applyBorder="1"/>
    <xf numFmtId="10" fontId="5" fillId="0" borderId="15" xfId="0" applyNumberFormat="1" applyFont="1" applyBorder="1"/>
    <xf numFmtId="0" fontId="7" fillId="0" borderId="7" xfId="0" applyFont="1" applyBorder="1"/>
    <xf numFmtId="0" fontId="5" fillId="4" borderId="9" xfId="0" applyFont="1" applyFill="1" applyBorder="1"/>
    <xf numFmtId="43" fontId="5" fillId="4" borderId="12" xfId="1" applyFont="1" applyFill="1" applyBorder="1" applyProtection="1"/>
    <xf numFmtId="43" fontId="5" fillId="4" borderId="10" xfId="1" applyFont="1" applyFill="1" applyBorder="1" applyProtection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2" applyNumberFormat="1" applyFont="1"/>
    <xf numFmtId="10" fontId="2" fillId="0" borderId="0" xfId="2" applyNumberFormat="1" applyFont="1"/>
    <xf numFmtId="9" fontId="2" fillId="0" borderId="0" xfId="2" applyFont="1"/>
    <xf numFmtId="43" fontId="9" fillId="0" borderId="0" xfId="0" applyNumberFormat="1" applyFont="1"/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43" fontId="4" fillId="0" borderId="0" xfId="0" applyNumberFormat="1" applyFont="1"/>
    <xf numFmtId="0" fontId="7" fillId="0" borderId="19" xfId="0" applyFont="1" applyBorder="1"/>
    <xf numFmtId="43" fontId="2" fillId="0" borderId="20" xfId="0" applyNumberFormat="1" applyFont="1" applyBorder="1"/>
    <xf numFmtId="43" fontId="2" fillId="0" borderId="13" xfId="0" applyNumberFormat="1" applyFont="1" applyBorder="1"/>
    <xf numFmtId="43" fontId="2" fillId="0" borderId="14" xfId="0" applyNumberFormat="1" applyFont="1" applyBorder="1"/>
    <xf numFmtId="43" fontId="7" fillId="0" borderId="19" xfId="0" applyNumberFormat="1" applyFont="1" applyBorder="1" applyAlignment="1">
      <alignment horizontal="left"/>
    </xf>
    <xf numFmtId="10" fontId="5" fillId="0" borderId="0" xfId="0" applyNumberFormat="1" applyFont="1"/>
    <xf numFmtId="43" fontId="5" fillId="0" borderId="0" xfId="1" applyFont="1" applyBorder="1" applyProtection="1"/>
    <xf numFmtId="43" fontId="11" fillId="0" borderId="0" xfId="1" applyFont="1" applyBorder="1" applyProtection="1"/>
    <xf numFmtId="0" fontId="5" fillId="4" borderId="20" xfId="0" applyFont="1" applyFill="1" applyBorder="1"/>
    <xf numFmtId="43" fontId="5" fillId="4" borderId="7" xfId="1" applyFont="1" applyFill="1" applyBorder="1" applyProtection="1"/>
    <xf numFmtId="0" fontId="2" fillId="5" borderId="0" xfId="0" applyFont="1" applyFill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6" xfId="0" applyFont="1" applyFill="1" applyBorder="1"/>
    <xf numFmtId="0" fontId="2" fillId="5" borderId="18" xfId="0" applyFont="1" applyFill="1" applyBorder="1"/>
    <xf numFmtId="0" fontId="2" fillId="5" borderId="17" xfId="0" applyFont="1" applyFill="1" applyBorder="1"/>
    <xf numFmtId="0" fontId="12" fillId="5" borderId="20" xfId="0" applyFont="1" applyFill="1" applyBorder="1"/>
    <xf numFmtId="0" fontId="12" fillId="5" borderId="13" xfId="0" applyFont="1" applyFill="1" applyBorder="1"/>
    <xf numFmtId="0" fontId="12" fillId="5" borderId="14" xfId="0" applyFont="1" applyFill="1" applyBorder="1"/>
    <xf numFmtId="9" fontId="5" fillId="0" borderId="0" xfId="2" applyFont="1" applyFill="1" applyBorder="1" applyProtection="1"/>
    <xf numFmtId="0" fontId="13" fillId="0" borderId="7" xfId="0" applyFont="1" applyBorder="1"/>
    <xf numFmtId="9" fontId="9" fillId="6" borderId="0" xfId="2" applyFont="1" applyFill="1"/>
    <xf numFmtId="9" fontId="9" fillId="0" borderId="0" xfId="2" applyFont="1"/>
    <xf numFmtId="43" fontId="0" fillId="0" borderId="0" xfId="1" applyFont="1"/>
    <xf numFmtId="2" fontId="2" fillId="0" borderId="0" xfId="0" applyNumberFormat="1" applyFont="1"/>
    <xf numFmtId="43" fontId="2" fillId="7" borderId="0" xfId="0" applyNumberFormat="1" applyFont="1" applyFill="1"/>
    <xf numFmtId="43" fontId="11" fillId="0" borderId="0" xfId="1" applyFont="1" applyFill="1" applyBorder="1" applyProtection="1"/>
    <xf numFmtId="43" fontId="11" fillId="2" borderId="0" xfId="1" applyFont="1" applyFill="1" applyBorder="1" applyProtection="1"/>
    <xf numFmtId="0" fontId="1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17" fontId="4" fillId="0" borderId="2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4EB35"/>
      <color rgb="FFCC990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66676</xdr:rowOff>
    </xdr:from>
    <xdr:to>
      <xdr:col>1</xdr:col>
      <xdr:colOff>352425</xdr:colOff>
      <xdr:row>2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F7D03B-0CA6-447E-87B2-CD9B3A905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66676"/>
          <a:ext cx="3048000" cy="6286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247650</xdr:colOff>
      <xdr:row>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5267325" cy="14382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eekly%20Reports\2024\REVENUE%20BY%20CENTER\JANUARY%2024\1ST%20JAN.%2024%20TO%20%207TH%20JAN.%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R%20ACCOUNTS/Desktop/SVR%20FINANCIALS/02---FEBRUARY%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"/>
      <sheetName val="BEVERAGE"/>
      <sheetName val="RECREATION"/>
      <sheetName val="BUTLER"/>
      <sheetName val="CABIN"/>
      <sheetName val="CONFERENCE"/>
      <sheetName val="SPA"/>
      <sheetName val="CIGAR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J7">
            <v>2091220.3927999996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1st "/>
      <sheetName val=" 2nd"/>
      <sheetName val="3rd "/>
      <sheetName val="4th"/>
      <sheetName val="5th"/>
      <sheetName val="6th"/>
      <sheetName val="7th"/>
      <sheetName val="8th"/>
      <sheetName val="9th"/>
      <sheetName val="10th"/>
      <sheetName val="11th"/>
      <sheetName val="12th"/>
      <sheetName val="13th"/>
      <sheetName val="14th"/>
      <sheetName val="15th"/>
      <sheetName val="16th"/>
      <sheetName val="17th"/>
      <sheetName val="18th"/>
      <sheetName val="19th"/>
      <sheetName val="20th"/>
      <sheetName val="21th"/>
      <sheetName val="22nd"/>
      <sheetName val="23rd "/>
      <sheetName val="24th"/>
      <sheetName val="25th"/>
      <sheetName val="26th"/>
      <sheetName val="27th"/>
      <sheetName val="28th"/>
      <sheetName val="29th"/>
      <sheetName val="1st"/>
      <sheetName val="2nd"/>
      <sheetName val="3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F3">
            <v>9194.61</v>
          </cell>
        </row>
      </sheetData>
      <sheetData sheetId="19">
        <row r="3">
          <cell r="F3">
            <v>1627.317</v>
          </cell>
        </row>
      </sheetData>
      <sheetData sheetId="20">
        <row r="3">
          <cell r="F3">
            <v>42962.52</v>
          </cell>
        </row>
      </sheetData>
      <sheetData sheetId="21">
        <row r="3">
          <cell r="F3">
            <v>21464.95</v>
          </cell>
        </row>
      </sheetData>
      <sheetData sheetId="22">
        <row r="3">
          <cell r="F3">
            <v>11106.74</v>
          </cell>
        </row>
      </sheetData>
      <sheetData sheetId="23">
        <row r="3">
          <cell r="F3">
            <v>56836.04</v>
          </cell>
        </row>
      </sheetData>
      <sheetData sheetId="24">
        <row r="3">
          <cell r="F3">
            <v>46746.22</v>
          </cell>
        </row>
      </sheetData>
      <sheetData sheetId="25">
        <row r="3">
          <cell r="F3">
            <v>9398.0300000000007</v>
          </cell>
        </row>
      </sheetData>
      <sheetData sheetId="26">
        <row r="3">
          <cell r="F3">
            <v>9316.68</v>
          </cell>
        </row>
      </sheetData>
      <sheetData sheetId="27">
        <row r="3">
          <cell r="F3">
            <v>10862.66</v>
          </cell>
        </row>
      </sheetData>
      <sheetData sheetId="28">
        <row r="3">
          <cell r="F3">
            <v>30757.29</v>
          </cell>
        </row>
      </sheetData>
      <sheetData sheetId="29">
        <row r="3">
          <cell r="F3">
            <v>10659.22</v>
          </cell>
        </row>
      </sheetData>
      <sheetData sheetId="30">
        <row r="3">
          <cell r="F3">
            <v>42738.59</v>
          </cell>
        </row>
      </sheetData>
      <sheetData sheetId="31">
        <row r="3">
          <cell r="F3">
            <v>14768.37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527"/>
  <sheetViews>
    <sheetView tabSelected="1" view="pageBreakPreview" topLeftCell="A1011" zoomScaleNormal="100" zoomScaleSheetLayoutView="100" workbookViewId="0">
      <selection activeCell="D1498" sqref="D1498"/>
    </sheetView>
  </sheetViews>
  <sheetFormatPr defaultColWidth="9.140625" defaultRowHeight="18.75" x14ac:dyDescent="0.3"/>
  <cols>
    <col min="1" max="1" width="41.85546875" style="1" customWidth="1"/>
    <col min="2" max="6" width="16" style="1" bestFit="1" customWidth="1"/>
    <col min="7" max="7" width="18.28515625" style="1" bestFit="1" customWidth="1"/>
    <col min="8" max="8" width="19.140625" style="1" customWidth="1"/>
    <col min="9" max="10" width="21.140625" style="1" customWidth="1"/>
    <col min="11" max="11" width="18.7109375" style="1" customWidth="1"/>
    <col min="12" max="12" width="18.28515625" style="1" bestFit="1" customWidth="1"/>
    <col min="13" max="13" width="20.5703125" style="1" customWidth="1"/>
    <col min="14" max="14" width="18.28515625" style="1" bestFit="1" customWidth="1"/>
    <col min="15" max="18" width="16" style="1" bestFit="1" customWidth="1"/>
    <col min="19" max="19" width="18.28515625" style="1" bestFit="1" customWidth="1"/>
    <col min="20" max="16384" width="9.140625" style="1"/>
  </cols>
  <sheetData>
    <row r="2" spans="1:11" x14ac:dyDescent="0.3">
      <c r="G2" s="76"/>
      <c r="H2" s="76"/>
      <c r="I2" s="76"/>
      <c r="J2" s="45"/>
      <c r="K2" s="45"/>
    </row>
    <row r="3" spans="1:11" x14ac:dyDescent="0.3">
      <c r="G3" s="76"/>
      <c r="H3" s="76"/>
      <c r="I3" s="76"/>
      <c r="J3" s="45"/>
      <c r="K3" s="45"/>
    </row>
    <row r="4" spans="1:11" x14ac:dyDescent="0.3">
      <c r="G4" s="76"/>
      <c r="H4" s="76"/>
      <c r="I4" s="76"/>
      <c r="J4" s="45"/>
      <c r="K4" s="45"/>
    </row>
    <row r="5" spans="1:11" ht="22.5" x14ac:dyDescent="0.45">
      <c r="B5" s="77" t="s">
        <v>27</v>
      </c>
      <c r="C5" s="77"/>
      <c r="D5" s="77"/>
      <c r="E5" s="77"/>
      <c r="F5" s="77"/>
      <c r="G5" s="76"/>
      <c r="H5" s="76"/>
      <c r="I5" s="76"/>
      <c r="J5" s="45"/>
      <c r="K5" s="45"/>
    </row>
    <row r="6" spans="1:11" x14ac:dyDescent="0.3">
      <c r="B6" s="2" t="s">
        <v>26</v>
      </c>
      <c r="C6" s="78" t="s">
        <v>102</v>
      </c>
      <c r="D6" s="78"/>
      <c r="E6" s="78"/>
    </row>
    <row r="7" spans="1:11" ht="9.75" customHeight="1" x14ac:dyDescent="0.3">
      <c r="A7" s="3"/>
      <c r="C7" s="1" t="s">
        <v>38</v>
      </c>
      <c r="G7" s="3"/>
      <c r="H7" s="3"/>
      <c r="I7" s="3"/>
    </row>
    <row r="8" spans="1:11" x14ac:dyDescent="0.3">
      <c r="B8" s="37"/>
      <c r="C8" s="37"/>
      <c r="D8" s="37"/>
      <c r="E8" s="37"/>
      <c r="F8" s="37"/>
      <c r="G8" s="37"/>
      <c r="H8" s="37"/>
      <c r="I8" s="37"/>
      <c r="J8" s="37"/>
      <c r="K8" s="37"/>
    </row>
    <row r="9" spans="1:11" x14ac:dyDescent="0.3">
      <c r="A9" s="4" t="s">
        <v>36</v>
      </c>
      <c r="B9" s="5" t="s">
        <v>0</v>
      </c>
      <c r="C9" s="5" t="s">
        <v>1</v>
      </c>
      <c r="D9" s="5" t="s">
        <v>2</v>
      </c>
      <c r="E9" s="6" t="s">
        <v>3</v>
      </c>
      <c r="F9" s="5" t="s">
        <v>4</v>
      </c>
      <c r="G9" s="5" t="s">
        <v>5</v>
      </c>
      <c r="H9" s="5" t="s">
        <v>6</v>
      </c>
      <c r="I9" s="5" t="s">
        <v>7</v>
      </c>
      <c r="J9" s="11"/>
      <c r="K9" s="11"/>
    </row>
    <row r="10" spans="1:11" x14ac:dyDescent="0.3">
      <c r="A10" s="7"/>
      <c r="B10" s="8">
        <v>45292</v>
      </c>
      <c r="C10" s="8">
        <v>45293</v>
      </c>
      <c r="D10" s="8">
        <v>45294</v>
      </c>
      <c r="E10" s="8">
        <v>45295</v>
      </c>
      <c r="F10" s="8">
        <v>45296</v>
      </c>
      <c r="G10" s="8">
        <v>45297</v>
      </c>
      <c r="H10" s="8">
        <v>45298</v>
      </c>
      <c r="I10" s="9"/>
      <c r="J10" s="11"/>
      <c r="K10" s="11"/>
    </row>
    <row r="11" spans="1:11" ht="19.5" thickBot="1" x14ac:dyDescent="0.35">
      <c r="A11" s="10" t="s">
        <v>8</v>
      </c>
      <c r="B11" s="11" t="s">
        <v>9</v>
      </c>
      <c r="C11" s="11" t="s">
        <v>9</v>
      </c>
      <c r="D11" s="11" t="s">
        <v>9</v>
      </c>
      <c r="E11" s="11" t="s">
        <v>9</v>
      </c>
      <c r="F11" s="11" t="s">
        <v>9</v>
      </c>
      <c r="G11" s="11" t="s">
        <v>9</v>
      </c>
      <c r="H11" s="11" t="s">
        <v>9</v>
      </c>
      <c r="I11" s="12" t="s">
        <v>9</v>
      </c>
      <c r="J11" s="11"/>
      <c r="K11" s="11"/>
    </row>
    <row r="12" spans="1:11" x14ac:dyDescent="0.3">
      <c r="A12" s="13" t="s">
        <v>10</v>
      </c>
      <c r="B12" s="14">
        <v>51</v>
      </c>
      <c r="C12" s="14">
        <v>52</v>
      </c>
      <c r="D12" s="14">
        <v>51</v>
      </c>
      <c r="E12" s="14">
        <v>52</v>
      </c>
      <c r="F12" s="14">
        <v>52</v>
      </c>
      <c r="G12" s="14">
        <v>53</v>
      </c>
      <c r="H12" s="14">
        <v>53</v>
      </c>
      <c r="I12" s="14"/>
      <c r="J12" s="16"/>
      <c r="K12" s="16"/>
    </row>
    <row r="13" spans="1:11" x14ac:dyDescent="0.3">
      <c r="A13" s="15" t="s">
        <v>11</v>
      </c>
      <c r="B13" s="16">
        <v>2</v>
      </c>
      <c r="C13" s="16">
        <v>2</v>
      </c>
      <c r="D13" s="16">
        <v>4</v>
      </c>
      <c r="E13" s="16">
        <v>3</v>
      </c>
      <c r="F13" s="16">
        <v>6</v>
      </c>
      <c r="G13" s="16">
        <v>2</v>
      </c>
      <c r="H13" s="16">
        <v>4</v>
      </c>
      <c r="I13" s="16">
        <f>SUM(B13:H13)</f>
        <v>23</v>
      </c>
      <c r="J13" s="16"/>
      <c r="K13" s="16"/>
    </row>
    <row r="14" spans="1:11" x14ac:dyDescent="0.3">
      <c r="A14" s="15" t="s">
        <v>12</v>
      </c>
      <c r="B14" s="16">
        <v>30</v>
      </c>
      <c r="C14" s="16">
        <v>24</v>
      </c>
      <c r="D14" s="16">
        <v>34</v>
      </c>
      <c r="E14" s="16">
        <v>31</v>
      </c>
      <c r="F14" s="16">
        <v>30</v>
      </c>
      <c r="G14" s="16">
        <v>26</v>
      </c>
      <c r="H14" s="16">
        <v>13</v>
      </c>
      <c r="I14" s="16">
        <f>SUM(B14:H14)</f>
        <v>188</v>
      </c>
      <c r="J14" s="16"/>
      <c r="K14" s="16"/>
    </row>
    <row r="15" spans="1:11" x14ac:dyDescent="0.3">
      <c r="A15" s="15" t="s">
        <v>30</v>
      </c>
      <c r="B15" s="16">
        <v>5</v>
      </c>
      <c r="C15" s="16">
        <v>2</v>
      </c>
      <c r="D15" s="16">
        <v>0</v>
      </c>
      <c r="E15" s="16">
        <v>0</v>
      </c>
      <c r="F15" s="16">
        <v>0</v>
      </c>
      <c r="G15" s="16">
        <v>14</v>
      </c>
      <c r="H15" s="16">
        <v>0</v>
      </c>
      <c r="I15" s="16">
        <f>SUM(B15:H15)</f>
        <v>21</v>
      </c>
      <c r="J15" s="16"/>
      <c r="K15" s="16"/>
    </row>
    <row r="16" spans="1:11" x14ac:dyDescent="0.3">
      <c r="A16" s="15" t="s">
        <v>28</v>
      </c>
      <c r="B16" s="16">
        <v>459</v>
      </c>
      <c r="C16" s="16">
        <v>136</v>
      </c>
      <c r="D16" s="16">
        <v>76</v>
      </c>
      <c r="E16" s="16">
        <v>96</v>
      </c>
      <c r="F16" s="16">
        <v>83</v>
      </c>
      <c r="G16" s="16">
        <v>279</v>
      </c>
      <c r="H16" s="16">
        <v>172</v>
      </c>
      <c r="I16" s="16">
        <f t="shared" ref="I16:I22" si="0">B16+C16+D16+E16+F16+G16+H16</f>
        <v>1301</v>
      </c>
      <c r="J16" s="16"/>
      <c r="K16" s="16"/>
    </row>
    <row r="17" spans="1:19" x14ac:dyDescent="0.3">
      <c r="A17" s="15" t="s">
        <v>29</v>
      </c>
      <c r="B17" s="16">
        <v>42</v>
      </c>
      <c r="C17" s="16">
        <v>35</v>
      </c>
      <c r="D17" s="16">
        <v>35</v>
      </c>
      <c r="E17" s="16">
        <v>18</v>
      </c>
      <c r="F17" s="16">
        <v>18</v>
      </c>
      <c r="G17" s="16">
        <v>57</v>
      </c>
      <c r="H17" s="16">
        <v>21</v>
      </c>
      <c r="I17" s="16">
        <f t="shared" si="0"/>
        <v>226</v>
      </c>
      <c r="J17" s="16">
        <f>+I16+I17+I18+I19</f>
        <v>1655</v>
      </c>
      <c r="K17" s="16"/>
    </row>
    <row r="18" spans="1:19" x14ac:dyDescent="0.3">
      <c r="A18" s="15" t="s">
        <v>31</v>
      </c>
      <c r="B18" s="16">
        <v>9</v>
      </c>
      <c r="C18" s="16">
        <v>11</v>
      </c>
      <c r="D18" s="16">
        <v>24</v>
      </c>
      <c r="E18" s="16">
        <v>13</v>
      </c>
      <c r="F18" s="16">
        <v>15</v>
      </c>
      <c r="G18" s="16">
        <v>33</v>
      </c>
      <c r="H18" s="16">
        <v>7</v>
      </c>
      <c r="I18" s="16">
        <f t="shared" si="0"/>
        <v>112</v>
      </c>
      <c r="J18" s="16"/>
      <c r="K18" s="16"/>
    </row>
    <row r="19" spans="1:19" x14ac:dyDescent="0.3">
      <c r="A19" s="15" t="s">
        <v>13</v>
      </c>
      <c r="B19" s="16">
        <v>9</v>
      </c>
      <c r="C19" s="16">
        <v>0</v>
      </c>
      <c r="D19" s="16">
        <v>1</v>
      </c>
      <c r="E19" s="16">
        <v>1</v>
      </c>
      <c r="F19" s="16">
        <v>1</v>
      </c>
      <c r="G19" s="16">
        <v>4</v>
      </c>
      <c r="H19" s="16">
        <v>0</v>
      </c>
      <c r="I19" s="16">
        <f t="shared" si="0"/>
        <v>16</v>
      </c>
      <c r="J19" s="16"/>
      <c r="K19" s="16"/>
    </row>
    <row r="20" spans="1:19" x14ac:dyDescent="0.3">
      <c r="A20" s="15" t="s">
        <v>14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f t="shared" si="0"/>
        <v>0</v>
      </c>
      <c r="J20" s="16"/>
      <c r="K20" s="16"/>
    </row>
    <row r="21" spans="1:19" x14ac:dyDescent="0.3">
      <c r="A21" s="15" t="s">
        <v>32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f t="shared" si="0"/>
        <v>0</v>
      </c>
      <c r="J21" s="16"/>
      <c r="K21" s="16"/>
    </row>
    <row r="22" spans="1:19" x14ac:dyDescent="0.3">
      <c r="A22" s="15" t="s">
        <v>33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f t="shared" si="0"/>
        <v>0</v>
      </c>
      <c r="J22" s="16"/>
      <c r="K22" s="16"/>
    </row>
    <row r="23" spans="1:19" ht="19.5" thickBot="1" x14ac:dyDescent="0.35">
      <c r="A23" s="30" t="s">
        <v>15</v>
      </c>
      <c r="B23" s="31">
        <f t="shared" ref="B23:H23" si="1">(B14+B13)/B12*100%</f>
        <v>0.62745098039215685</v>
      </c>
      <c r="C23" s="31">
        <f t="shared" si="1"/>
        <v>0.5</v>
      </c>
      <c r="D23" s="31">
        <f t="shared" si="1"/>
        <v>0.74509803921568629</v>
      </c>
      <c r="E23" s="31">
        <f t="shared" si="1"/>
        <v>0.65384615384615385</v>
      </c>
      <c r="F23" s="31">
        <f t="shared" si="1"/>
        <v>0.69230769230769229</v>
      </c>
      <c r="G23" s="31">
        <f t="shared" si="1"/>
        <v>0.52830188679245282</v>
      </c>
      <c r="H23" s="31">
        <f t="shared" si="1"/>
        <v>0.32075471698113206</v>
      </c>
      <c r="I23" s="32">
        <f>(B23+C23+D23+E23+F23+G23+H23)/7</f>
        <v>0.58110849564789635</v>
      </c>
      <c r="J23" s="52"/>
      <c r="K23" s="52"/>
      <c r="L23" s="37">
        <f>L28-[1]SUMMARY!$J$7</f>
        <v>28186.57020000089</v>
      </c>
    </row>
    <row r="24" spans="1:19" x14ac:dyDescent="0.3">
      <c r="A24" s="33" t="s">
        <v>16</v>
      </c>
      <c r="B24" s="16"/>
      <c r="C24" s="17"/>
      <c r="D24" s="16"/>
      <c r="E24" s="18"/>
      <c r="F24" s="16"/>
      <c r="G24" s="16"/>
      <c r="H24" s="16"/>
      <c r="I24" s="16"/>
      <c r="J24" s="16"/>
      <c r="K24" s="16"/>
    </row>
    <row r="25" spans="1:19" x14ac:dyDescent="0.3">
      <c r="A25" s="15" t="s">
        <v>17</v>
      </c>
      <c r="B25" s="28">
        <v>92109.144000000015</v>
      </c>
      <c r="C25" s="28">
        <v>80329.457999999999</v>
      </c>
      <c r="D25" s="28">
        <v>93460.624000000011</v>
      </c>
      <c r="E25" s="28">
        <v>85207.326000000001</v>
      </c>
      <c r="F25" s="28">
        <v>93328.722000000009</v>
      </c>
      <c r="G25" s="28">
        <v>67023.012000000002</v>
      </c>
      <c r="H25" s="28">
        <v>26819.024000000001</v>
      </c>
      <c r="I25" s="19">
        <f>B25+C25+D25+E25+F25+G25+H25</f>
        <v>538277.31000000006</v>
      </c>
      <c r="J25" s="19"/>
      <c r="K25" s="19"/>
    </row>
    <row r="26" spans="1:19" x14ac:dyDescent="0.3">
      <c r="A26" s="15" t="s">
        <v>18</v>
      </c>
      <c r="B26" s="28">
        <v>176133.31680000003</v>
      </c>
      <c r="C26" s="28">
        <v>92166.653600000005</v>
      </c>
      <c r="D26" s="28">
        <v>94560.33560000002</v>
      </c>
      <c r="E26" s="28">
        <v>85635.587200000009</v>
      </c>
      <c r="F26" s="28">
        <v>91130.794400000013</v>
      </c>
      <c r="G26" s="28">
        <v>122286.42940000001</v>
      </c>
      <c r="H26" s="28">
        <v>62472.188800000004</v>
      </c>
      <c r="I26" s="19">
        <f>B26+C26+D26+E26+F26+G26+H26</f>
        <v>724385.30580000009</v>
      </c>
      <c r="J26" s="19"/>
      <c r="K26" s="19"/>
    </row>
    <row r="27" spans="1:19" x14ac:dyDescent="0.3">
      <c r="A27" s="15" t="s">
        <v>19</v>
      </c>
      <c r="B27" s="28">
        <v>93597.700200000007</v>
      </c>
      <c r="C27" s="28">
        <v>57569.512400000007</v>
      </c>
      <c r="D27" s="28">
        <v>60187.296000000009</v>
      </c>
      <c r="E27" s="28">
        <v>55810.035799999998</v>
      </c>
      <c r="F27" s="28">
        <v>60044.449600000007</v>
      </c>
      <c r="G27" s="28">
        <v>61576.950599999996</v>
      </c>
      <c r="H27" s="28">
        <v>26679.107200000002</v>
      </c>
      <c r="I27" s="19">
        <f>B27+C27+D27+E27+F27+G27+H27</f>
        <v>415465.05180000002</v>
      </c>
      <c r="J27" s="19"/>
      <c r="K27" s="19"/>
    </row>
    <row r="28" spans="1:19" x14ac:dyDescent="0.3">
      <c r="A28" s="15" t="s">
        <v>21</v>
      </c>
      <c r="B28" s="28">
        <v>0</v>
      </c>
      <c r="C28" s="28">
        <v>1760</v>
      </c>
      <c r="D28" s="28">
        <v>4160.0384000000004</v>
      </c>
      <c r="E28" s="28">
        <v>3832.1280000000002</v>
      </c>
      <c r="F28" s="28">
        <v>0</v>
      </c>
      <c r="G28" s="28">
        <v>3360.7200000000003</v>
      </c>
      <c r="H28" s="28">
        <v>0</v>
      </c>
      <c r="I28" s="19">
        <f>B28+C28+D28+E28+F28+G28+H28</f>
        <v>13112.886399999999</v>
      </c>
      <c r="J28" s="19"/>
      <c r="K28" s="19"/>
      <c r="L28" s="37">
        <f>I30+'ECO PARK'!I30</f>
        <v>2119406.9630000005</v>
      </c>
    </row>
    <row r="29" spans="1:19" ht="19.5" thickBot="1" x14ac:dyDescent="0.35">
      <c r="A29" s="15" t="s">
        <v>22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19">
        <f>B29+C29+D29+E29+F29+G29+H29</f>
        <v>0</v>
      </c>
      <c r="J29" s="19"/>
      <c r="K29" s="19"/>
    </row>
    <row r="30" spans="1:19" ht="19.5" thickBot="1" x14ac:dyDescent="0.35">
      <c r="A30" s="20" t="s">
        <v>7</v>
      </c>
      <c r="B30" s="21">
        <f t="shared" ref="B30:I30" si="2">B25+B26+B27+B28+B29</f>
        <v>361840.16100000008</v>
      </c>
      <c r="C30" s="21">
        <f t="shared" si="2"/>
        <v>231825.62400000001</v>
      </c>
      <c r="D30" s="21">
        <f t="shared" si="2"/>
        <v>252368.29400000002</v>
      </c>
      <c r="E30" s="21">
        <f t="shared" si="2"/>
        <v>230485.07700000002</v>
      </c>
      <c r="F30" s="21">
        <f t="shared" si="2"/>
        <v>244503.96600000001</v>
      </c>
      <c r="G30" s="21">
        <f t="shared" si="2"/>
        <v>254247.11199999999</v>
      </c>
      <c r="H30" s="21">
        <f t="shared" si="2"/>
        <v>115970.32</v>
      </c>
      <c r="I30" s="21">
        <f t="shared" si="2"/>
        <v>1691240.5540000002</v>
      </c>
      <c r="J30" s="53"/>
      <c r="K30" s="53"/>
      <c r="L30" s="29">
        <f>B30+'ECO PARK'!B30</f>
        <v>482881.14000000013</v>
      </c>
      <c r="M30" s="29">
        <f>C30+'ECO PARK'!C30</f>
        <v>283570.71000000002</v>
      </c>
      <c r="N30" s="29">
        <f>D30+'ECO PARK'!D30</f>
        <v>298624.24000000005</v>
      </c>
      <c r="O30" s="29">
        <f>E30+'ECO PARK'!E30</f>
        <v>274399.80000000005</v>
      </c>
      <c r="P30" s="29">
        <f>F30+'ECO PARK'!F30</f>
        <v>287205.83</v>
      </c>
      <c r="Q30" s="29">
        <f>G30+'ECO PARK'!G30</f>
        <v>339130.18299999996</v>
      </c>
      <c r="R30" s="29">
        <f>H30+'ECO PARK'!H30</f>
        <v>153595.06</v>
      </c>
      <c r="S30" s="29">
        <f>I30+'ECO PARK'!I30</f>
        <v>2119406.9630000005</v>
      </c>
    </row>
    <row r="31" spans="1:19" ht="19.5" thickTop="1" x14ac:dyDescent="0.3">
      <c r="A31" s="22" t="s">
        <v>20</v>
      </c>
      <c r="B31" s="23">
        <f>246407.32*0.6</f>
        <v>147844.39199999999</v>
      </c>
      <c r="C31" s="23">
        <f>79293.16*0.6</f>
        <v>47575.896000000001</v>
      </c>
      <c r="D31" s="23">
        <f>55601.96*0.6</f>
        <v>33361.175999999999</v>
      </c>
      <c r="E31" s="23">
        <f>55859.16*0.6</f>
        <v>33515.495999999999</v>
      </c>
      <c r="F31" s="23">
        <f>50163.44*0.6</f>
        <v>30098.063999999998</v>
      </c>
      <c r="G31" s="23">
        <f>165986.9*0.6</f>
        <v>99592.14</v>
      </c>
      <c r="H31" s="23">
        <f>83402.48*0.6</f>
        <v>50041.487999999998</v>
      </c>
      <c r="I31" s="23">
        <f>B31+C31+D31+E31+F31+G31+H31</f>
        <v>442028.65200000006</v>
      </c>
      <c r="J31" s="23"/>
      <c r="K31" s="23"/>
    </row>
    <row r="32" spans="1:19" x14ac:dyDescent="0.3">
      <c r="A32" s="24" t="s">
        <v>25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2" x14ac:dyDescent="0.3">
      <c r="A33" s="26" t="s">
        <v>23</v>
      </c>
      <c r="B33" s="25">
        <v>0</v>
      </c>
      <c r="C33" s="25">
        <v>24410.09</v>
      </c>
      <c r="D33" s="25">
        <v>24410.09</v>
      </c>
      <c r="E33" s="25">
        <v>48820.18</v>
      </c>
      <c r="F33" s="25">
        <v>65093.57</v>
      </c>
      <c r="G33" s="25">
        <v>0</v>
      </c>
      <c r="H33" s="25">
        <v>0</v>
      </c>
      <c r="I33" s="25">
        <f>B33+C33+D33+E33+F33+G33+H33</f>
        <v>162733.93</v>
      </c>
      <c r="J33" s="25"/>
      <c r="K33" s="25"/>
    </row>
    <row r="34" spans="1:12" ht="19.5" thickBot="1" x14ac:dyDescent="0.35">
      <c r="A34" s="27" t="s">
        <v>24</v>
      </c>
      <c r="B34" s="25">
        <v>29292.11</v>
      </c>
      <c r="C34" s="25">
        <v>24410.09</v>
      </c>
      <c r="D34" s="25">
        <v>40683.49</v>
      </c>
      <c r="E34" s="25">
        <v>24410.09</v>
      </c>
      <c r="F34" s="25">
        <v>32546.79</v>
      </c>
      <c r="G34" s="25">
        <v>32546.79</v>
      </c>
      <c r="H34" s="25">
        <v>61838.89</v>
      </c>
      <c r="I34" s="25">
        <f>B34+C34+D34+E34+F34+G34+H34</f>
        <v>245728.25</v>
      </c>
      <c r="J34" s="25"/>
      <c r="K34" s="25"/>
      <c r="L34" s="72">
        <f>I31+I85+I58+I115+B144+C144+D144</f>
        <v>707224.52600000007</v>
      </c>
    </row>
    <row r="36" spans="1:12" x14ac:dyDescent="0.3">
      <c r="A36" s="4" t="s">
        <v>37</v>
      </c>
      <c r="B36" s="5" t="s">
        <v>0</v>
      </c>
      <c r="C36" s="5" t="s">
        <v>1</v>
      </c>
      <c r="D36" s="5" t="s">
        <v>2</v>
      </c>
      <c r="E36" s="6" t="s">
        <v>3</v>
      </c>
      <c r="F36" s="5" t="s">
        <v>4</v>
      </c>
      <c r="G36" s="5" t="s">
        <v>5</v>
      </c>
      <c r="H36" s="5" t="s">
        <v>6</v>
      </c>
      <c r="I36" s="5" t="s">
        <v>7</v>
      </c>
      <c r="J36" s="11"/>
      <c r="K36" s="11"/>
    </row>
    <row r="37" spans="1:12" x14ac:dyDescent="0.3">
      <c r="A37" s="7"/>
      <c r="B37" s="8">
        <v>45299</v>
      </c>
      <c r="C37" s="8">
        <v>45300</v>
      </c>
      <c r="D37" s="8">
        <v>45301</v>
      </c>
      <c r="E37" s="8">
        <v>45302</v>
      </c>
      <c r="F37" s="8">
        <v>45303</v>
      </c>
      <c r="G37" s="8">
        <v>45304</v>
      </c>
      <c r="H37" s="8">
        <v>45305</v>
      </c>
      <c r="I37" s="9"/>
      <c r="J37" s="11"/>
      <c r="K37" s="11"/>
    </row>
    <row r="38" spans="1:12" ht="19.5" thickBot="1" x14ac:dyDescent="0.35">
      <c r="A38" s="10" t="s">
        <v>8</v>
      </c>
      <c r="B38" s="11" t="s">
        <v>9</v>
      </c>
      <c r="C38" s="11" t="s">
        <v>9</v>
      </c>
      <c r="D38" s="11" t="s">
        <v>9</v>
      </c>
      <c r="E38" s="11" t="s">
        <v>9</v>
      </c>
      <c r="F38" s="11" t="s">
        <v>9</v>
      </c>
      <c r="G38" s="11" t="s">
        <v>9</v>
      </c>
      <c r="H38" s="11" t="s">
        <v>9</v>
      </c>
      <c r="I38" s="12" t="s">
        <v>9</v>
      </c>
      <c r="J38" s="11"/>
      <c r="K38" s="11"/>
    </row>
    <row r="39" spans="1:12" x14ac:dyDescent="0.3">
      <c r="A39" s="13" t="s">
        <v>10</v>
      </c>
      <c r="B39" s="14">
        <v>52</v>
      </c>
      <c r="C39" s="14">
        <v>52</v>
      </c>
      <c r="D39" s="14">
        <v>52</v>
      </c>
      <c r="E39" s="14">
        <v>52</v>
      </c>
      <c r="F39" s="14">
        <v>54</v>
      </c>
      <c r="G39" s="14">
        <v>54</v>
      </c>
      <c r="H39" s="14">
        <v>53</v>
      </c>
      <c r="I39" s="14"/>
      <c r="J39" s="16"/>
      <c r="K39" s="16"/>
    </row>
    <row r="40" spans="1:12" x14ac:dyDescent="0.3">
      <c r="A40" s="15" t="s">
        <v>11</v>
      </c>
      <c r="B40" s="16">
        <v>5</v>
      </c>
      <c r="C40" s="16">
        <v>2</v>
      </c>
      <c r="D40" s="16">
        <v>0</v>
      </c>
      <c r="E40" s="16">
        <v>1</v>
      </c>
      <c r="F40" s="16">
        <v>0</v>
      </c>
      <c r="G40" s="16">
        <v>1</v>
      </c>
      <c r="H40" s="16">
        <v>3</v>
      </c>
      <c r="I40" s="16">
        <f>SUM(B40:H40)</f>
        <v>12</v>
      </c>
      <c r="J40" s="16"/>
      <c r="K40" s="16"/>
    </row>
    <row r="41" spans="1:12" x14ac:dyDescent="0.3">
      <c r="A41" s="15" t="s">
        <v>12</v>
      </c>
      <c r="B41" s="16">
        <v>3</v>
      </c>
      <c r="C41" s="16">
        <v>14</v>
      </c>
      <c r="D41" s="16">
        <v>11</v>
      </c>
      <c r="E41" s="16">
        <v>25</v>
      </c>
      <c r="F41" s="16">
        <v>46</v>
      </c>
      <c r="G41" s="16">
        <v>48</v>
      </c>
      <c r="H41" s="16">
        <v>3</v>
      </c>
      <c r="I41" s="16">
        <f>SUM(B41:H41)</f>
        <v>150</v>
      </c>
      <c r="J41" s="16"/>
      <c r="K41" s="16"/>
    </row>
    <row r="42" spans="1:12" x14ac:dyDescent="0.3">
      <c r="A42" s="15" t="s">
        <v>30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f>SUM(B42:H42)</f>
        <v>0</v>
      </c>
      <c r="J42" s="16">
        <f>I43+I44+I45+I46</f>
        <v>495</v>
      </c>
      <c r="K42" s="16"/>
    </row>
    <row r="43" spans="1:12" x14ac:dyDescent="0.3">
      <c r="A43" s="15" t="s">
        <v>28</v>
      </c>
      <c r="B43" s="16">
        <v>133</v>
      </c>
      <c r="C43" s="16">
        <v>5</v>
      </c>
      <c r="D43" s="16">
        <v>42</v>
      </c>
      <c r="E43" s="16">
        <v>28</v>
      </c>
      <c r="F43" s="16">
        <v>22</v>
      </c>
      <c r="G43" s="16">
        <v>115</v>
      </c>
      <c r="H43" s="16">
        <v>43</v>
      </c>
      <c r="I43" s="16">
        <f t="shared" ref="I43:I49" si="3">B43+C43+D43+E43+F43+G43+H43</f>
        <v>388</v>
      </c>
      <c r="J43" s="16"/>
      <c r="K43" s="16"/>
    </row>
    <row r="44" spans="1:12" x14ac:dyDescent="0.3">
      <c r="A44" s="15" t="s">
        <v>29</v>
      </c>
      <c r="B44" s="16">
        <v>23</v>
      </c>
      <c r="C44" s="16">
        <v>2</v>
      </c>
      <c r="D44" s="16">
        <v>1</v>
      </c>
      <c r="E44" s="16">
        <v>3</v>
      </c>
      <c r="F44" s="16">
        <v>0</v>
      </c>
      <c r="G44" s="16">
        <v>18</v>
      </c>
      <c r="H44" s="16">
        <v>6</v>
      </c>
      <c r="I44" s="16">
        <f t="shared" si="3"/>
        <v>53</v>
      </c>
      <c r="J44" s="16"/>
      <c r="K44" s="16"/>
    </row>
    <row r="45" spans="1:12" x14ac:dyDescent="0.3">
      <c r="A45" s="15" t="s">
        <v>31</v>
      </c>
      <c r="B45" s="16">
        <v>17</v>
      </c>
      <c r="C45" s="16">
        <v>8</v>
      </c>
      <c r="D45" s="16">
        <v>5</v>
      </c>
      <c r="E45" s="16">
        <v>1</v>
      </c>
      <c r="F45" s="16">
        <v>0</v>
      </c>
      <c r="G45" s="16">
        <v>18</v>
      </c>
      <c r="H45" s="16">
        <v>3</v>
      </c>
      <c r="I45" s="16">
        <f t="shared" si="3"/>
        <v>52</v>
      </c>
      <c r="J45" s="16"/>
      <c r="K45" s="16"/>
    </row>
    <row r="46" spans="1:12" x14ac:dyDescent="0.3">
      <c r="A46" s="15" t="s">
        <v>13</v>
      </c>
      <c r="B46" s="16">
        <v>0</v>
      </c>
      <c r="C46" s="16">
        <v>0</v>
      </c>
      <c r="D46" s="16">
        <v>0</v>
      </c>
      <c r="E46" s="16">
        <v>0</v>
      </c>
      <c r="F46" s="16">
        <v>1</v>
      </c>
      <c r="G46" s="16">
        <v>0</v>
      </c>
      <c r="H46" s="16">
        <v>1</v>
      </c>
      <c r="I46" s="16">
        <f t="shared" si="3"/>
        <v>2</v>
      </c>
      <c r="J46" s="16"/>
      <c r="K46" s="16"/>
    </row>
    <row r="47" spans="1:12" x14ac:dyDescent="0.3">
      <c r="A47" s="15" t="s">
        <v>14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f t="shared" si="3"/>
        <v>0</v>
      </c>
      <c r="J47" s="16"/>
      <c r="K47" s="16"/>
    </row>
    <row r="48" spans="1:12" x14ac:dyDescent="0.3">
      <c r="A48" s="15" t="s">
        <v>32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f t="shared" si="3"/>
        <v>0</v>
      </c>
      <c r="J48" s="16"/>
      <c r="K48" s="16"/>
    </row>
    <row r="49" spans="1:19" x14ac:dyDescent="0.3">
      <c r="A49" s="15" t="s">
        <v>33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f t="shared" si="3"/>
        <v>0</v>
      </c>
      <c r="J49" s="16"/>
      <c r="K49" s="16"/>
    </row>
    <row r="50" spans="1:19" ht="19.5" thickBot="1" x14ac:dyDescent="0.35">
      <c r="A50" s="30" t="s">
        <v>15</v>
      </c>
      <c r="B50" s="31">
        <f t="shared" ref="B50:H50" si="4">(B41+B40)/B39*100%</f>
        <v>0.15384615384615385</v>
      </c>
      <c r="C50" s="31">
        <f t="shared" si="4"/>
        <v>0.30769230769230771</v>
      </c>
      <c r="D50" s="31">
        <f t="shared" si="4"/>
        <v>0.21153846153846154</v>
      </c>
      <c r="E50" s="31">
        <f t="shared" si="4"/>
        <v>0.5</v>
      </c>
      <c r="F50" s="31">
        <f t="shared" si="4"/>
        <v>0.85185185185185186</v>
      </c>
      <c r="G50" s="31">
        <f t="shared" si="4"/>
        <v>0.90740740740740744</v>
      </c>
      <c r="H50" s="31">
        <f t="shared" si="4"/>
        <v>0.11320754716981132</v>
      </c>
      <c r="I50" s="32">
        <f>(B50+C50+D50+E50+F50+G50+H50)/7</f>
        <v>0.43507767564371341</v>
      </c>
      <c r="J50" s="52"/>
      <c r="K50" s="52"/>
    </row>
    <row r="51" spans="1:19" x14ac:dyDescent="0.3">
      <c r="A51" s="33" t="s">
        <v>16</v>
      </c>
      <c r="B51" s="16"/>
      <c r="C51" s="17"/>
      <c r="D51" s="16"/>
      <c r="E51" s="18"/>
      <c r="F51" s="16"/>
      <c r="G51" s="16"/>
      <c r="H51" s="16"/>
      <c r="I51" s="16"/>
      <c r="J51" s="16"/>
      <c r="K51" s="16"/>
    </row>
    <row r="52" spans="1:19" x14ac:dyDescent="0.3">
      <c r="A52" s="15" t="s">
        <v>17</v>
      </c>
      <c r="B52" s="28">
        <v>7811.3640000000005</v>
      </c>
      <c r="C52" s="28">
        <v>24090.577499999999</v>
      </c>
      <c r="D52" s="28">
        <v>18679.552</v>
      </c>
      <c r="E52" s="28">
        <v>51052.371500000001</v>
      </c>
      <c r="F52" s="28">
        <v>65319.387999999992</v>
      </c>
      <c r="G52" s="28">
        <v>79397.542999999991</v>
      </c>
      <c r="H52" s="28">
        <v>9438.7440000000006</v>
      </c>
      <c r="I52" s="19">
        <f>B52+C52+D52+E52+F52+G52+H52</f>
        <v>255789.53999999998</v>
      </c>
      <c r="J52" s="19"/>
      <c r="K52" s="19"/>
    </row>
    <row r="53" spans="1:19" x14ac:dyDescent="0.3">
      <c r="A53" s="15" t="s">
        <v>18</v>
      </c>
      <c r="B53" s="28">
        <v>40377.394300000007</v>
      </c>
      <c r="C53" s="28">
        <v>20755.371000000003</v>
      </c>
      <c r="D53" s="28">
        <v>25419.848900000005</v>
      </c>
      <c r="E53" s="28">
        <v>45467.650999999998</v>
      </c>
      <c r="F53" s="28">
        <v>56773.503900000003</v>
      </c>
      <c r="G53" s="28">
        <v>94156.474900000016</v>
      </c>
      <c r="H53" s="28">
        <v>17903.052300000003</v>
      </c>
      <c r="I53" s="19">
        <f>B53+C53+D53+E53+F53+G53+H53</f>
        <v>300853.29630000005</v>
      </c>
      <c r="J53" s="19"/>
      <c r="K53" s="19"/>
    </row>
    <row r="54" spans="1:19" x14ac:dyDescent="0.3">
      <c r="A54" s="15" t="s">
        <v>19</v>
      </c>
      <c r="B54" s="28">
        <v>16167.8817</v>
      </c>
      <c r="C54" s="28">
        <v>14335.4935</v>
      </c>
      <c r="D54" s="28">
        <v>15270.763100000002</v>
      </c>
      <c r="E54" s="28">
        <v>30060.9859</v>
      </c>
      <c r="F54" s="28">
        <v>37968.773699999998</v>
      </c>
      <c r="G54" s="28">
        <v>54497.826699999998</v>
      </c>
      <c r="H54" s="28">
        <v>12341.589699999999</v>
      </c>
      <c r="I54" s="19">
        <f>B54+C54+D54+E54+F54+G54+H54</f>
        <v>180643.31430000003</v>
      </c>
      <c r="J54" s="19"/>
      <c r="K54" s="19"/>
    </row>
    <row r="55" spans="1:19" x14ac:dyDescent="0.3">
      <c r="A55" s="15" t="s">
        <v>21</v>
      </c>
      <c r="B55" s="28">
        <v>0</v>
      </c>
      <c r="C55" s="28">
        <v>3274.5960000000005</v>
      </c>
      <c r="D55" s="28">
        <v>3600.0640000000003</v>
      </c>
      <c r="E55" s="28">
        <v>8432.9575999999997</v>
      </c>
      <c r="F55" s="28">
        <v>12995.974399999999</v>
      </c>
      <c r="G55" s="28">
        <v>16511.342400000001</v>
      </c>
      <c r="H55" s="28">
        <v>0</v>
      </c>
      <c r="I55" s="19">
        <f>B55+C55+D55+E55+F55+G55+H55</f>
        <v>44814.934399999998</v>
      </c>
      <c r="J55" s="19"/>
      <c r="K55" s="19"/>
    </row>
    <row r="56" spans="1:19" ht="19.5" thickBot="1" x14ac:dyDescent="0.35">
      <c r="A56" s="15" t="s">
        <v>22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8000</v>
      </c>
      <c r="I56" s="19">
        <f>B56+C56+D56+E56+F56+G56+H56</f>
        <v>8000</v>
      </c>
      <c r="J56" s="19"/>
      <c r="K56" s="19"/>
    </row>
    <row r="57" spans="1:19" ht="19.5" thickBot="1" x14ac:dyDescent="0.35">
      <c r="A57" s="20" t="s">
        <v>7</v>
      </c>
      <c r="B57" s="21">
        <f t="shared" ref="B57:I57" si="5">B52+B53+B54+B55+B56</f>
        <v>64356.640000000007</v>
      </c>
      <c r="C57" s="21">
        <f t="shared" si="5"/>
        <v>62456.037999999993</v>
      </c>
      <c r="D57" s="21">
        <f t="shared" si="5"/>
        <v>62970.22800000001</v>
      </c>
      <c r="E57" s="21">
        <f t="shared" si="5"/>
        <v>135013.96599999999</v>
      </c>
      <c r="F57" s="21">
        <f t="shared" si="5"/>
        <v>173057.63999999998</v>
      </c>
      <c r="G57" s="21">
        <f t="shared" si="5"/>
        <v>244563.18700000001</v>
      </c>
      <c r="H57" s="21">
        <f t="shared" si="5"/>
        <v>47683.385999999999</v>
      </c>
      <c r="I57" s="21">
        <f t="shared" si="5"/>
        <v>790101.08500000008</v>
      </c>
      <c r="J57" s="53"/>
      <c r="K57" s="53"/>
      <c r="L57" s="29"/>
      <c r="M57" s="29">
        <f>C57+'ECO PARK'!C53</f>
        <v>71122.17</v>
      </c>
      <c r="N57" s="29">
        <f>D57+'ECO PARK'!D53</f>
        <v>77739.030000000013</v>
      </c>
      <c r="O57" s="29">
        <f>E57+'ECO PARK'!E53</f>
        <v>155010.16999999998</v>
      </c>
      <c r="P57" s="29">
        <f>F57+'ECO PARK'!F53</f>
        <v>196186.27999999997</v>
      </c>
      <c r="Q57" s="29">
        <f>G57+'ECO PARK'!G53</f>
        <v>294664.17</v>
      </c>
      <c r="R57" s="29">
        <f>H57+'ECO PARK'!H53</f>
        <v>60083.9</v>
      </c>
      <c r="S57" s="29">
        <f>I57+'ECO PARK'!I53</f>
        <v>952256.4800000001</v>
      </c>
    </row>
    <row r="58" spans="1:19" ht="19.5" thickTop="1" x14ac:dyDescent="0.3">
      <c r="A58" s="22" t="s">
        <v>20</v>
      </c>
      <c r="B58" s="23">
        <f>78585.51*0.6</f>
        <v>47151.305999999997</v>
      </c>
      <c r="C58" s="23">
        <f>5329.58*0.6</f>
        <v>3197.748</v>
      </c>
      <c r="D58" s="23">
        <f>23841.01*0.6</f>
        <v>14304.605999999998</v>
      </c>
      <c r="E58" s="23">
        <f>15704.06*0.6</f>
        <v>9422.4359999999997</v>
      </c>
      <c r="F58" s="23">
        <v>0</v>
      </c>
      <c r="G58" s="23">
        <v>0</v>
      </c>
      <c r="H58" s="23">
        <v>0</v>
      </c>
      <c r="I58" s="23">
        <f>B58+C58+D58+E58+F58+G58+H58</f>
        <v>74076.09599999999</v>
      </c>
      <c r="J58" s="23"/>
      <c r="K58" s="23"/>
    </row>
    <row r="59" spans="1:19" x14ac:dyDescent="0.3">
      <c r="A59" s="24" t="s">
        <v>25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9" x14ac:dyDescent="0.3">
      <c r="A60" s="26" t="s">
        <v>23</v>
      </c>
      <c r="B60" s="25">
        <v>60537.02</v>
      </c>
      <c r="C60" s="25">
        <v>9764.0400000000009</v>
      </c>
      <c r="D60" s="25">
        <v>0</v>
      </c>
      <c r="E60" s="25">
        <v>4882.0200000000004</v>
      </c>
      <c r="F60" s="25">
        <v>0</v>
      </c>
      <c r="G60" s="25">
        <v>4882.0200000000004</v>
      </c>
      <c r="H60" s="25">
        <v>24410.09</v>
      </c>
      <c r="I60" s="25">
        <f>B60+C60+D60+E60+F60+G60+H60</f>
        <v>104475.19</v>
      </c>
      <c r="J60" s="25"/>
      <c r="K60" s="25"/>
    </row>
    <row r="61" spans="1:19" ht="19.5" thickBot="1" x14ac:dyDescent="0.35">
      <c r="A61" s="27" t="s">
        <v>24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13018.71</v>
      </c>
      <c r="I61" s="25">
        <f>B61+C61+D61+E61+F61+G61+H61</f>
        <v>13018.71</v>
      </c>
      <c r="J61" s="25"/>
      <c r="K61" s="25"/>
    </row>
    <row r="63" spans="1:19" x14ac:dyDescent="0.3">
      <c r="A63" s="4" t="s">
        <v>39</v>
      </c>
      <c r="B63" s="5" t="s">
        <v>0</v>
      </c>
      <c r="C63" s="5" t="s">
        <v>1</v>
      </c>
      <c r="D63" s="5" t="s">
        <v>2</v>
      </c>
      <c r="E63" s="6" t="s">
        <v>3</v>
      </c>
      <c r="F63" s="5" t="s">
        <v>4</v>
      </c>
      <c r="G63" s="5" t="s">
        <v>5</v>
      </c>
      <c r="H63" s="5" t="s">
        <v>6</v>
      </c>
      <c r="I63" s="5" t="s">
        <v>7</v>
      </c>
      <c r="J63" s="11"/>
      <c r="K63" s="11"/>
    </row>
    <row r="64" spans="1:19" x14ac:dyDescent="0.3">
      <c r="A64" s="7"/>
      <c r="B64" s="8">
        <v>45306</v>
      </c>
      <c r="C64" s="8">
        <v>45307</v>
      </c>
      <c r="D64" s="8">
        <v>45308</v>
      </c>
      <c r="E64" s="8">
        <v>45309</v>
      </c>
      <c r="F64" s="8">
        <v>45310</v>
      </c>
      <c r="G64" s="8">
        <v>45311</v>
      </c>
      <c r="H64" s="8">
        <v>45312</v>
      </c>
      <c r="I64" s="9"/>
      <c r="J64" s="11"/>
      <c r="K64" s="11"/>
    </row>
    <row r="65" spans="1:11" ht="19.5" thickBot="1" x14ac:dyDescent="0.35">
      <c r="A65" s="10" t="s">
        <v>8</v>
      </c>
      <c r="B65" s="11" t="s">
        <v>9</v>
      </c>
      <c r="C65" s="11" t="s">
        <v>9</v>
      </c>
      <c r="D65" s="11" t="s">
        <v>9</v>
      </c>
      <c r="E65" s="11" t="s">
        <v>9</v>
      </c>
      <c r="F65" s="11" t="s">
        <v>9</v>
      </c>
      <c r="G65" s="11" t="s">
        <v>9</v>
      </c>
      <c r="H65" s="11" t="s">
        <v>9</v>
      </c>
      <c r="I65" s="12" t="s">
        <v>9</v>
      </c>
      <c r="J65" s="11"/>
      <c r="K65" s="11"/>
    </row>
    <row r="66" spans="1:11" x14ac:dyDescent="0.3">
      <c r="A66" s="13" t="s">
        <v>10</v>
      </c>
      <c r="B66" s="14">
        <v>54</v>
      </c>
      <c r="C66" s="14">
        <v>54</v>
      </c>
      <c r="D66" s="14">
        <v>53</v>
      </c>
      <c r="E66" s="14">
        <v>53</v>
      </c>
      <c r="F66" s="14">
        <v>53</v>
      </c>
      <c r="G66" s="14">
        <v>53</v>
      </c>
      <c r="H66" s="14">
        <v>53</v>
      </c>
      <c r="I66" s="14"/>
      <c r="J66" s="16"/>
      <c r="K66" s="16"/>
    </row>
    <row r="67" spans="1:11" x14ac:dyDescent="0.3">
      <c r="A67" s="15" t="s">
        <v>11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1</v>
      </c>
      <c r="H67" s="16">
        <v>2</v>
      </c>
      <c r="I67" s="16">
        <f>SUM(B67:H67)</f>
        <v>3</v>
      </c>
      <c r="J67" s="16"/>
      <c r="K67" s="16"/>
    </row>
    <row r="68" spans="1:11" x14ac:dyDescent="0.3">
      <c r="A68" s="15" t="s">
        <v>12</v>
      </c>
      <c r="B68" s="16">
        <v>5</v>
      </c>
      <c r="C68" s="16">
        <v>5</v>
      </c>
      <c r="D68" s="16">
        <v>23</v>
      </c>
      <c r="E68" s="16">
        <v>35</v>
      </c>
      <c r="F68" s="16">
        <v>47</v>
      </c>
      <c r="G68" s="16">
        <v>20</v>
      </c>
      <c r="H68" s="16">
        <v>3</v>
      </c>
      <c r="I68" s="16">
        <f>SUM(B68:H68)</f>
        <v>138</v>
      </c>
      <c r="J68" s="16"/>
      <c r="K68" s="16"/>
    </row>
    <row r="69" spans="1:11" x14ac:dyDescent="0.3">
      <c r="A69" s="15" t="s">
        <v>30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f>SUM(B69:H69)</f>
        <v>0</v>
      </c>
      <c r="J69" s="16"/>
      <c r="K69" s="16"/>
    </row>
    <row r="70" spans="1:11" x14ac:dyDescent="0.3">
      <c r="A70" s="15" t="s">
        <v>28</v>
      </c>
      <c r="B70" s="16">
        <v>2</v>
      </c>
      <c r="C70" s="16">
        <v>13</v>
      </c>
      <c r="D70" s="16">
        <v>71</v>
      </c>
      <c r="E70" s="16">
        <v>13</v>
      </c>
      <c r="F70" s="16">
        <v>40</v>
      </c>
      <c r="G70" s="16">
        <v>55</v>
      </c>
      <c r="H70" s="16">
        <v>31</v>
      </c>
      <c r="I70" s="16">
        <f t="shared" ref="I70:I76" si="6">B70+C70+D70+E70+F70+G70+H70</f>
        <v>225</v>
      </c>
      <c r="J70" s="16">
        <f>I70+I71+I72+I73</f>
        <v>300</v>
      </c>
      <c r="K70" s="16"/>
    </row>
    <row r="71" spans="1:11" x14ac:dyDescent="0.3">
      <c r="A71" s="15" t="s">
        <v>29</v>
      </c>
      <c r="B71" s="16">
        <v>0</v>
      </c>
      <c r="C71" s="16">
        <v>2</v>
      </c>
      <c r="D71" s="16">
        <v>0</v>
      </c>
      <c r="E71" s="16">
        <v>2</v>
      </c>
      <c r="F71" s="16">
        <v>4</v>
      </c>
      <c r="G71" s="16">
        <v>13</v>
      </c>
      <c r="H71" s="16">
        <v>4</v>
      </c>
      <c r="I71" s="16">
        <f t="shared" si="6"/>
        <v>25</v>
      </c>
      <c r="J71" s="16"/>
      <c r="K71" s="16"/>
    </row>
    <row r="72" spans="1:11" x14ac:dyDescent="0.3">
      <c r="A72" s="15" t="s">
        <v>31</v>
      </c>
      <c r="B72" s="16">
        <v>4</v>
      </c>
      <c r="C72" s="16">
        <v>0</v>
      </c>
      <c r="D72" s="16">
        <v>2</v>
      </c>
      <c r="E72" s="16">
        <v>1</v>
      </c>
      <c r="F72" s="16">
        <v>2</v>
      </c>
      <c r="G72" s="16">
        <v>3</v>
      </c>
      <c r="H72" s="16">
        <v>1</v>
      </c>
      <c r="I72" s="16">
        <f t="shared" si="6"/>
        <v>13</v>
      </c>
      <c r="J72" s="16"/>
      <c r="K72" s="16"/>
    </row>
    <row r="73" spans="1:11" x14ac:dyDescent="0.3">
      <c r="A73" s="15" t="s">
        <v>13</v>
      </c>
      <c r="B73" s="16">
        <v>9</v>
      </c>
      <c r="C73" s="16">
        <v>19</v>
      </c>
      <c r="D73" s="16">
        <v>0</v>
      </c>
      <c r="E73" s="16">
        <v>0</v>
      </c>
      <c r="F73" s="16">
        <v>4</v>
      </c>
      <c r="G73" s="16">
        <v>1</v>
      </c>
      <c r="H73" s="16">
        <v>4</v>
      </c>
      <c r="I73" s="16">
        <f t="shared" si="6"/>
        <v>37</v>
      </c>
      <c r="J73" s="16"/>
      <c r="K73" s="16"/>
    </row>
    <row r="74" spans="1:11" x14ac:dyDescent="0.3">
      <c r="A74" s="15" t="s">
        <v>14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f t="shared" si="6"/>
        <v>0</v>
      </c>
      <c r="J74" s="16"/>
      <c r="K74" s="16"/>
    </row>
    <row r="75" spans="1:11" x14ac:dyDescent="0.3">
      <c r="A75" s="15" t="s">
        <v>32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f t="shared" si="6"/>
        <v>0</v>
      </c>
      <c r="J75" s="16"/>
      <c r="K75" s="16"/>
    </row>
    <row r="76" spans="1:11" x14ac:dyDescent="0.3">
      <c r="A76" s="15" t="s">
        <v>33</v>
      </c>
      <c r="B76" s="16">
        <v>0</v>
      </c>
      <c r="C76" s="16">
        <v>0</v>
      </c>
      <c r="D76" s="16">
        <v>0</v>
      </c>
      <c r="E76" s="16">
        <v>15</v>
      </c>
      <c r="F76" s="16">
        <v>12</v>
      </c>
      <c r="G76" s="16">
        <v>0</v>
      </c>
      <c r="H76" s="16">
        <v>0</v>
      </c>
      <c r="I76" s="16">
        <f t="shared" si="6"/>
        <v>27</v>
      </c>
      <c r="J76" s="16"/>
      <c r="K76" s="16"/>
    </row>
    <row r="77" spans="1:11" ht="19.5" thickBot="1" x14ac:dyDescent="0.35">
      <c r="A77" s="30" t="s">
        <v>15</v>
      </c>
      <c r="B77" s="31">
        <f t="shared" ref="B77:H77" si="7">(B68+B67)/B66*100%</f>
        <v>9.2592592592592587E-2</v>
      </c>
      <c r="C77" s="31">
        <f t="shared" si="7"/>
        <v>9.2592592592592587E-2</v>
      </c>
      <c r="D77" s="31">
        <f t="shared" si="7"/>
        <v>0.43396226415094341</v>
      </c>
      <c r="E77" s="31">
        <f t="shared" si="7"/>
        <v>0.660377358490566</v>
      </c>
      <c r="F77" s="31">
        <f t="shared" si="7"/>
        <v>0.8867924528301887</v>
      </c>
      <c r="G77" s="31">
        <f t="shared" si="7"/>
        <v>0.39622641509433965</v>
      </c>
      <c r="H77" s="31">
        <f t="shared" si="7"/>
        <v>9.4339622641509441E-2</v>
      </c>
      <c r="I77" s="32">
        <f>(B77+C77+D77+E77+F77+G77+H77)/7</f>
        <v>0.37955475691324753</v>
      </c>
      <c r="J77" s="52"/>
      <c r="K77" s="52"/>
    </row>
    <row r="78" spans="1:11" x14ac:dyDescent="0.3">
      <c r="A78" s="33" t="s">
        <v>16</v>
      </c>
      <c r="B78" s="16"/>
      <c r="C78" s="17"/>
      <c r="D78" s="16"/>
      <c r="E78" s="18"/>
      <c r="F78" s="16"/>
      <c r="G78" s="16"/>
      <c r="H78" s="16"/>
      <c r="I78" s="16"/>
      <c r="J78" s="16"/>
      <c r="K78" s="16"/>
    </row>
    <row r="79" spans="1:11" x14ac:dyDescent="0.3">
      <c r="A79" s="15" t="s">
        <v>17</v>
      </c>
      <c r="B79" s="28">
        <v>16599.182000000001</v>
      </c>
      <c r="C79" s="28">
        <v>17046.704000000002</v>
      </c>
      <c r="D79" s="28">
        <v>40898.14</v>
      </c>
      <c r="E79" s="28">
        <v>59920.619500000001</v>
      </c>
      <c r="F79" s="28">
        <v>90147.224999999991</v>
      </c>
      <c r="G79" s="28">
        <v>41081.629999999997</v>
      </c>
      <c r="H79" s="28">
        <v>11180.06</v>
      </c>
      <c r="I79" s="19">
        <f>B79+C79+D79+E79+F79+G79+H79</f>
        <v>276873.56049999996</v>
      </c>
      <c r="J79" s="19"/>
      <c r="K79" s="19"/>
    </row>
    <row r="80" spans="1:11" x14ac:dyDescent="0.3">
      <c r="A80" s="15" t="s">
        <v>18</v>
      </c>
      <c r="B80" s="28">
        <v>12826.106900000002</v>
      </c>
      <c r="C80" s="28">
        <v>17040.585800000001</v>
      </c>
      <c r="D80" s="28">
        <v>43292.32</v>
      </c>
      <c r="E80" s="28">
        <v>65122.90630000001</v>
      </c>
      <c r="F80" s="28">
        <v>86600.550300000003</v>
      </c>
      <c r="G80" s="28">
        <v>45385.13</v>
      </c>
      <c r="H80" s="28">
        <v>15145.34</v>
      </c>
      <c r="I80" s="19">
        <f>B80+C80+D80+E80+F80+G80+H80</f>
        <v>285412.93930000003</v>
      </c>
      <c r="J80" s="19"/>
      <c r="K80" s="19"/>
    </row>
    <row r="81" spans="1:11" x14ac:dyDescent="0.3">
      <c r="A81" s="15" t="s">
        <v>19</v>
      </c>
      <c r="B81" s="28">
        <v>10009.3941</v>
      </c>
      <c r="C81" s="28">
        <v>11011.2562</v>
      </c>
      <c r="D81" s="28">
        <v>25671.4</v>
      </c>
      <c r="E81" s="28">
        <v>38442.548999999999</v>
      </c>
      <c r="F81" s="28">
        <v>55696.219299999997</v>
      </c>
      <c r="G81" s="28">
        <v>28395.59</v>
      </c>
      <c r="H81" s="28">
        <v>7633.13</v>
      </c>
      <c r="I81" s="19">
        <f>B81+C81+D81+E81+F81+G81+H81</f>
        <v>176859.5386</v>
      </c>
      <c r="J81" s="19"/>
      <c r="K81" s="19"/>
    </row>
    <row r="82" spans="1:11" x14ac:dyDescent="0.3">
      <c r="A82" s="15" t="s">
        <v>21</v>
      </c>
      <c r="B82" s="28">
        <v>0</v>
      </c>
      <c r="C82" s="28">
        <v>0</v>
      </c>
      <c r="D82" s="28">
        <v>7968.14</v>
      </c>
      <c r="E82" s="28">
        <v>12580.231200000002</v>
      </c>
      <c r="F82" s="28">
        <v>17703.7104</v>
      </c>
      <c r="G82" s="28">
        <v>4480.08</v>
      </c>
      <c r="H82" s="28">
        <v>0</v>
      </c>
      <c r="I82" s="19">
        <f>B82+C82+D82+E82+F82+G82+H82</f>
        <v>42732.161600000007</v>
      </c>
      <c r="J82" s="19"/>
      <c r="K82" s="19"/>
    </row>
    <row r="83" spans="1:11" ht="19.5" thickBot="1" x14ac:dyDescent="0.35">
      <c r="A83" s="15" t="s">
        <v>22</v>
      </c>
      <c r="B83" s="28">
        <v>0</v>
      </c>
      <c r="C83" s="28">
        <v>0</v>
      </c>
      <c r="D83" s="28">
        <v>0</v>
      </c>
      <c r="E83" s="28">
        <v>0</v>
      </c>
      <c r="F83" s="28">
        <v>7000</v>
      </c>
      <c r="G83" s="28">
        <v>0</v>
      </c>
      <c r="H83" s="28">
        <v>0</v>
      </c>
      <c r="I83" s="19">
        <f>B83+C83+D83+E83+F83+G83+H83</f>
        <v>7000</v>
      </c>
      <c r="J83" s="19"/>
      <c r="K83" s="19"/>
    </row>
    <row r="84" spans="1:11" ht="19.5" thickBot="1" x14ac:dyDescent="0.35">
      <c r="A84" s="20" t="s">
        <v>7</v>
      </c>
      <c r="B84" s="21">
        <f t="shared" ref="B84:I84" si="8">B79+B80+B81+B82+B83</f>
        <v>39434.683000000005</v>
      </c>
      <c r="C84" s="21">
        <f t="shared" si="8"/>
        <v>45098.546000000002</v>
      </c>
      <c r="D84" s="21">
        <f t="shared" si="8"/>
        <v>117829.99999999999</v>
      </c>
      <c r="E84" s="21">
        <f t="shared" si="8"/>
        <v>176066.30600000001</v>
      </c>
      <c r="F84" s="21">
        <f t="shared" si="8"/>
        <v>257147.70499999999</v>
      </c>
      <c r="G84" s="21">
        <f t="shared" si="8"/>
        <v>119342.43</v>
      </c>
      <c r="H84" s="21">
        <f t="shared" si="8"/>
        <v>33958.53</v>
      </c>
      <c r="I84" s="21">
        <f t="shared" si="8"/>
        <v>788878.2</v>
      </c>
      <c r="J84" s="53"/>
      <c r="K84" s="53"/>
    </row>
    <row r="85" spans="1:11" ht="19.5" thickTop="1" x14ac:dyDescent="0.3">
      <c r="A85" s="22" t="s">
        <v>20</v>
      </c>
      <c r="B85" s="23">
        <f>4760.01*0.6</f>
        <v>2856.0059999999999</v>
      </c>
      <c r="C85" s="23">
        <f>13059.62*0.6</f>
        <v>7835.7719999999999</v>
      </c>
      <c r="D85" s="23">
        <v>17370.490000000002</v>
      </c>
      <c r="E85" s="23">
        <v>22540.959999999999</v>
      </c>
      <c r="F85" s="23">
        <v>21002.83</v>
      </c>
      <c r="G85" s="23">
        <v>19157.28</v>
      </c>
      <c r="H85" s="23">
        <v>11179.96</v>
      </c>
      <c r="I85" s="23">
        <f>B85+C85+D85+E85+F85+G85+H85</f>
        <v>101943.29800000001</v>
      </c>
      <c r="J85" s="23"/>
      <c r="K85" s="23"/>
    </row>
    <row r="86" spans="1:11" x14ac:dyDescent="0.3">
      <c r="A86" s="24" t="s">
        <v>25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x14ac:dyDescent="0.3">
      <c r="A87" s="26" t="s">
        <v>23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f>B87+C87+D87+E87+F87+G87+H87</f>
        <v>0</v>
      </c>
      <c r="J87" s="25"/>
      <c r="K87" s="25"/>
    </row>
    <row r="88" spans="1:11" ht="19.5" thickBot="1" x14ac:dyDescent="0.35">
      <c r="A88" s="27" t="s">
        <v>24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4882.0200000000004</v>
      </c>
      <c r="H88" s="25">
        <v>13018.71</v>
      </c>
      <c r="I88" s="25">
        <f>B88+C88+D88+E88+F88+G88+H88</f>
        <v>17900.73</v>
      </c>
      <c r="J88" s="25"/>
      <c r="K88" s="25"/>
    </row>
    <row r="89" spans="1:11" x14ac:dyDescent="0.3">
      <c r="A89" s="16"/>
      <c r="B89" s="19"/>
      <c r="C89" s="19"/>
      <c r="D89" s="19"/>
      <c r="E89" s="19"/>
      <c r="F89" s="19"/>
      <c r="G89" s="19"/>
      <c r="H89" s="19"/>
      <c r="I89" s="19"/>
      <c r="J89" s="19"/>
      <c r="K89" s="19"/>
    </row>
    <row r="90" spans="1:11" x14ac:dyDescent="0.3">
      <c r="A90" s="16"/>
      <c r="B90" s="19"/>
      <c r="C90" s="19"/>
      <c r="D90" s="19"/>
      <c r="E90" s="19"/>
      <c r="F90" s="19"/>
      <c r="G90" s="19"/>
      <c r="H90" s="19"/>
      <c r="I90" s="19"/>
      <c r="J90" s="19"/>
      <c r="K90" s="19"/>
    </row>
    <row r="91" spans="1:11" x14ac:dyDescent="0.3">
      <c r="A91" s="16"/>
      <c r="B91" s="19"/>
      <c r="C91" s="19"/>
      <c r="D91" s="19"/>
      <c r="E91" s="19"/>
      <c r="F91" s="19"/>
      <c r="G91" s="19"/>
      <c r="H91" s="19"/>
      <c r="I91" s="19"/>
      <c r="J91" s="19"/>
      <c r="K91" s="19"/>
    </row>
    <row r="93" spans="1:11" x14ac:dyDescent="0.3">
      <c r="A93" s="4" t="s">
        <v>40</v>
      </c>
      <c r="B93" s="5" t="s">
        <v>0</v>
      </c>
      <c r="C93" s="5" t="s">
        <v>1</v>
      </c>
      <c r="D93" s="5" t="s">
        <v>2</v>
      </c>
      <c r="E93" s="6" t="s">
        <v>3</v>
      </c>
      <c r="F93" s="5" t="s">
        <v>4</v>
      </c>
      <c r="G93" s="5" t="s">
        <v>5</v>
      </c>
      <c r="H93" s="5" t="s">
        <v>6</v>
      </c>
      <c r="I93" s="5" t="s">
        <v>7</v>
      </c>
      <c r="J93" s="11"/>
      <c r="K93" s="11"/>
    </row>
    <row r="94" spans="1:11" x14ac:dyDescent="0.3">
      <c r="A94" s="7"/>
      <c r="B94" s="8">
        <v>45313</v>
      </c>
      <c r="C94" s="8">
        <v>45314</v>
      </c>
      <c r="D94" s="8">
        <v>45315</v>
      </c>
      <c r="E94" s="8">
        <v>45316</v>
      </c>
      <c r="F94" s="8">
        <v>45317</v>
      </c>
      <c r="G94" s="8">
        <v>45318</v>
      </c>
      <c r="H94" s="8">
        <v>45319</v>
      </c>
      <c r="I94" s="9"/>
      <c r="J94" s="11"/>
      <c r="K94" s="11"/>
    </row>
    <row r="95" spans="1:11" ht="19.5" thickBot="1" x14ac:dyDescent="0.35">
      <c r="A95" s="10" t="s">
        <v>8</v>
      </c>
      <c r="B95" s="11" t="s">
        <v>9</v>
      </c>
      <c r="C95" s="11" t="s">
        <v>9</v>
      </c>
      <c r="D95" s="11" t="s">
        <v>9</v>
      </c>
      <c r="E95" s="11" t="s">
        <v>9</v>
      </c>
      <c r="F95" s="11" t="s">
        <v>9</v>
      </c>
      <c r="G95" s="11" t="s">
        <v>9</v>
      </c>
      <c r="H95" s="11" t="s">
        <v>9</v>
      </c>
      <c r="I95" s="12" t="s">
        <v>9</v>
      </c>
      <c r="J95" s="11"/>
      <c r="K95" s="11"/>
    </row>
    <row r="96" spans="1:11" x14ac:dyDescent="0.3">
      <c r="A96" s="13" t="s">
        <v>10</v>
      </c>
      <c r="B96" s="14">
        <v>54</v>
      </c>
      <c r="C96" s="14">
        <v>54</v>
      </c>
      <c r="D96" s="14">
        <v>53</v>
      </c>
      <c r="E96" s="14">
        <v>53</v>
      </c>
      <c r="F96" s="14">
        <v>53</v>
      </c>
      <c r="G96" s="14">
        <v>53</v>
      </c>
      <c r="H96" s="14">
        <v>54</v>
      </c>
      <c r="I96" s="14"/>
      <c r="J96" s="16"/>
      <c r="K96" s="16"/>
    </row>
    <row r="97" spans="1:11" x14ac:dyDescent="0.3">
      <c r="A97" s="15" t="s">
        <v>11</v>
      </c>
      <c r="B97" s="16">
        <v>1</v>
      </c>
      <c r="C97" s="16">
        <v>0</v>
      </c>
      <c r="D97" s="16">
        <v>0</v>
      </c>
      <c r="E97" s="16">
        <v>0</v>
      </c>
      <c r="F97" s="16">
        <v>2</v>
      </c>
      <c r="G97" s="16">
        <v>2</v>
      </c>
      <c r="H97" s="16">
        <v>0</v>
      </c>
      <c r="I97" s="16">
        <f>SUM(B97:H97)</f>
        <v>5</v>
      </c>
      <c r="J97" s="16"/>
      <c r="K97" s="16"/>
    </row>
    <row r="98" spans="1:11" x14ac:dyDescent="0.3">
      <c r="A98" s="15" t="s">
        <v>12</v>
      </c>
      <c r="B98" s="16">
        <v>3</v>
      </c>
      <c r="C98" s="16">
        <v>4</v>
      </c>
      <c r="D98" s="16">
        <v>35</v>
      </c>
      <c r="E98" s="16">
        <v>37</v>
      </c>
      <c r="F98" s="16">
        <v>40</v>
      </c>
      <c r="G98" s="16">
        <v>15</v>
      </c>
      <c r="H98" s="16">
        <v>49</v>
      </c>
      <c r="I98" s="16">
        <f>SUM(B98:H98)</f>
        <v>183</v>
      </c>
      <c r="J98" s="16"/>
      <c r="K98" s="16"/>
    </row>
    <row r="99" spans="1:11" x14ac:dyDescent="0.3">
      <c r="A99" s="15" t="s">
        <v>30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f>SUM(B99:H99)</f>
        <v>0</v>
      </c>
      <c r="J99" s="16"/>
      <c r="K99" s="16"/>
    </row>
    <row r="100" spans="1:11" x14ac:dyDescent="0.3">
      <c r="A100" s="15" t="s">
        <v>28</v>
      </c>
      <c r="B100" s="16">
        <v>6</v>
      </c>
      <c r="C100" s="16">
        <v>26</v>
      </c>
      <c r="D100" s="16">
        <v>35</v>
      </c>
      <c r="E100" s="16">
        <v>13</v>
      </c>
      <c r="F100" s="16">
        <v>61</v>
      </c>
      <c r="G100" s="16">
        <v>76</v>
      </c>
      <c r="H100" s="16">
        <v>23</v>
      </c>
      <c r="I100" s="16">
        <f t="shared" ref="I100:I106" si="9">B100+C100+D100+E100+F100+G100+H100</f>
        <v>240</v>
      </c>
      <c r="J100" s="16"/>
      <c r="K100" s="16"/>
    </row>
    <row r="101" spans="1:11" x14ac:dyDescent="0.3">
      <c r="A101" s="15" t="s">
        <v>29</v>
      </c>
      <c r="B101" s="16">
        <v>0</v>
      </c>
      <c r="C101" s="16">
        <v>0</v>
      </c>
      <c r="D101" s="16">
        <v>0</v>
      </c>
      <c r="E101" s="16">
        <v>1</v>
      </c>
      <c r="F101" s="16">
        <v>0</v>
      </c>
      <c r="G101" s="16">
        <v>17</v>
      </c>
      <c r="H101" s="16">
        <v>4</v>
      </c>
      <c r="I101" s="16">
        <f t="shared" si="9"/>
        <v>22</v>
      </c>
      <c r="J101" s="16"/>
      <c r="K101" s="16"/>
    </row>
    <row r="102" spans="1:11" x14ac:dyDescent="0.3">
      <c r="A102" s="15" t="s">
        <v>31</v>
      </c>
      <c r="B102" s="16">
        <v>0</v>
      </c>
      <c r="C102" s="16">
        <v>0</v>
      </c>
      <c r="D102" s="16">
        <v>0</v>
      </c>
      <c r="E102" s="16">
        <v>3</v>
      </c>
      <c r="F102" s="16">
        <v>3</v>
      </c>
      <c r="G102" s="16">
        <v>3</v>
      </c>
      <c r="H102" s="16">
        <v>1</v>
      </c>
      <c r="I102" s="16">
        <f t="shared" si="9"/>
        <v>10</v>
      </c>
      <c r="J102" s="16">
        <f>I100+I101+I102+I103</f>
        <v>274</v>
      </c>
      <c r="K102" s="16"/>
    </row>
    <row r="103" spans="1:11" x14ac:dyDescent="0.3">
      <c r="A103" s="15" t="s">
        <v>13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2</v>
      </c>
      <c r="H103" s="16">
        <v>0</v>
      </c>
      <c r="I103" s="16">
        <f t="shared" si="9"/>
        <v>2</v>
      </c>
      <c r="J103" s="16"/>
      <c r="K103" s="16"/>
    </row>
    <row r="104" spans="1:11" x14ac:dyDescent="0.3">
      <c r="A104" s="15" t="s">
        <v>14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f t="shared" si="9"/>
        <v>0</v>
      </c>
      <c r="J104" s="16"/>
      <c r="K104" s="16"/>
    </row>
    <row r="105" spans="1:11" x14ac:dyDescent="0.3">
      <c r="A105" s="15" t="s">
        <v>32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f t="shared" si="9"/>
        <v>0</v>
      </c>
      <c r="J105" s="16"/>
      <c r="K105" s="16"/>
    </row>
    <row r="106" spans="1:11" x14ac:dyDescent="0.3">
      <c r="A106" s="15" t="s">
        <v>33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f t="shared" si="9"/>
        <v>0</v>
      </c>
      <c r="J106" s="16"/>
      <c r="K106" s="16"/>
    </row>
    <row r="107" spans="1:11" ht="19.5" thickBot="1" x14ac:dyDescent="0.35">
      <c r="A107" s="30" t="s">
        <v>15</v>
      </c>
      <c r="B107" s="31">
        <f t="shared" ref="B107:H107" si="10">(B98+B97)/B96*100%</f>
        <v>7.407407407407407E-2</v>
      </c>
      <c r="C107" s="31">
        <f t="shared" si="10"/>
        <v>7.407407407407407E-2</v>
      </c>
      <c r="D107" s="31">
        <f t="shared" si="10"/>
        <v>0.660377358490566</v>
      </c>
      <c r="E107" s="31">
        <f t="shared" si="10"/>
        <v>0.69811320754716977</v>
      </c>
      <c r="F107" s="31">
        <f t="shared" si="10"/>
        <v>0.79245283018867929</v>
      </c>
      <c r="G107" s="31">
        <f t="shared" si="10"/>
        <v>0.32075471698113206</v>
      </c>
      <c r="H107" s="31">
        <f t="shared" si="10"/>
        <v>0.90740740740740744</v>
      </c>
      <c r="I107" s="32">
        <f>(B107+C107+D107+E107+F107+G107+H107)/7</f>
        <v>0.50389338125187177</v>
      </c>
      <c r="J107" s="52"/>
      <c r="K107" s="52"/>
    </row>
    <row r="108" spans="1:11" x14ac:dyDescent="0.3">
      <c r="A108" s="33" t="s">
        <v>16</v>
      </c>
      <c r="B108" s="16"/>
      <c r="C108" s="17"/>
      <c r="D108" s="16"/>
      <c r="E108" s="18"/>
      <c r="F108" s="16"/>
      <c r="G108" s="16"/>
      <c r="H108" s="16"/>
      <c r="I108" s="16"/>
      <c r="J108" s="16"/>
      <c r="K108" s="16"/>
    </row>
    <row r="109" spans="1:11" x14ac:dyDescent="0.3">
      <c r="A109" s="15" t="s">
        <v>17</v>
      </c>
      <c r="B109" s="28">
        <v>7746.29</v>
      </c>
      <c r="C109" s="28">
        <v>11434.99</v>
      </c>
      <c r="D109" s="28">
        <v>52203.7</v>
      </c>
      <c r="E109" s="28">
        <v>57958.3</v>
      </c>
      <c r="F109" s="28">
        <v>66576.759999999995</v>
      </c>
      <c r="G109" s="28">
        <v>32919.54</v>
      </c>
      <c r="H109" s="28">
        <v>45341.025499999996</v>
      </c>
      <c r="I109" s="19">
        <f>B109+C109+D109+E109+F109+G109+H109</f>
        <v>274180.60550000001</v>
      </c>
      <c r="J109" s="19"/>
      <c r="K109" s="19"/>
    </row>
    <row r="110" spans="1:11" x14ac:dyDescent="0.3">
      <c r="A110" s="15" t="s">
        <v>18</v>
      </c>
      <c r="B110" s="28">
        <v>6852.47</v>
      </c>
      <c r="C110" s="28">
        <v>14239.35</v>
      </c>
      <c r="D110" s="28">
        <v>48385.74</v>
      </c>
      <c r="E110" s="28">
        <v>49381.74</v>
      </c>
      <c r="F110" s="28">
        <v>64707.94</v>
      </c>
      <c r="G110" s="28">
        <v>43800.47</v>
      </c>
      <c r="H110" s="28">
        <v>42249.319900000002</v>
      </c>
      <c r="I110" s="19">
        <f>B110+C110+D110+E110+F110+G110+H110</f>
        <v>269617.02989999996</v>
      </c>
      <c r="J110" s="19"/>
      <c r="K110" s="19"/>
    </row>
    <row r="111" spans="1:11" x14ac:dyDescent="0.3">
      <c r="A111" s="15" t="s">
        <v>19</v>
      </c>
      <c r="B111" s="28">
        <v>4750.7299999999996</v>
      </c>
      <c r="C111" s="28">
        <v>8667.31</v>
      </c>
      <c r="D111" s="28">
        <v>31113.62</v>
      </c>
      <c r="E111" s="28">
        <v>33779.64</v>
      </c>
      <c r="F111" s="28">
        <v>56772.92</v>
      </c>
      <c r="G111" s="28">
        <v>25477.23</v>
      </c>
      <c r="H111" s="28">
        <v>28432.802199999998</v>
      </c>
      <c r="I111" s="19">
        <f>B111+C111+D111+E111+F111+G111+H111</f>
        <v>188994.25219999999</v>
      </c>
      <c r="J111" s="19"/>
      <c r="K111" s="19"/>
    </row>
    <row r="112" spans="1:11" x14ac:dyDescent="0.3">
      <c r="A112" s="15" t="s">
        <v>21</v>
      </c>
      <c r="B112" s="28">
        <v>0</v>
      </c>
      <c r="C112" s="28">
        <v>0</v>
      </c>
      <c r="D112" s="28">
        <v>10500.19</v>
      </c>
      <c r="E112" s="28">
        <v>11700.21</v>
      </c>
      <c r="F112" s="28">
        <v>11628.04</v>
      </c>
      <c r="G112" s="28">
        <v>1941.2</v>
      </c>
      <c r="H112" s="28">
        <v>9619.7224000000006</v>
      </c>
      <c r="I112" s="19">
        <f>B112+C112+D112+E112+F112+G112+H112</f>
        <v>45389.362399999998</v>
      </c>
      <c r="J112" s="19"/>
      <c r="K112" s="19"/>
    </row>
    <row r="113" spans="1:15" ht="19.5" thickBot="1" x14ac:dyDescent="0.35">
      <c r="A113" s="15" t="s">
        <v>22</v>
      </c>
      <c r="B113" s="28">
        <v>0</v>
      </c>
      <c r="C113" s="28">
        <v>0</v>
      </c>
      <c r="D113" s="28">
        <v>0</v>
      </c>
      <c r="E113" s="28">
        <v>0</v>
      </c>
      <c r="F113" s="28">
        <v>5695.69</v>
      </c>
      <c r="G113" s="28">
        <v>0</v>
      </c>
      <c r="H113" s="28">
        <v>0</v>
      </c>
      <c r="I113" s="19">
        <f>B113+C113+D113+E113+F113+G113+H113</f>
        <v>5695.69</v>
      </c>
      <c r="J113" s="19"/>
      <c r="K113" s="19"/>
    </row>
    <row r="114" spans="1:15" ht="19.5" thickBot="1" x14ac:dyDescent="0.35">
      <c r="A114" s="20" t="s">
        <v>7</v>
      </c>
      <c r="B114" s="21">
        <f t="shared" ref="B114:I114" si="11">B109+B110+B111+B112+B113</f>
        <v>19349.489999999998</v>
      </c>
      <c r="C114" s="21">
        <f t="shared" si="11"/>
        <v>34341.65</v>
      </c>
      <c r="D114" s="21">
        <f t="shared" si="11"/>
        <v>142203.25</v>
      </c>
      <c r="E114" s="21">
        <f t="shared" si="11"/>
        <v>152819.88999999998</v>
      </c>
      <c r="F114" s="21">
        <f t="shared" si="11"/>
        <v>205381.35</v>
      </c>
      <c r="G114" s="21">
        <f t="shared" si="11"/>
        <v>104138.44</v>
      </c>
      <c r="H114" s="21">
        <f t="shared" si="11"/>
        <v>125642.87</v>
      </c>
      <c r="I114" s="21">
        <f t="shared" si="11"/>
        <v>783876.94</v>
      </c>
      <c r="J114" s="53"/>
      <c r="K114" s="53"/>
    </row>
    <row r="115" spans="1:15" ht="19.5" thickTop="1" x14ac:dyDescent="0.3">
      <c r="A115" s="22" t="s">
        <v>20</v>
      </c>
      <c r="B115" s="23">
        <v>1586.7</v>
      </c>
      <c r="C115" s="23">
        <v>8031.07</v>
      </c>
      <c r="D115" s="23">
        <v>10186.51</v>
      </c>
      <c r="E115" s="23">
        <v>4760.0600000000004</v>
      </c>
      <c r="F115" s="23">
        <v>17892.939999999999</v>
      </c>
      <c r="G115" s="23">
        <v>26851.52</v>
      </c>
      <c r="H115" s="23">
        <f>13263.03*0.6</f>
        <v>7957.8180000000002</v>
      </c>
      <c r="I115" s="23">
        <f>B115+C115+D115+E115+F115+G115+H115</f>
        <v>77266.618000000002</v>
      </c>
      <c r="J115" s="23"/>
      <c r="K115" s="23"/>
    </row>
    <row r="116" spans="1:15" x14ac:dyDescent="0.3">
      <c r="A116" s="24" t="s">
        <v>25</v>
      </c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5" x14ac:dyDescent="0.3">
      <c r="A117" s="26" t="s">
        <v>23</v>
      </c>
      <c r="B117" s="25">
        <v>0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f>B117+C117+D117+E117+F117+G117+H117</f>
        <v>0</v>
      </c>
      <c r="J117" s="25"/>
      <c r="K117" s="25"/>
      <c r="O117" s="29"/>
    </row>
    <row r="118" spans="1:15" ht="19.5" thickBot="1" x14ac:dyDescent="0.35">
      <c r="A118" s="27" t="s">
        <v>24</v>
      </c>
      <c r="B118" s="25">
        <v>4882.0200000000004</v>
      </c>
      <c r="C118" s="25">
        <v>0</v>
      </c>
      <c r="D118" s="25">
        <v>0</v>
      </c>
      <c r="E118" s="25">
        <v>0</v>
      </c>
      <c r="F118" s="25">
        <v>13018.71</v>
      </c>
      <c r="G118" s="25">
        <v>13018.71</v>
      </c>
      <c r="H118" s="25">
        <v>0</v>
      </c>
      <c r="I118" s="25">
        <f>B118+C118+D118+E118+F118+G118+H118</f>
        <v>30919.439999999999</v>
      </c>
      <c r="J118" s="25"/>
      <c r="K118" s="25"/>
    </row>
    <row r="119" spans="1:15" x14ac:dyDescent="0.3">
      <c r="A119" s="16"/>
      <c r="B119" s="19"/>
      <c r="C119" s="19"/>
      <c r="D119" s="19"/>
      <c r="E119" s="19"/>
      <c r="F119" s="19"/>
      <c r="G119" s="19"/>
      <c r="H119" s="19"/>
      <c r="I119" s="19"/>
      <c r="J119" s="19"/>
      <c r="K119" s="19"/>
    </row>
    <row r="120" spans="1:15" x14ac:dyDescent="0.3">
      <c r="A120" s="16"/>
      <c r="B120" s="19"/>
      <c r="C120" s="19"/>
      <c r="D120" s="19"/>
      <c r="E120" s="19"/>
      <c r="F120" s="19"/>
      <c r="G120" s="19"/>
      <c r="H120" s="19"/>
      <c r="I120" s="19"/>
      <c r="J120" s="19"/>
      <c r="K120" s="19"/>
    </row>
    <row r="122" spans="1:15" x14ac:dyDescent="0.3">
      <c r="A122" s="4" t="s">
        <v>41</v>
      </c>
      <c r="B122" s="5" t="s">
        <v>0</v>
      </c>
      <c r="C122" s="5" t="s">
        <v>1</v>
      </c>
      <c r="D122" s="5" t="s">
        <v>2</v>
      </c>
      <c r="E122" s="6" t="s">
        <v>3</v>
      </c>
      <c r="F122" s="5" t="s">
        <v>4</v>
      </c>
      <c r="G122" s="5" t="s">
        <v>5</v>
      </c>
      <c r="H122" s="5" t="s">
        <v>6</v>
      </c>
      <c r="I122" s="5" t="s">
        <v>7</v>
      </c>
      <c r="J122" s="11"/>
      <c r="K122" s="11"/>
    </row>
    <row r="123" spans="1:15" x14ac:dyDescent="0.3">
      <c r="A123" s="7"/>
      <c r="B123" s="8">
        <v>45320</v>
      </c>
      <c r="C123" s="8">
        <v>45321</v>
      </c>
      <c r="D123" s="8">
        <v>45322</v>
      </c>
      <c r="E123" s="8">
        <v>45323</v>
      </c>
      <c r="F123" s="8">
        <v>45324</v>
      </c>
      <c r="G123" s="8">
        <v>45325</v>
      </c>
      <c r="H123" s="8">
        <v>45326</v>
      </c>
      <c r="I123" s="9"/>
      <c r="J123" s="11"/>
      <c r="K123" s="11">
        <v>0</v>
      </c>
    </row>
    <row r="124" spans="1:15" ht="19.5" thickBot="1" x14ac:dyDescent="0.35">
      <c r="A124" s="10" t="s">
        <v>8</v>
      </c>
      <c r="B124" s="11" t="s">
        <v>9</v>
      </c>
      <c r="C124" s="11" t="s">
        <v>9</v>
      </c>
      <c r="D124" s="11" t="s">
        <v>9</v>
      </c>
      <c r="E124" s="11" t="s">
        <v>9</v>
      </c>
      <c r="F124" s="11" t="s">
        <v>9</v>
      </c>
      <c r="G124" s="11" t="s">
        <v>9</v>
      </c>
      <c r="H124" s="11" t="s">
        <v>9</v>
      </c>
      <c r="I124" s="12" t="s">
        <v>9</v>
      </c>
      <c r="J124" s="11">
        <f>J130+J102+J70+J42+J17</f>
        <v>2771</v>
      </c>
      <c r="K124" s="11"/>
    </row>
    <row r="125" spans="1:15" x14ac:dyDescent="0.3">
      <c r="A125" s="13" t="s">
        <v>10</v>
      </c>
      <c r="B125" s="14">
        <v>54</v>
      </c>
      <c r="C125" s="14">
        <v>54</v>
      </c>
      <c r="D125" s="14">
        <v>54</v>
      </c>
      <c r="E125" s="14">
        <v>54</v>
      </c>
      <c r="F125" s="14">
        <v>54</v>
      </c>
      <c r="G125" s="14">
        <v>54</v>
      </c>
      <c r="H125" s="14">
        <v>54</v>
      </c>
      <c r="I125" s="14"/>
      <c r="J125" s="16"/>
      <c r="K125" s="16"/>
    </row>
    <row r="126" spans="1:15" x14ac:dyDescent="0.3">
      <c r="A126" s="15" t="s">
        <v>11</v>
      </c>
      <c r="B126" s="16">
        <v>0</v>
      </c>
      <c r="C126" s="16">
        <v>1</v>
      </c>
      <c r="D126" s="16">
        <v>1</v>
      </c>
      <c r="E126" s="16">
        <v>0</v>
      </c>
      <c r="F126" s="16">
        <v>0</v>
      </c>
      <c r="G126" s="16">
        <v>0</v>
      </c>
      <c r="H126" s="16">
        <v>3</v>
      </c>
      <c r="I126" s="16">
        <f>SUM(B126:H126)</f>
        <v>5</v>
      </c>
      <c r="J126" s="16"/>
      <c r="K126" s="53">
        <f t="shared" ref="K126:K142" si="12">D126+C126+B126+I97+I67+I40+I13</f>
        <v>45</v>
      </c>
    </row>
    <row r="127" spans="1:15" x14ac:dyDescent="0.3">
      <c r="A127" s="15" t="s">
        <v>12</v>
      </c>
      <c r="B127" s="16">
        <v>49</v>
      </c>
      <c r="C127" s="16">
        <v>49</v>
      </c>
      <c r="D127" s="16">
        <v>50</v>
      </c>
      <c r="E127" s="16">
        <v>0</v>
      </c>
      <c r="F127" s="16">
        <v>4</v>
      </c>
      <c r="G127" s="16">
        <v>10</v>
      </c>
      <c r="H127" s="16">
        <v>4</v>
      </c>
      <c r="I127" s="16">
        <f>SUM(B127:H127)</f>
        <v>166</v>
      </c>
      <c r="J127" s="16"/>
      <c r="K127" s="53">
        <f t="shared" si="12"/>
        <v>807</v>
      </c>
    </row>
    <row r="128" spans="1:15" x14ac:dyDescent="0.3">
      <c r="A128" s="15" t="s">
        <v>30</v>
      </c>
      <c r="B128" s="16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f>SUM(B128:H128)</f>
        <v>0</v>
      </c>
      <c r="J128" s="16"/>
      <c r="K128" s="53">
        <f t="shared" si="12"/>
        <v>21</v>
      </c>
    </row>
    <row r="129" spans="1:14" x14ac:dyDescent="0.3">
      <c r="A129" s="15" t="s">
        <v>28</v>
      </c>
      <c r="B129" s="16">
        <v>5</v>
      </c>
      <c r="C129" s="16">
        <v>26</v>
      </c>
      <c r="D129" s="16">
        <v>16</v>
      </c>
      <c r="E129" s="16">
        <v>10</v>
      </c>
      <c r="F129" s="16">
        <v>29</v>
      </c>
      <c r="G129" s="16">
        <v>104</v>
      </c>
      <c r="H129" s="16">
        <v>39</v>
      </c>
      <c r="I129" s="16">
        <f t="shared" ref="I129:I135" si="13">B129+C129+D129+E129+F129+G129+H129</f>
        <v>229</v>
      </c>
      <c r="J129" s="16"/>
      <c r="K129" s="53">
        <f t="shared" si="12"/>
        <v>2201</v>
      </c>
    </row>
    <row r="130" spans="1:14" x14ac:dyDescent="0.3">
      <c r="A130" s="15" t="s">
        <v>29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15</v>
      </c>
      <c r="H130" s="16">
        <v>6</v>
      </c>
      <c r="I130" s="16">
        <f t="shared" si="13"/>
        <v>21</v>
      </c>
      <c r="J130" s="16">
        <f>B129+C129+D129</f>
        <v>47</v>
      </c>
      <c r="K130" s="53">
        <f t="shared" si="12"/>
        <v>326</v>
      </c>
    </row>
    <row r="131" spans="1:14" x14ac:dyDescent="0.3">
      <c r="A131" s="15" t="s">
        <v>31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8</v>
      </c>
      <c r="H131" s="16">
        <v>0</v>
      </c>
      <c r="I131" s="16">
        <f t="shared" si="13"/>
        <v>8</v>
      </c>
      <c r="J131" s="16"/>
      <c r="K131" s="53">
        <f t="shared" si="12"/>
        <v>187</v>
      </c>
    </row>
    <row r="132" spans="1:14" x14ac:dyDescent="0.3">
      <c r="A132" s="15" t="s">
        <v>13</v>
      </c>
      <c r="B132" s="16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1</v>
      </c>
      <c r="I132" s="16">
        <f t="shared" si="13"/>
        <v>1</v>
      </c>
      <c r="J132" s="16"/>
      <c r="K132" s="53">
        <f t="shared" si="12"/>
        <v>57</v>
      </c>
    </row>
    <row r="133" spans="1:14" x14ac:dyDescent="0.3">
      <c r="A133" s="15" t="s">
        <v>14</v>
      </c>
      <c r="B133" s="16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f t="shared" si="13"/>
        <v>0</v>
      </c>
      <c r="J133" s="16"/>
      <c r="K133" s="53">
        <f t="shared" si="12"/>
        <v>0</v>
      </c>
    </row>
    <row r="134" spans="1:14" x14ac:dyDescent="0.3">
      <c r="A134" s="15" t="s">
        <v>32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f t="shared" si="13"/>
        <v>0</v>
      </c>
      <c r="J134" s="16"/>
      <c r="K134" s="53">
        <f t="shared" si="12"/>
        <v>0</v>
      </c>
    </row>
    <row r="135" spans="1:14" x14ac:dyDescent="0.3">
      <c r="A135" s="15" t="s">
        <v>33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f t="shared" si="13"/>
        <v>0</v>
      </c>
      <c r="J135" s="16"/>
      <c r="K135" s="53">
        <f t="shared" si="12"/>
        <v>27</v>
      </c>
    </row>
    <row r="136" spans="1:14" ht="19.5" thickBot="1" x14ac:dyDescent="0.35">
      <c r="A136" s="30" t="s">
        <v>15</v>
      </c>
      <c r="B136" s="31">
        <f t="shared" ref="B136:H136" si="14">(B127+B126)/B125*100%</f>
        <v>0.90740740740740744</v>
      </c>
      <c r="C136" s="31">
        <f t="shared" si="14"/>
        <v>0.92592592592592593</v>
      </c>
      <c r="D136" s="31">
        <f t="shared" si="14"/>
        <v>0.94444444444444442</v>
      </c>
      <c r="E136" s="31">
        <f t="shared" si="14"/>
        <v>0</v>
      </c>
      <c r="F136" s="31">
        <f t="shared" si="14"/>
        <v>7.407407407407407E-2</v>
      </c>
      <c r="G136" s="31">
        <f t="shared" si="14"/>
        <v>0.18518518518518517</v>
      </c>
      <c r="H136" s="31">
        <f t="shared" si="14"/>
        <v>0.12962962962962962</v>
      </c>
      <c r="I136" s="32">
        <f>(B136+C136+D136+E136+F136+G136+H136)/7</f>
        <v>0.45238095238095238</v>
      </c>
      <c r="J136" s="52"/>
      <c r="K136" s="53">
        <f t="shared" si="12"/>
        <v>4.6774120872345062</v>
      </c>
    </row>
    <row r="137" spans="1:14" x14ac:dyDescent="0.3">
      <c r="A137" s="33" t="s">
        <v>16</v>
      </c>
      <c r="B137" s="16"/>
      <c r="C137" s="17"/>
      <c r="D137" s="16"/>
      <c r="E137" s="18"/>
      <c r="F137" s="16"/>
      <c r="G137" s="16"/>
      <c r="H137" s="16"/>
      <c r="I137" s="16"/>
      <c r="J137" s="16"/>
      <c r="K137" s="53">
        <f t="shared" si="12"/>
        <v>0</v>
      </c>
    </row>
    <row r="138" spans="1:14" x14ac:dyDescent="0.3">
      <c r="A138" s="15" t="s">
        <v>17</v>
      </c>
      <c r="B138" s="28">
        <v>41743.019500000002</v>
      </c>
      <c r="C138" s="28">
        <v>44086.4375</v>
      </c>
      <c r="D138" s="28">
        <v>43067.095499999996</v>
      </c>
      <c r="E138" s="28">
        <v>3075.71</v>
      </c>
      <c r="F138" s="28">
        <v>15948.220000000001</v>
      </c>
      <c r="G138" s="28">
        <v>28451.608000000004</v>
      </c>
      <c r="H138" s="28">
        <v>10740.64</v>
      </c>
      <c r="I138" s="19">
        <f>SUM(B138:H138)</f>
        <v>187112.73050000001</v>
      </c>
      <c r="J138" s="19"/>
      <c r="K138" s="53">
        <f>D138+C138+B138+I109+I79+I52+I25</f>
        <v>1474017.5685000001</v>
      </c>
      <c r="N138" s="37"/>
    </row>
    <row r="139" spans="1:14" x14ac:dyDescent="0.3">
      <c r="A139" s="15" t="s">
        <v>18</v>
      </c>
      <c r="B139" s="28">
        <v>34584.422600000005</v>
      </c>
      <c r="C139" s="28">
        <v>38413.46</v>
      </c>
      <c r="D139" s="28">
        <v>37263.309900000007</v>
      </c>
      <c r="E139" s="28">
        <v>2432.9129999999996</v>
      </c>
      <c r="F139" s="28">
        <v>18377.067500000005</v>
      </c>
      <c r="G139" s="28">
        <v>46311.2111</v>
      </c>
      <c r="H139" s="28">
        <v>17076.9565</v>
      </c>
      <c r="I139" s="19">
        <f>SUM(B139:H139)</f>
        <v>194459.34060000003</v>
      </c>
      <c r="J139" s="19"/>
      <c r="K139" s="53">
        <f t="shared" si="12"/>
        <v>1690529.7638000003</v>
      </c>
      <c r="N139" s="37"/>
    </row>
    <row r="140" spans="1:14" x14ac:dyDescent="0.3">
      <c r="A140" s="15" t="s">
        <v>19</v>
      </c>
      <c r="B140" s="28">
        <v>28822.665300000001</v>
      </c>
      <c r="C140" s="28">
        <v>24853.941500000001</v>
      </c>
      <c r="D140" s="28">
        <v>24063.3992</v>
      </c>
      <c r="E140" s="28">
        <v>1216.4409999999998</v>
      </c>
      <c r="F140" s="28">
        <v>11387.4655</v>
      </c>
      <c r="G140" s="28">
        <v>24526.517899999999</v>
      </c>
      <c r="H140" s="28">
        <v>9956.0614999999998</v>
      </c>
      <c r="I140" s="19">
        <f>SUM(B140:H140)</f>
        <v>124826.49190000001</v>
      </c>
      <c r="J140" s="19"/>
      <c r="K140" s="53">
        <f t="shared" si="12"/>
        <v>1039702.1629000001</v>
      </c>
      <c r="N140" s="37"/>
    </row>
    <row r="141" spans="1:14" x14ac:dyDescent="0.3">
      <c r="A141" s="15" t="s">
        <v>21</v>
      </c>
      <c r="B141" s="28">
        <v>9541.2615999999998</v>
      </c>
      <c r="C141" s="28">
        <v>9775.6040000000012</v>
      </c>
      <c r="D141" s="28">
        <v>9576.090400000001</v>
      </c>
      <c r="E141" s="28">
        <v>0</v>
      </c>
      <c r="F141" s="28">
        <v>0</v>
      </c>
      <c r="G141" s="28">
        <v>0</v>
      </c>
      <c r="H141" s="28">
        <v>0</v>
      </c>
      <c r="I141" s="19">
        <f>SUM(B141:H141)</f>
        <v>28892.956000000002</v>
      </c>
      <c r="J141" s="73">
        <f>E129+F129+G129+H129+I158+I159+I160+I161+I187+I188+I189+I190+I216+I217+I218+I219+B245+B247+C245+D245+D247+E245+E246+E247</f>
        <v>1674</v>
      </c>
      <c r="K141" s="53">
        <f t="shared" si="12"/>
        <v>174942.3008</v>
      </c>
      <c r="N141" s="37"/>
    </row>
    <row r="142" spans="1:14" ht="19.5" thickBot="1" x14ac:dyDescent="0.35">
      <c r="A142" s="15" t="s">
        <v>22</v>
      </c>
      <c r="B142" s="28">
        <v>0</v>
      </c>
      <c r="C142" s="28">
        <v>0</v>
      </c>
      <c r="D142" s="28">
        <v>0</v>
      </c>
      <c r="E142" s="28">
        <v>0</v>
      </c>
      <c r="F142" s="28">
        <v>0</v>
      </c>
      <c r="G142" s="28">
        <v>0</v>
      </c>
      <c r="H142" s="28">
        <v>12500</v>
      </c>
      <c r="I142" s="19">
        <f>SUM(B142:H142)</f>
        <v>12500</v>
      </c>
      <c r="J142" s="19"/>
      <c r="K142" s="53">
        <f t="shared" si="12"/>
        <v>20695.689999999999</v>
      </c>
      <c r="N142" s="37"/>
    </row>
    <row r="143" spans="1:14" ht="19.5" thickBot="1" x14ac:dyDescent="0.35">
      <c r="A143" s="20" t="s">
        <v>7</v>
      </c>
      <c r="B143" s="21">
        <f>SUM(B138:B142)</f>
        <v>114691.36900000001</v>
      </c>
      <c r="C143" s="21">
        <f t="shared" ref="C143:H143" si="15">SUM(C138:C142)</f>
        <v>117129.443</v>
      </c>
      <c r="D143" s="21">
        <f t="shared" si="15"/>
        <v>113969.895</v>
      </c>
      <c r="E143" s="21">
        <f t="shared" si="15"/>
        <v>6725.0639999999994</v>
      </c>
      <c r="F143" s="21">
        <f t="shared" si="15"/>
        <v>45712.753000000004</v>
      </c>
      <c r="G143" s="21">
        <f t="shared" si="15"/>
        <v>99289.337</v>
      </c>
      <c r="H143" s="21">
        <f t="shared" si="15"/>
        <v>50273.657999999996</v>
      </c>
      <c r="I143" s="21">
        <f>I138+I139+I140+I141+I142</f>
        <v>547791.51900000009</v>
      </c>
      <c r="J143" s="53"/>
      <c r="K143" s="53">
        <f>D143+C143+B143+I114+I84+I57+I30</f>
        <v>4399887.4860000005</v>
      </c>
      <c r="L143" s="29"/>
      <c r="N143" s="37"/>
    </row>
    <row r="144" spans="1:14" ht="19.5" thickTop="1" x14ac:dyDescent="0.3">
      <c r="A144" s="22" t="s">
        <v>20</v>
      </c>
      <c r="B144" s="23">
        <f>2644.46*0.6</f>
        <v>1586.6759999999999</v>
      </c>
      <c r="C144" s="23">
        <f>9149.88*0.6</f>
        <v>5489.927999999999</v>
      </c>
      <c r="D144" s="23">
        <f>8055.43*0.6</f>
        <v>4833.2579999999998</v>
      </c>
      <c r="E144" s="23">
        <f>5288.94*0.6</f>
        <v>3173.3639999999996</v>
      </c>
      <c r="F144" s="23">
        <f>14809.03*0.6</f>
        <v>8885.4179999999997</v>
      </c>
      <c r="G144" s="23">
        <f>57234.39*0.6</f>
        <v>34340.633999999998</v>
      </c>
      <c r="H144" s="23">
        <f>21241.13*0.6</f>
        <v>12744.678</v>
      </c>
      <c r="I144" s="23">
        <f>SUM(B144:H144)</f>
        <v>71053.956000000006</v>
      </c>
      <c r="J144" s="23"/>
      <c r="K144" s="53">
        <f t="shared" ref="K144:K147" si="16">D144+C144+B144+I115+I85+I58+I31</f>
        <v>707224.52600000007</v>
      </c>
      <c r="L144" s="1">
        <f>K144*(100/60)</f>
        <v>1178707.5433333335</v>
      </c>
      <c r="N144" s="37"/>
    </row>
    <row r="145" spans="1:14" x14ac:dyDescent="0.3">
      <c r="A145" s="24" t="s">
        <v>25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53">
        <f t="shared" si="16"/>
        <v>0</v>
      </c>
    </row>
    <row r="146" spans="1:14" x14ac:dyDescent="0.3">
      <c r="A146" s="26" t="s">
        <v>23</v>
      </c>
      <c r="B146" s="25">
        <v>0</v>
      </c>
      <c r="C146" s="25">
        <v>0</v>
      </c>
      <c r="D146" s="25">
        <v>0</v>
      </c>
      <c r="E146" s="25">
        <v>0</v>
      </c>
      <c r="F146" s="25">
        <v>0</v>
      </c>
      <c r="G146" s="25">
        <v>0</v>
      </c>
      <c r="H146" s="25">
        <v>24410.01</v>
      </c>
      <c r="I146" s="25">
        <f>B146+C146+D146+E146+F146+G146+H146</f>
        <v>24410.01</v>
      </c>
      <c r="J146" s="25"/>
      <c r="K146" s="53">
        <f t="shared" si="16"/>
        <v>267209.12</v>
      </c>
      <c r="N146" s="37"/>
    </row>
    <row r="147" spans="1:14" ht="19.5" thickBot="1" x14ac:dyDescent="0.35">
      <c r="A147" s="27" t="s">
        <v>24</v>
      </c>
      <c r="B147" s="25">
        <v>0</v>
      </c>
      <c r="C147" s="25">
        <v>8136.7</v>
      </c>
      <c r="D147" s="25">
        <v>8136.7</v>
      </c>
      <c r="E147" s="25">
        <v>0</v>
      </c>
      <c r="F147" s="25">
        <v>0</v>
      </c>
      <c r="G147" s="25">
        <v>0</v>
      </c>
      <c r="H147" s="25">
        <v>35546.78</v>
      </c>
      <c r="I147" s="25">
        <f>B147+C147+D147+E147+F147+G147+H147</f>
        <v>51820.18</v>
      </c>
      <c r="J147" s="25"/>
      <c r="K147" s="53">
        <f t="shared" si="16"/>
        <v>323840.53000000003</v>
      </c>
    </row>
    <row r="148" spans="1:14" x14ac:dyDescent="0.3">
      <c r="A148" s="16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4" x14ac:dyDescent="0.3">
      <c r="A149" s="16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1" spans="1:14" x14ac:dyDescent="0.3">
      <c r="A151" s="4" t="s">
        <v>42</v>
      </c>
      <c r="B151" s="5" t="s">
        <v>0</v>
      </c>
      <c r="C151" s="5" t="s">
        <v>1</v>
      </c>
      <c r="D151" s="5" t="s">
        <v>2</v>
      </c>
      <c r="E151" s="6" t="s">
        <v>3</v>
      </c>
      <c r="F151" s="5" t="s">
        <v>4</v>
      </c>
      <c r="G151" s="5" t="s">
        <v>5</v>
      </c>
      <c r="H151" s="5" t="s">
        <v>6</v>
      </c>
      <c r="I151" s="5" t="s">
        <v>7</v>
      </c>
      <c r="J151" s="11"/>
      <c r="K151" s="11"/>
    </row>
    <row r="152" spans="1:14" x14ac:dyDescent="0.3">
      <c r="A152" s="7"/>
      <c r="B152" s="8">
        <v>45327</v>
      </c>
      <c r="C152" s="8">
        <v>45328</v>
      </c>
      <c r="D152" s="8">
        <v>45329</v>
      </c>
      <c r="E152" s="8">
        <v>45330</v>
      </c>
      <c r="F152" s="8">
        <v>45331</v>
      </c>
      <c r="G152" s="8">
        <v>45332</v>
      </c>
      <c r="H152" s="8">
        <v>45333</v>
      </c>
      <c r="I152" s="9"/>
      <c r="J152" s="11"/>
      <c r="K152" s="11"/>
    </row>
    <row r="153" spans="1:14" ht="19.5" thickBot="1" x14ac:dyDescent="0.35">
      <c r="A153" s="10" t="s">
        <v>8</v>
      </c>
      <c r="B153" s="11" t="s">
        <v>9</v>
      </c>
      <c r="C153" s="11" t="s">
        <v>9</v>
      </c>
      <c r="D153" s="11" t="s">
        <v>9</v>
      </c>
      <c r="E153" s="11" t="s">
        <v>9</v>
      </c>
      <c r="F153" s="11" t="s">
        <v>9</v>
      </c>
      <c r="G153" s="11" t="s">
        <v>9</v>
      </c>
      <c r="H153" s="11" t="s">
        <v>9</v>
      </c>
      <c r="I153" s="12" t="s">
        <v>9</v>
      </c>
      <c r="J153" s="11"/>
      <c r="K153" s="11"/>
    </row>
    <row r="154" spans="1:14" x14ac:dyDescent="0.3">
      <c r="A154" s="13" t="s">
        <v>10</v>
      </c>
      <c r="B154" s="14">
        <v>54</v>
      </c>
      <c r="C154" s="14">
        <v>53</v>
      </c>
      <c r="D154" s="14">
        <v>54</v>
      </c>
      <c r="E154" s="14">
        <v>53</v>
      </c>
      <c r="F154" s="14">
        <v>52</v>
      </c>
      <c r="G154" s="14">
        <v>50</v>
      </c>
      <c r="H154" s="14">
        <v>49</v>
      </c>
      <c r="I154" s="14"/>
      <c r="J154" s="16"/>
      <c r="K154" s="16"/>
    </row>
    <row r="155" spans="1:14" x14ac:dyDescent="0.3">
      <c r="A155" s="15" t="s">
        <v>11</v>
      </c>
      <c r="B155" s="16">
        <v>5</v>
      </c>
      <c r="C155" s="16">
        <v>5</v>
      </c>
      <c r="D155" s="16">
        <v>4</v>
      </c>
      <c r="E155" s="16">
        <v>4</v>
      </c>
      <c r="F155" s="16">
        <v>4</v>
      </c>
      <c r="G155" s="16">
        <v>2</v>
      </c>
      <c r="H155" s="16">
        <v>2</v>
      </c>
      <c r="I155" s="16">
        <f>SUM(B155:H155)</f>
        <v>26</v>
      </c>
      <c r="J155" s="16"/>
      <c r="K155" s="16"/>
    </row>
    <row r="156" spans="1:14" x14ac:dyDescent="0.3">
      <c r="A156" s="15" t="s">
        <v>12</v>
      </c>
      <c r="B156" s="16">
        <v>1</v>
      </c>
      <c r="C156" s="16">
        <v>2</v>
      </c>
      <c r="D156" s="16">
        <v>22</v>
      </c>
      <c r="E156" s="16">
        <v>23</v>
      </c>
      <c r="F156" s="16">
        <v>2</v>
      </c>
      <c r="G156" s="16">
        <v>5</v>
      </c>
      <c r="H156" s="16">
        <v>5</v>
      </c>
      <c r="I156" s="16">
        <f>SUM(B156:H156)</f>
        <v>60</v>
      </c>
      <c r="J156" s="16"/>
      <c r="K156" s="16"/>
    </row>
    <row r="157" spans="1:14" x14ac:dyDescent="0.3">
      <c r="A157" s="15" t="s">
        <v>30</v>
      </c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f>SUM(B157:H157)</f>
        <v>0</v>
      </c>
      <c r="J157" s="16"/>
      <c r="K157" s="16"/>
    </row>
    <row r="158" spans="1:14" x14ac:dyDescent="0.3">
      <c r="A158" s="15" t="s">
        <v>28</v>
      </c>
      <c r="B158" s="16">
        <v>10</v>
      </c>
      <c r="C158" s="16">
        <v>9</v>
      </c>
      <c r="D158" s="16">
        <v>7</v>
      </c>
      <c r="E158" s="16">
        <v>14</v>
      </c>
      <c r="F158" s="16">
        <v>20</v>
      </c>
      <c r="G158" s="16">
        <v>50</v>
      </c>
      <c r="H158" s="16">
        <v>40</v>
      </c>
      <c r="I158" s="16">
        <f t="shared" ref="I158:I164" si="17">B158+C158+D158+E158+F158+G158+H158</f>
        <v>150</v>
      </c>
      <c r="J158" s="16"/>
      <c r="K158" s="16"/>
    </row>
    <row r="159" spans="1:14" x14ac:dyDescent="0.3">
      <c r="A159" s="15" t="s">
        <v>29</v>
      </c>
      <c r="B159" s="16">
        <v>0</v>
      </c>
      <c r="C159" s="16">
        <v>0</v>
      </c>
      <c r="D159" s="16">
        <v>0</v>
      </c>
      <c r="E159" s="16">
        <v>0</v>
      </c>
      <c r="F159" s="16">
        <v>0</v>
      </c>
      <c r="G159" s="16">
        <v>17</v>
      </c>
      <c r="H159" s="16">
        <v>4</v>
      </c>
      <c r="I159" s="16">
        <f t="shared" si="17"/>
        <v>21</v>
      </c>
      <c r="J159" s="16"/>
      <c r="K159" s="16"/>
    </row>
    <row r="160" spans="1:14" x14ac:dyDescent="0.3">
      <c r="A160" s="15" t="s">
        <v>31</v>
      </c>
      <c r="B160" s="16">
        <v>0</v>
      </c>
      <c r="C160" s="16">
        <v>0</v>
      </c>
      <c r="D160" s="16">
        <v>2</v>
      </c>
      <c r="E160" s="16">
        <v>0</v>
      </c>
      <c r="F160" s="16">
        <v>0</v>
      </c>
      <c r="G160" s="16">
        <v>33</v>
      </c>
      <c r="H160" s="16">
        <v>0</v>
      </c>
      <c r="I160" s="16">
        <f t="shared" si="17"/>
        <v>35</v>
      </c>
      <c r="J160" s="16"/>
      <c r="K160" s="16"/>
    </row>
    <row r="161" spans="1:12" x14ac:dyDescent="0.3">
      <c r="A161" s="15" t="s">
        <v>13</v>
      </c>
      <c r="B161" s="16">
        <v>0</v>
      </c>
      <c r="C161" s="16">
        <v>1</v>
      </c>
      <c r="D161" s="16">
        <v>0</v>
      </c>
      <c r="E161" s="16">
        <v>0</v>
      </c>
      <c r="F161" s="16">
        <v>1</v>
      </c>
      <c r="G161" s="16">
        <v>0</v>
      </c>
      <c r="H161" s="16">
        <v>0</v>
      </c>
      <c r="I161" s="16">
        <f t="shared" si="17"/>
        <v>2</v>
      </c>
      <c r="J161" s="16"/>
      <c r="K161" s="16"/>
    </row>
    <row r="162" spans="1:12" x14ac:dyDescent="0.3">
      <c r="A162" s="15" t="s">
        <v>14</v>
      </c>
      <c r="B162" s="16">
        <v>0</v>
      </c>
      <c r="C162" s="16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f t="shared" si="17"/>
        <v>0</v>
      </c>
      <c r="J162" s="16"/>
      <c r="K162" s="16"/>
    </row>
    <row r="163" spans="1:12" x14ac:dyDescent="0.3">
      <c r="A163" s="15" t="s">
        <v>32</v>
      </c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f t="shared" si="17"/>
        <v>0</v>
      </c>
      <c r="J163" s="16"/>
      <c r="K163" s="16"/>
    </row>
    <row r="164" spans="1:12" x14ac:dyDescent="0.3">
      <c r="A164" s="15" t="s">
        <v>33</v>
      </c>
      <c r="B164" s="16">
        <v>0</v>
      </c>
      <c r="C164" s="16">
        <v>0</v>
      </c>
      <c r="D164" s="16">
        <v>0</v>
      </c>
      <c r="E164" s="16">
        <v>23</v>
      </c>
      <c r="F164" s="16">
        <v>22</v>
      </c>
      <c r="G164" s="16">
        <v>0</v>
      </c>
      <c r="H164" s="16">
        <v>0</v>
      </c>
      <c r="I164" s="16">
        <f t="shared" si="17"/>
        <v>45</v>
      </c>
      <c r="J164" s="16"/>
      <c r="K164" s="16"/>
    </row>
    <row r="165" spans="1:12" ht="19.5" thickBot="1" x14ac:dyDescent="0.35">
      <c r="A165" s="30" t="s">
        <v>15</v>
      </c>
      <c r="B165" s="31">
        <f t="shared" ref="B165:H165" si="18">(B156+B155)/B154*100%</f>
        <v>0.1111111111111111</v>
      </c>
      <c r="C165" s="31">
        <f t="shared" si="18"/>
        <v>0.13207547169811321</v>
      </c>
      <c r="D165" s="31">
        <f t="shared" si="18"/>
        <v>0.48148148148148145</v>
      </c>
      <c r="E165" s="31">
        <f t="shared" si="18"/>
        <v>0.50943396226415094</v>
      </c>
      <c r="F165" s="31">
        <f t="shared" si="18"/>
        <v>0.11538461538461539</v>
      </c>
      <c r="G165" s="31">
        <f t="shared" si="18"/>
        <v>0.14000000000000001</v>
      </c>
      <c r="H165" s="31">
        <f t="shared" si="18"/>
        <v>0.14285714285714285</v>
      </c>
      <c r="I165" s="32">
        <f>(B165+C165+D165+E165+F165+G165+H165)/7</f>
        <v>0.23319196925665928</v>
      </c>
      <c r="J165" s="52"/>
      <c r="K165" s="52"/>
    </row>
    <row r="166" spans="1:12" x14ac:dyDescent="0.3">
      <c r="A166" s="33" t="s">
        <v>16</v>
      </c>
      <c r="B166" s="16"/>
      <c r="C166" s="17"/>
      <c r="D166" s="16"/>
      <c r="E166" s="18"/>
      <c r="F166" s="16"/>
      <c r="G166" s="16"/>
      <c r="H166" s="16"/>
      <c r="I166" s="16"/>
      <c r="J166" s="16"/>
      <c r="K166" s="16"/>
    </row>
    <row r="167" spans="1:12" x14ac:dyDescent="0.3">
      <c r="A167" s="15" t="s">
        <v>17</v>
      </c>
      <c r="B167" s="28">
        <v>2278.3200000000002</v>
      </c>
      <c r="C167" s="28">
        <v>3200.0560000000005</v>
      </c>
      <c r="D167" s="28">
        <v>35455.303499999995</v>
      </c>
      <c r="E167" s="28">
        <v>38221.835500000001</v>
      </c>
      <c r="F167" s="28">
        <v>5533.0640000000003</v>
      </c>
      <c r="G167" s="28">
        <v>11554.324000000001</v>
      </c>
      <c r="H167" s="28">
        <v>14483.592000000002</v>
      </c>
      <c r="I167" s="19">
        <f>SUM(B167:H167)</f>
        <v>110726.495</v>
      </c>
      <c r="J167" s="19"/>
      <c r="K167" s="19"/>
    </row>
    <row r="168" spans="1:12" x14ac:dyDescent="0.3">
      <c r="A168" s="15" t="s">
        <v>18</v>
      </c>
      <c r="B168" s="28">
        <v>4035.8760000000007</v>
      </c>
      <c r="C168" s="28">
        <v>4510.2262000000001</v>
      </c>
      <c r="D168" s="28">
        <v>30001.772300000004</v>
      </c>
      <c r="E168" s="28">
        <v>49544.327200000007</v>
      </c>
      <c r="F168" s="28">
        <v>22516.685300000001</v>
      </c>
      <c r="G168" s="28">
        <v>26828.191800000004</v>
      </c>
      <c r="H168" s="28">
        <v>20122.974900000001</v>
      </c>
      <c r="I168" s="19">
        <f>SUM(B168:H168)</f>
        <v>157560.05370000002</v>
      </c>
      <c r="J168" s="19"/>
      <c r="K168" s="19"/>
    </row>
    <row r="169" spans="1:12" x14ac:dyDescent="0.3">
      <c r="A169" s="15" t="s">
        <v>19</v>
      </c>
      <c r="B169" s="28">
        <v>2172.56</v>
      </c>
      <c r="C169" s="28">
        <v>2866.6397999999999</v>
      </c>
      <c r="D169" s="28">
        <v>19943.737399999998</v>
      </c>
      <c r="E169" s="28">
        <v>27378.737499999999</v>
      </c>
      <c r="F169" s="28">
        <v>10135.518700000001</v>
      </c>
      <c r="G169" s="28">
        <v>13474.993200000001</v>
      </c>
      <c r="H169" s="28">
        <v>11881.819100000001</v>
      </c>
      <c r="I169" s="19">
        <f>SUM(B169:H169)</f>
        <v>87854.005700000009</v>
      </c>
      <c r="J169" s="19"/>
      <c r="K169" s="19"/>
    </row>
    <row r="170" spans="1:12" x14ac:dyDescent="0.3">
      <c r="A170" s="15" t="s">
        <v>21</v>
      </c>
      <c r="B170" s="28">
        <v>0</v>
      </c>
      <c r="C170" s="28">
        <v>0</v>
      </c>
      <c r="D170" s="28">
        <v>7360.1288000000004</v>
      </c>
      <c r="E170" s="28">
        <v>7360.1288000000004</v>
      </c>
      <c r="F170" s="28">
        <v>0</v>
      </c>
      <c r="G170" s="28">
        <v>0</v>
      </c>
      <c r="H170" s="28">
        <v>0</v>
      </c>
      <c r="I170" s="19">
        <f>SUM(B170:H170)</f>
        <v>14720.257600000001</v>
      </c>
      <c r="J170" s="19"/>
      <c r="K170" s="19"/>
    </row>
    <row r="171" spans="1:12" ht="19.5" thickBot="1" x14ac:dyDescent="0.35">
      <c r="A171" s="15" t="s">
        <v>22</v>
      </c>
      <c r="B171" s="28">
        <v>0</v>
      </c>
      <c r="C171" s="28">
        <v>0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I171" s="19">
        <f>SUM(B171:H171)</f>
        <v>0</v>
      </c>
      <c r="J171" s="19"/>
      <c r="K171" s="19"/>
    </row>
    <row r="172" spans="1:12" ht="19.5" thickBot="1" x14ac:dyDescent="0.35">
      <c r="A172" s="20" t="s">
        <v>7</v>
      </c>
      <c r="B172" s="21">
        <f>SUM(B167:B171)</f>
        <v>8486.7560000000012</v>
      </c>
      <c r="C172" s="21">
        <f t="shared" ref="C172:H172" si="19">SUM(C167:C171)</f>
        <v>10576.922</v>
      </c>
      <c r="D172" s="21">
        <f t="shared" si="19"/>
        <v>92760.94200000001</v>
      </c>
      <c r="E172" s="21">
        <f t="shared" si="19"/>
        <v>122505.02900000002</v>
      </c>
      <c r="F172" s="21">
        <f t="shared" si="19"/>
        <v>38185.268000000004</v>
      </c>
      <c r="G172" s="21">
        <f t="shared" si="19"/>
        <v>51857.509000000005</v>
      </c>
      <c r="H172" s="21">
        <f t="shared" si="19"/>
        <v>46488.386000000006</v>
      </c>
      <c r="I172" s="21">
        <f>I167+I168+I169+I170+I171</f>
        <v>370860.81200000003</v>
      </c>
      <c r="J172" s="53"/>
      <c r="K172" s="53"/>
      <c r="L172" s="29"/>
    </row>
    <row r="173" spans="1:12" ht="19.5" thickTop="1" x14ac:dyDescent="0.3">
      <c r="A173" s="22" t="s">
        <v>20</v>
      </c>
      <c r="B173" s="23">
        <f>5288.96*0.6</f>
        <v>3173.3759999999997</v>
      </c>
      <c r="C173" s="23">
        <f>5044.86*0.6</f>
        <v>3026.9159999999997</v>
      </c>
      <c r="D173" s="23">
        <f>4271.83*0.6</f>
        <v>2563.098</v>
      </c>
      <c r="E173" s="23">
        <f>41904.48*0.6</f>
        <v>25142.688000000002</v>
      </c>
      <c r="F173" s="23">
        <f>41294.49*0.6</f>
        <v>24776.694</v>
      </c>
      <c r="G173" s="23">
        <f>38570.9*0.6</f>
        <v>23142.54</v>
      </c>
      <c r="H173" s="23">
        <f>21916.49*0.6</f>
        <v>13149.894</v>
      </c>
      <c r="I173" s="23">
        <f>B173+C173+D173+E173+F173+G173+H173</f>
        <v>94975.206000000006</v>
      </c>
      <c r="J173" s="23"/>
      <c r="K173" s="23"/>
      <c r="L173" s="29"/>
    </row>
    <row r="174" spans="1:12" x14ac:dyDescent="0.3">
      <c r="A174" s="24" t="s">
        <v>25</v>
      </c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2" x14ac:dyDescent="0.3">
      <c r="A175" s="26" t="s">
        <v>23</v>
      </c>
      <c r="B175" s="25">
        <v>29292.11</v>
      </c>
      <c r="C175" s="25">
        <v>29292.11</v>
      </c>
      <c r="D175" s="25">
        <v>13018.71</v>
      </c>
      <c r="E175" s="25">
        <v>17900.73</v>
      </c>
      <c r="F175" s="25">
        <v>17900.73</v>
      </c>
      <c r="G175" s="25">
        <v>0</v>
      </c>
      <c r="H175" s="25">
        <v>0</v>
      </c>
      <c r="I175" s="25">
        <f>B175+C175+D175+E175+F175+G175+H175</f>
        <v>107404.38999999998</v>
      </c>
      <c r="J175" s="25"/>
      <c r="K175" s="25"/>
    </row>
    <row r="176" spans="1:12" ht="19.5" thickBot="1" x14ac:dyDescent="0.35">
      <c r="A176" s="27" t="s">
        <v>24</v>
      </c>
      <c r="B176" s="25">
        <v>45565.5</v>
      </c>
      <c r="C176" s="25">
        <v>45565.5</v>
      </c>
      <c r="D176" s="25">
        <v>29292.11</v>
      </c>
      <c r="E176" s="25">
        <v>24410.99</v>
      </c>
      <c r="F176" s="25">
        <v>24410.99</v>
      </c>
      <c r="G176" s="25">
        <v>9764.0400000000009</v>
      </c>
      <c r="H176" s="25">
        <v>9764.0400000000009</v>
      </c>
      <c r="I176" s="25">
        <f>B176+C176+D176+E176+F176+G176+H176</f>
        <v>188773.17</v>
      </c>
      <c r="J176" s="25"/>
      <c r="K176" s="25"/>
    </row>
    <row r="177" spans="1:11" x14ac:dyDescent="0.3">
      <c r="A177" s="16"/>
      <c r="B177" s="19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x14ac:dyDescent="0.3">
      <c r="A178" s="16"/>
      <c r="B178" s="19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7.45" customHeight="1" x14ac:dyDescent="0.3"/>
    <row r="180" spans="1:11" x14ac:dyDescent="0.3">
      <c r="A180" s="4" t="s">
        <v>43</v>
      </c>
      <c r="B180" s="5" t="s">
        <v>0</v>
      </c>
      <c r="C180" s="5" t="s">
        <v>1</v>
      </c>
      <c r="D180" s="5" t="s">
        <v>2</v>
      </c>
      <c r="E180" s="6" t="s">
        <v>3</v>
      </c>
      <c r="F180" s="5" t="s">
        <v>4</v>
      </c>
      <c r="G180" s="5" t="s">
        <v>5</v>
      </c>
      <c r="H180" s="5" t="s">
        <v>6</v>
      </c>
      <c r="I180" s="5" t="s">
        <v>7</v>
      </c>
      <c r="J180" s="11"/>
      <c r="K180" s="11"/>
    </row>
    <row r="181" spans="1:11" x14ac:dyDescent="0.3">
      <c r="A181" s="7"/>
      <c r="B181" s="8">
        <v>45334</v>
      </c>
      <c r="C181" s="8">
        <v>45335</v>
      </c>
      <c r="D181" s="8">
        <v>45336</v>
      </c>
      <c r="E181" s="8">
        <v>45337</v>
      </c>
      <c r="F181" s="8">
        <v>45338</v>
      </c>
      <c r="G181" s="8">
        <v>45339</v>
      </c>
      <c r="H181" s="8">
        <v>45340</v>
      </c>
      <c r="I181" s="9"/>
      <c r="J181" s="11"/>
      <c r="K181" s="11"/>
    </row>
    <row r="182" spans="1:11" ht="19.5" thickBot="1" x14ac:dyDescent="0.35">
      <c r="A182" s="10" t="s">
        <v>8</v>
      </c>
      <c r="B182" s="11" t="s">
        <v>9</v>
      </c>
      <c r="C182" s="11" t="s">
        <v>9</v>
      </c>
      <c r="D182" s="11" t="s">
        <v>9</v>
      </c>
      <c r="E182" s="11" t="s">
        <v>9</v>
      </c>
      <c r="F182" s="11" t="s">
        <v>9</v>
      </c>
      <c r="G182" s="11" t="s">
        <v>9</v>
      </c>
      <c r="H182" s="11" t="s">
        <v>9</v>
      </c>
      <c r="I182" s="12" t="s">
        <v>9</v>
      </c>
      <c r="J182" s="11"/>
      <c r="K182" s="11"/>
    </row>
    <row r="183" spans="1:11" x14ac:dyDescent="0.3">
      <c r="A183" s="13" t="s">
        <v>10</v>
      </c>
      <c r="B183" s="14">
        <v>49</v>
      </c>
      <c r="C183" s="14">
        <v>49</v>
      </c>
      <c r="D183" s="14">
        <v>50</v>
      </c>
      <c r="E183" s="14">
        <v>51</v>
      </c>
      <c r="F183" s="14">
        <v>50</v>
      </c>
      <c r="G183" s="14">
        <v>48</v>
      </c>
      <c r="H183" s="14">
        <v>48</v>
      </c>
      <c r="I183" s="14"/>
      <c r="J183" s="16"/>
      <c r="K183" s="16"/>
    </row>
    <row r="184" spans="1:11" x14ac:dyDescent="0.3">
      <c r="A184" s="15" t="s">
        <v>11</v>
      </c>
      <c r="B184" s="16">
        <v>1</v>
      </c>
      <c r="C184" s="16">
        <v>1</v>
      </c>
      <c r="D184" s="16">
        <v>1</v>
      </c>
      <c r="E184" s="16">
        <v>0</v>
      </c>
      <c r="F184" s="16">
        <v>1</v>
      </c>
      <c r="G184" s="16">
        <v>5</v>
      </c>
      <c r="H184" s="16">
        <v>1</v>
      </c>
      <c r="I184" s="16">
        <f>SUM(B184:H184)</f>
        <v>10</v>
      </c>
      <c r="J184" s="16"/>
      <c r="K184" s="16"/>
    </row>
    <row r="185" spans="1:11" x14ac:dyDescent="0.3">
      <c r="A185" s="15" t="s">
        <v>12</v>
      </c>
      <c r="B185" s="16">
        <v>4</v>
      </c>
      <c r="C185" s="16">
        <v>9</v>
      </c>
      <c r="D185" s="16">
        <v>14</v>
      </c>
      <c r="E185" s="16">
        <v>10</v>
      </c>
      <c r="F185" s="16">
        <v>22</v>
      </c>
      <c r="G185" s="16">
        <v>26</v>
      </c>
      <c r="H185" s="16">
        <v>2</v>
      </c>
      <c r="I185" s="16">
        <f>SUM(B185:H185)</f>
        <v>87</v>
      </c>
      <c r="J185" s="16"/>
      <c r="K185" s="16"/>
    </row>
    <row r="186" spans="1:11" x14ac:dyDescent="0.3">
      <c r="A186" s="15" t="s">
        <v>30</v>
      </c>
      <c r="B186" s="16">
        <v>0</v>
      </c>
      <c r="C186" s="16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f>SUM(B186:H186)</f>
        <v>0</v>
      </c>
      <c r="J186" s="16"/>
      <c r="K186" s="16"/>
    </row>
    <row r="187" spans="1:11" x14ac:dyDescent="0.3">
      <c r="A187" s="15" t="s">
        <v>28</v>
      </c>
      <c r="B187" s="16">
        <v>10</v>
      </c>
      <c r="C187" s="16">
        <v>25</v>
      </c>
      <c r="D187" s="16">
        <v>13</v>
      </c>
      <c r="E187" s="16">
        <v>39</v>
      </c>
      <c r="F187" s="16">
        <v>17</v>
      </c>
      <c r="G187" s="16">
        <v>71</v>
      </c>
      <c r="H187" s="16">
        <v>91</v>
      </c>
      <c r="I187" s="16">
        <f t="shared" ref="I187:I193" si="20">B187+C187+D187+E187+F187+G187+H187</f>
        <v>266</v>
      </c>
      <c r="J187" s="16"/>
      <c r="K187" s="16"/>
    </row>
    <row r="188" spans="1:11" x14ac:dyDescent="0.3">
      <c r="A188" s="15" t="s">
        <v>29</v>
      </c>
      <c r="B188" s="16">
        <v>2</v>
      </c>
      <c r="C188" s="16">
        <v>4</v>
      </c>
      <c r="D188" s="16">
        <v>0</v>
      </c>
      <c r="E188" s="16">
        <v>123</v>
      </c>
      <c r="F188" s="16">
        <v>0</v>
      </c>
      <c r="G188" s="16">
        <v>6</v>
      </c>
      <c r="H188" s="16">
        <v>16</v>
      </c>
      <c r="I188" s="16">
        <f t="shared" si="20"/>
        <v>151</v>
      </c>
      <c r="J188" s="16"/>
      <c r="K188" s="16"/>
    </row>
    <row r="189" spans="1:11" x14ac:dyDescent="0.3">
      <c r="A189" s="15" t="s">
        <v>31</v>
      </c>
      <c r="B189" s="16">
        <v>1</v>
      </c>
      <c r="C189" s="16">
        <v>1</v>
      </c>
      <c r="D189" s="16">
        <v>0</v>
      </c>
      <c r="E189" s="16">
        <v>0</v>
      </c>
      <c r="F189" s="16">
        <v>40</v>
      </c>
      <c r="G189" s="16">
        <v>5</v>
      </c>
      <c r="H189" s="16">
        <v>10</v>
      </c>
      <c r="I189" s="16">
        <f t="shared" si="20"/>
        <v>57</v>
      </c>
      <c r="J189" s="16"/>
      <c r="K189" s="16"/>
    </row>
    <row r="190" spans="1:11" x14ac:dyDescent="0.3">
      <c r="A190" s="15" t="s">
        <v>13</v>
      </c>
      <c r="B190" s="16">
        <v>0</v>
      </c>
      <c r="C190" s="16">
        <v>0</v>
      </c>
      <c r="D190" s="16">
        <v>0</v>
      </c>
      <c r="E190" s="16">
        <v>0</v>
      </c>
      <c r="F190" s="16">
        <v>2</v>
      </c>
      <c r="G190" s="16">
        <v>0</v>
      </c>
      <c r="H190" s="16">
        <v>2</v>
      </c>
      <c r="I190" s="16">
        <f t="shared" si="20"/>
        <v>4</v>
      </c>
      <c r="J190" s="16"/>
      <c r="K190" s="16"/>
    </row>
    <row r="191" spans="1:11" x14ac:dyDescent="0.3">
      <c r="A191" s="15" t="s">
        <v>14</v>
      </c>
      <c r="B191" s="16">
        <v>0</v>
      </c>
      <c r="C191" s="16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f t="shared" si="20"/>
        <v>0</v>
      </c>
      <c r="J191" s="16"/>
      <c r="K191" s="16"/>
    </row>
    <row r="192" spans="1:11" x14ac:dyDescent="0.3">
      <c r="A192" s="15" t="s">
        <v>32</v>
      </c>
      <c r="B192" s="16">
        <v>0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f t="shared" si="20"/>
        <v>0</v>
      </c>
      <c r="J192" s="16"/>
      <c r="K192" s="16"/>
    </row>
    <row r="193" spans="1:11" x14ac:dyDescent="0.3">
      <c r="A193" s="15" t="s">
        <v>33</v>
      </c>
      <c r="B193" s="16">
        <v>0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f t="shared" si="20"/>
        <v>0</v>
      </c>
      <c r="J193" s="16"/>
      <c r="K193" s="16"/>
    </row>
    <row r="194" spans="1:11" ht="19.5" thickBot="1" x14ac:dyDescent="0.35">
      <c r="A194" s="30" t="s">
        <v>15</v>
      </c>
      <c r="B194" s="31">
        <f t="shared" ref="B194:H194" si="21">(B185+B184)/B183*100%</f>
        <v>0.10204081632653061</v>
      </c>
      <c r="C194" s="31">
        <f t="shared" si="21"/>
        <v>0.20408163265306123</v>
      </c>
      <c r="D194" s="31">
        <f t="shared" si="21"/>
        <v>0.3</v>
      </c>
      <c r="E194" s="31">
        <f t="shared" si="21"/>
        <v>0.19607843137254902</v>
      </c>
      <c r="F194" s="31">
        <f t="shared" si="21"/>
        <v>0.46</v>
      </c>
      <c r="G194" s="31">
        <f t="shared" si="21"/>
        <v>0.64583333333333337</v>
      </c>
      <c r="H194" s="31">
        <f t="shared" si="21"/>
        <v>6.25E-2</v>
      </c>
      <c r="I194" s="32">
        <f>(B194+C194+D194+E194+F194+G194+H194)/7</f>
        <v>0.28150488766935344</v>
      </c>
      <c r="J194" s="52"/>
      <c r="K194" s="52"/>
    </row>
    <row r="195" spans="1:11" x14ac:dyDescent="0.3">
      <c r="A195" s="33" t="s">
        <v>16</v>
      </c>
      <c r="B195" s="16"/>
      <c r="C195" s="17"/>
      <c r="D195" s="16"/>
      <c r="E195" s="18"/>
      <c r="F195" s="16"/>
      <c r="G195" s="16"/>
      <c r="H195" s="16"/>
      <c r="I195" s="16"/>
      <c r="J195" s="16"/>
      <c r="K195" s="16"/>
    </row>
    <row r="196" spans="1:11" x14ac:dyDescent="0.3">
      <c r="A196" s="15" t="s">
        <v>17</v>
      </c>
      <c r="B196" s="28">
        <v>17534.923999999999</v>
      </c>
      <c r="C196" s="28">
        <v>24378.008000000002</v>
      </c>
      <c r="D196" s="28">
        <v>38650.023999999998</v>
      </c>
      <c r="E196" s="28">
        <v>25643.483000000004</v>
      </c>
      <c r="F196" s="28">
        <v>45067.908000000003</v>
      </c>
      <c r="G196" s="28">
        <v>63935.488000000005</v>
      </c>
      <c r="H196" s="28">
        <v>3132.68</v>
      </c>
      <c r="I196" s="19">
        <f>SUM(B196:H196)</f>
        <v>218342.51500000001</v>
      </c>
      <c r="J196" s="19"/>
      <c r="K196" s="19"/>
    </row>
    <row r="197" spans="1:11" x14ac:dyDescent="0.3">
      <c r="A197" s="15" t="s">
        <v>18</v>
      </c>
      <c r="B197" s="28">
        <v>11391.990299999999</v>
      </c>
      <c r="C197" s="28">
        <v>26357.2271</v>
      </c>
      <c r="D197" s="28">
        <v>29753.633800000003</v>
      </c>
      <c r="E197" s="28">
        <v>35015.462699999996</v>
      </c>
      <c r="F197" s="28">
        <v>41350.188200000004</v>
      </c>
      <c r="G197" s="28">
        <v>64142.891400000008</v>
      </c>
      <c r="H197" s="28">
        <v>22958.862000000001</v>
      </c>
      <c r="I197" s="19">
        <f>SUM(B197:H197)</f>
        <v>230970.2555</v>
      </c>
      <c r="J197" s="19"/>
      <c r="K197" s="19"/>
    </row>
    <row r="198" spans="1:11" x14ac:dyDescent="0.3">
      <c r="A198" s="15" t="s">
        <v>19</v>
      </c>
      <c r="B198" s="28">
        <v>7681.5936999999994</v>
      </c>
      <c r="C198" s="28">
        <v>17658.214899999999</v>
      </c>
      <c r="D198" s="28">
        <v>22696.553200000002</v>
      </c>
      <c r="E198" s="28">
        <v>18524.857500000002</v>
      </c>
      <c r="F198" s="28">
        <v>28472.928</v>
      </c>
      <c r="G198" s="28">
        <v>42710.296199999997</v>
      </c>
      <c r="H198" s="28">
        <v>8480.4410000000007</v>
      </c>
      <c r="I198" s="19">
        <f>SUM(B198:H198)</f>
        <v>146224.88449999999</v>
      </c>
      <c r="J198" s="19"/>
      <c r="K198" s="19"/>
    </row>
    <row r="199" spans="1:11" x14ac:dyDescent="0.3">
      <c r="A199" s="15" t="s">
        <v>21</v>
      </c>
      <c r="B199" s="28">
        <v>0</v>
      </c>
      <c r="C199" s="28">
        <v>0</v>
      </c>
      <c r="D199" s="28">
        <v>0</v>
      </c>
      <c r="E199" s="28">
        <v>958.8048</v>
      </c>
      <c r="F199" s="28">
        <v>2556.8128000000002</v>
      </c>
      <c r="G199" s="28">
        <v>2916.5344</v>
      </c>
      <c r="H199" s="28">
        <v>0</v>
      </c>
      <c r="I199" s="19">
        <f>SUM(B199:H199)</f>
        <v>6432.152</v>
      </c>
      <c r="J199" s="19"/>
      <c r="K199" s="19"/>
    </row>
    <row r="200" spans="1:11" ht="19.5" thickBot="1" x14ac:dyDescent="0.35">
      <c r="A200" s="15" t="s">
        <v>22</v>
      </c>
      <c r="B200" s="28">
        <v>0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19">
        <f>SUM(B200:H200)</f>
        <v>0</v>
      </c>
      <c r="J200" s="19"/>
      <c r="K200" s="19"/>
    </row>
    <row r="201" spans="1:11" ht="19.5" thickBot="1" x14ac:dyDescent="0.35">
      <c r="A201" s="20" t="s">
        <v>7</v>
      </c>
      <c r="B201" s="21">
        <f t="shared" ref="B201:I201" si="22">B196+B197+B198+B199+B200</f>
        <v>36608.507999999994</v>
      </c>
      <c r="C201" s="21">
        <f t="shared" si="22"/>
        <v>68393.450000000012</v>
      </c>
      <c r="D201" s="21">
        <f t="shared" si="22"/>
        <v>91100.21100000001</v>
      </c>
      <c r="E201" s="21">
        <f t="shared" si="22"/>
        <v>80142.607999999993</v>
      </c>
      <c r="F201" s="21">
        <f t="shared" si="22"/>
        <v>117447.837</v>
      </c>
      <c r="G201" s="21">
        <f t="shared" si="22"/>
        <v>173705.21000000002</v>
      </c>
      <c r="H201" s="21">
        <f t="shared" si="22"/>
        <v>34571.983</v>
      </c>
      <c r="I201" s="21">
        <f t="shared" si="22"/>
        <v>601969.80700000003</v>
      </c>
      <c r="J201" s="53"/>
      <c r="K201" s="53"/>
    </row>
    <row r="202" spans="1:11" ht="19.5" thickTop="1" x14ac:dyDescent="0.3">
      <c r="A202" s="22" t="s">
        <v>20</v>
      </c>
      <c r="B202" s="23">
        <f>5980.59*0.6</f>
        <v>3588.3539999999998</v>
      </c>
      <c r="C202" s="23">
        <f>18570.87*0.6</f>
        <v>11142.521999999999</v>
      </c>
      <c r="D202" s="23">
        <f>6875.62*0.6</f>
        <v>4125.3719999999994</v>
      </c>
      <c r="E202" s="23">
        <f>35574.27*0.6</f>
        <v>21344.561999999998</v>
      </c>
      <c r="F202" s="23">
        <f>19080.86*0.6</f>
        <v>11448.516</v>
      </c>
      <c r="G202" s="23">
        <f>38788.18*0.6</f>
        <v>23272.907999999999</v>
      </c>
      <c r="H202" s="23">
        <f>49158.48*0.6</f>
        <v>29495.088</v>
      </c>
      <c r="I202" s="23">
        <f>B202+C202+D202+E202+F202+G202+H202</f>
        <v>104417.322</v>
      </c>
      <c r="J202" s="23"/>
      <c r="K202" s="23"/>
    </row>
    <row r="203" spans="1:11" x14ac:dyDescent="0.3">
      <c r="A203" s="24" t="s">
        <v>25</v>
      </c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x14ac:dyDescent="0.3">
      <c r="A204" s="26" t="s">
        <v>23</v>
      </c>
      <c r="B204" s="25">
        <v>0</v>
      </c>
      <c r="C204" s="25">
        <v>0</v>
      </c>
      <c r="D204" s="25">
        <v>0</v>
      </c>
      <c r="E204" s="25">
        <v>0</v>
      </c>
      <c r="F204" s="25">
        <v>0</v>
      </c>
      <c r="G204" s="25">
        <f>6000/1.229</f>
        <v>4882.0179007323022</v>
      </c>
      <c r="H204" s="25">
        <f>6000/1.229</f>
        <v>4882.0179007323022</v>
      </c>
      <c r="I204" s="25">
        <f>B204+C204+D204+E204+F204+G204+H204</f>
        <v>9764.0358014646044</v>
      </c>
      <c r="J204" s="25"/>
      <c r="K204" s="25"/>
    </row>
    <row r="205" spans="1:11" ht="19.5" thickBot="1" x14ac:dyDescent="0.35">
      <c r="A205" s="27" t="s">
        <v>24</v>
      </c>
      <c r="B205" s="25">
        <f>6000/1.229</f>
        <v>4882.0179007323022</v>
      </c>
      <c r="C205" s="25">
        <f>6000/1.229</f>
        <v>4882.0179007323022</v>
      </c>
      <c r="D205" s="25">
        <f>6000/1.229</f>
        <v>4882.0179007323022</v>
      </c>
      <c r="E205" s="25">
        <v>0</v>
      </c>
      <c r="F205" s="25">
        <f>6000/1.229</f>
        <v>4882.0179007323022</v>
      </c>
      <c r="G205" s="25">
        <v>26037.43</v>
      </c>
      <c r="H205" s="25">
        <f>6000/1.229</f>
        <v>4882.0179007323022</v>
      </c>
      <c r="I205" s="25">
        <f>B205+C205+D205+E205+F205+G205+H205</f>
        <v>50447.519503661511</v>
      </c>
      <c r="J205" s="25"/>
      <c r="K205" s="25"/>
    </row>
    <row r="206" spans="1:11" x14ac:dyDescent="0.3">
      <c r="A206" s="16"/>
      <c r="B206" s="19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x14ac:dyDescent="0.3">
      <c r="A207" s="16"/>
      <c r="B207" s="19"/>
      <c r="C207" s="19"/>
      <c r="D207" s="19"/>
      <c r="E207" s="19"/>
      <c r="F207" s="19"/>
      <c r="G207" s="19"/>
      <c r="H207" s="19"/>
      <c r="I207" s="19"/>
      <c r="J207" s="19"/>
      <c r="K207" s="19"/>
    </row>
    <row r="209" spans="1:11" x14ac:dyDescent="0.3">
      <c r="A209" s="4" t="s">
        <v>44</v>
      </c>
      <c r="B209" s="5" t="s">
        <v>0</v>
      </c>
      <c r="C209" s="5" t="s">
        <v>1</v>
      </c>
      <c r="D209" s="5" t="s">
        <v>2</v>
      </c>
      <c r="E209" s="6" t="s">
        <v>3</v>
      </c>
      <c r="F209" s="5" t="s">
        <v>4</v>
      </c>
      <c r="G209" s="5" t="s">
        <v>5</v>
      </c>
      <c r="H209" s="5" t="s">
        <v>6</v>
      </c>
      <c r="I209" s="5" t="s">
        <v>7</v>
      </c>
      <c r="J209" s="11"/>
      <c r="K209" s="11"/>
    </row>
    <row r="210" spans="1:11" x14ac:dyDescent="0.3">
      <c r="A210" s="7"/>
      <c r="B210" s="8">
        <v>45341</v>
      </c>
      <c r="C210" s="8">
        <v>45342</v>
      </c>
      <c r="D210" s="8">
        <v>45343</v>
      </c>
      <c r="E210" s="8">
        <v>45344</v>
      </c>
      <c r="F210" s="8">
        <v>45345</v>
      </c>
      <c r="G210" s="8">
        <v>45346</v>
      </c>
      <c r="H210" s="8">
        <v>45347</v>
      </c>
      <c r="I210" s="9"/>
      <c r="J210" s="11"/>
      <c r="K210" s="11"/>
    </row>
    <row r="211" spans="1:11" ht="19.5" thickBot="1" x14ac:dyDescent="0.35">
      <c r="A211" s="10" t="s">
        <v>8</v>
      </c>
      <c r="B211" s="11" t="s">
        <v>9</v>
      </c>
      <c r="C211" s="11" t="s">
        <v>9</v>
      </c>
      <c r="D211" s="11" t="s">
        <v>9</v>
      </c>
      <c r="E211" s="11" t="s">
        <v>9</v>
      </c>
      <c r="F211" s="11" t="s">
        <v>9</v>
      </c>
      <c r="G211" s="11" t="s">
        <v>9</v>
      </c>
      <c r="H211" s="11" t="s">
        <v>9</v>
      </c>
      <c r="I211" s="12" t="s">
        <v>9</v>
      </c>
      <c r="J211" s="11"/>
      <c r="K211" s="11"/>
    </row>
    <row r="212" spans="1:11" x14ac:dyDescent="0.3">
      <c r="A212" s="13" t="s">
        <v>10</v>
      </c>
      <c r="B212" s="14">
        <v>51</v>
      </c>
      <c r="C212" s="14">
        <v>51</v>
      </c>
      <c r="D212" s="14">
        <v>49</v>
      </c>
      <c r="E212" s="14">
        <f>55-7</f>
        <v>48</v>
      </c>
      <c r="F212" s="14">
        <v>50</v>
      </c>
      <c r="G212" s="14">
        <v>48</v>
      </c>
      <c r="H212" s="14">
        <f>55-4</f>
        <v>51</v>
      </c>
      <c r="I212" s="14"/>
      <c r="J212" s="16"/>
      <c r="K212" s="16"/>
    </row>
    <row r="213" spans="1:11" x14ac:dyDescent="0.3">
      <c r="A213" s="15" t="s">
        <v>11</v>
      </c>
      <c r="B213" s="16">
        <v>7</v>
      </c>
      <c r="C213" s="16">
        <v>8</v>
      </c>
      <c r="D213" s="16">
        <v>9</v>
      </c>
      <c r="E213" s="16">
        <v>3</v>
      </c>
      <c r="F213" s="16">
        <v>4</v>
      </c>
      <c r="G213" s="16">
        <v>1</v>
      </c>
      <c r="H213" s="16">
        <v>1</v>
      </c>
      <c r="I213" s="16">
        <f>SUM(B213:H213)</f>
        <v>33</v>
      </c>
      <c r="J213" s="16"/>
      <c r="K213" s="16"/>
    </row>
    <row r="214" spans="1:11" x14ac:dyDescent="0.3">
      <c r="A214" s="15" t="s">
        <v>12</v>
      </c>
      <c r="B214" s="16">
        <v>0</v>
      </c>
      <c r="C214" s="16">
        <v>1</v>
      </c>
      <c r="D214" s="16">
        <v>4</v>
      </c>
      <c r="E214" s="16">
        <v>26</v>
      </c>
      <c r="F214" s="16">
        <v>42</v>
      </c>
      <c r="G214" s="16">
        <v>25</v>
      </c>
      <c r="H214" s="16">
        <v>2</v>
      </c>
      <c r="I214" s="16">
        <f>SUM(B214:H214)</f>
        <v>100</v>
      </c>
      <c r="J214" s="16"/>
      <c r="K214" s="16"/>
    </row>
    <row r="215" spans="1:11" x14ac:dyDescent="0.3">
      <c r="A215" s="15" t="s">
        <v>30</v>
      </c>
      <c r="B215" s="16">
        <v>0</v>
      </c>
      <c r="C215" s="16">
        <v>0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f>SUM(B215:H215)</f>
        <v>0</v>
      </c>
      <c r="J215" s="16"/>
      <c r="K215" s="16"/>
    </row>
    <row r="216" spans="1:11" x14ac:dyDescent="0.3">
      <c r="A216" s="15" t="s">
        <v>28</v>
      </c>
      <c r="B216" s="16">
        <v>17</v>
      </c>
      <c r="C216" s="16">
        <v>2</v>
      </c>
      <c r="D216" s="16">
        <v>27</v>
      </c>
      <c r="E216" s="16">
        <v>13</v>
      </c>
      <c r="F216" s="16">
        <v>19</v>
      </c>
      <c r="G216" s="16">
        <v>110</v>
      </c>
      <c r="H216" s="16">
        <v>55</v>
      </c>
      <c r="I216" s="16">
        <f t="shared" ref="I216:I222" si="23">B216+C216+D216+E216+F216+G216+H216</f>
        <v>243</v>
      </c>
      <c r="J216" s="16"/>
      <c r="K216" s="16"/>
    </row>
    <row r="217" spans="1:11" x14ac:dyDescent="0.3">
      <c r="A217" s="15" t="s">
        <v>29</v>
      </c>
      <c r="B217" s="16">
        <v>1</v>
      </c>
      <c r="C217" s="16">
        <v>2</v>
      </c>
      <c r="D217" s="16">
        <v>143</v>
      </c>
      <c r="E217" s="16">
        <v>98</v>
      </c>
      <c r="F217" s="16">
        <v>1</v>
      </c>
      <c r="G217" s="16">
        <v>2</v>
      </c>
      <c r="H217" s="16">
        <v>1</v>
      </c>
      <c r="I217" s="16">
        <f t="shared" si="23"/>
        <v>248</v>
      </c>
      <c r="J217" s="16"/>
      <c r="K217" s="16"/>
    </row>
    <row r="218" spans="1:11" x14ac:dyDescent="0.3">
      <c r="A218" s="15" t="s">
        <v>31</v>
      </c>
      <c r="B218" s="16">
        <v>0</v>
      </c>
      <c r="C218" s="16">
        <v>0</v>
      </c>
      <c r="D218" s="16">
        <v>1</v>
      </c>
      <c r="E218" s="16">
        <v>0</v>
      </c>
      <c r="F218" s="16">
        <v>1</v>
      </c>
      <c r="G218" s="16">
        <v>1</v>
      </c>
      <c r="H218" s="16">
        <v>64</v>
      </c>
      <c r="I218" s="16">
        <f t="shared" si="23"/>
        <v>67</v>
      </c>
      <c r="J218" s="16"/>
      <c r="K218" s="16"/>
    </row>
    <row r="219" spans="1:11" x14ac:dyDescent="0.3">
      <c r="A219" s="15" t="s">
        <v>13</v>
      </c>
      <c r="B219" s="16">
        <v>0</v>
      </c>
      <c r="C219" s="16">
        <v>0</v>
      </c>
      <c r="D219" s="16">
        <v>1</v>
      </c>
      <c r="E219" s="16">
        <v>1</v>
      </c>
      <c r="F219" s="16">
        <v>2</v>
      </c>
      <c r="G219" s="16">
        <v>4</v>
      </c>
      <c r="H219" s="16">
        <v>1</v>
      </c>
      <c r="I219" s="16">
        <f t="shared" si="23"/>
        <v>9</v>
      </c>
      <c r="J219" s="16"/>
      <c r="K219" s="16"/>
    </row>
    <row r="220" spans="1:11" x14ac:dyDescent="0.3">
      <c r="A220" s="15" t="s">
        <v>14</v>
      </c>
      <c r="B220" s="16">
        <v>0</v>
      </c>
      <c r="C220" s="16">
        <v>0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f t="shared" si="23"/>
        <v>0</v>
      </c>
      <c r="J220" s="16"/>
      <c r="K220" s="16"/>
    </row>
    <row r="221" spans="1:11" x14ac:dyDescent="0.3">
      <c r="A221" s="15" t="s">
        <v>32</v>
      </c>
      <c r="B221" s="16">
        <v>0</v>
      </c>
      <c r="C221" s="16">
        <v>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f t="shared" si="23"/>
        <v>0</v>
      </c>
      <c r="J221" s="16"/>
      <c r="K221" s="16"/>
    </row>
    <row r="222" spans="1:11" x14ac:dyDescent="0.3">
      <c r="A222" s="15" t="s">
        <v>33</v>
      </c>
      <c r="B222" s="16">
        <v>0</v>
      </c>
      <c r="C222" s="16">
        <v>0</v>
      </c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16">
        <f t="shared" si="23"/>
        <v>0</v>
      </c>
      <c r="J222" s="16"/>
      <c r="K222" s="16"/>
    </row>
    <row r="223" spans="1:11" ht="19.5" thickBot="1" x14ac:dyDescent="0.35">
      <c r="A223" s="30" t="s">
        <v>15</v>
      </c>
      <c r="B223" s="31">
        <f t="shared" ref="B223:H223" si="24">(B214+B213)/B212*100%</f>
        <v>0.13725490196078433</v>
      </c>
      <c r="C223" s="31">
        <f t="shared" si="24"/>
        <v>0.17647058823529413</v>
      </c>
      <c r="D223" s="31">
        <f t="shared" si="24"/>
        <v>0.26530612244897961</v>
      </c>
      <c r="E223" s="31">
        <f t="shared" si="24"/>
        <v>0.60416666666666663</v>
      </c>
      <c r="F223" s="31">
        <f t="shared" si="24"/>
        <v>0.92</v>
      </c>
      <c r="G223" s="31">
        <f t="shared" si="24"/>
        <v>0.54166666666666663</v>
      </c>
      <c r="H223" s="31">
        <f t="shared" si="24"/>
        <v>5.8823529411764705E-2</v>
      </c>
      <c r="I223" s="32">
        <f>(B223+C223+D223+E223+F223+G223+H223)/7</f>
        <v>0.38624121077002227</v>
      </c>
      <c r="J223" s="52"/>
      <c r="K223" s="52"/>
    </row>
    <row r="224" spans="1:11" x14ac:dyDescent="0.3">
      <c r="A224" s="33" t="s">
        <v>16</v>
      </c>
      <c r="B224" s="16"/>
      <c r="C224" s="17"/>
      <c r="D224" s="16"/>
      <c r="E224" s="18"/>
      <c r="F224" s="16"/>
      <c r="G224" s="16"/>
      <c r="H224" s="16"/>
      <c r="I224" s="16"/>
      <c r="J224" s="16"/>
      <c r="K224" s="16"/>
    </row>
    <row r="225" spans="1:12" x14ac:dyDescent="0.3">
      <c r="A225" s="15" t="s">
        <v>17</v>
      </c>
      <c r="B225" s="28">
        <v>0</v>
      </c>
      <c r="C225" s="28">
        <v>4572.91</v>
      </c>
      <c r="D225" s="28">
        <v>9210.9160000000011</v>
      </c>
      <c r="E225" s="28">
        <v>33719.188999999998</v>
      </c>
      <c r="F225" s="28">
        <v>54633.281499999997</v>
      </c>
      <c r="G225" s="28">
        <v>43623.245999999999</v>
      </c>
      <c r="H225" s="28">
        <v>1920.2880000000002</v>
      </c>
      <c r="I225" s="19">
        <f t="shared" ref="I225:I230" si="25">SUM(B225:H225)</f>
        <v>147679.83049999998</v>
      </c>
      <c r="J225" s="19"/>
      <c r="K225" s="19"/>
    </row>
    <row r="226" spans="1:12" x14ac:dyDescent="0.3">
      <c r="A226" s="15" t="s">
        <v>18</v>
      </c>
      <c r="B226" s="28">
        <v>4442.6945000000005</v>
      </c>
      <c r="C226" s="28">
        <v>3010.6106500000001</v>
      </c>
      <c r="D226" s="28">
        <v>26773.465199999999</v>
      </c>
      <c r="E226" s="28">
        <v>34622.330300000001</v>
      </c>
      <c r="F226" s="28">
        <v>48765.678200000002</v>
      </c>
      <c r="G226" s="28">
        <v>59034.589200000002</v>
      </c>
      <c r="H226" s="28">
        <v>25016.360600000004</v>
      </c>
      <c r="I226" s="19">
        <f t="shared" si="25"/>
        <v>201665.72865</v>
      </c>
      <c r="J226" s="19"/>
      <c r="K226" s="19"/>
    </row>
    <row r="227" spans="1:12" x14ac:dyDescent="0.3">
      <c r="A227" s="15" t="s">
        <v>19</v>
      </c>
      <c r="B227" s="28">
        <v>1615.1415000000002</v>
      </c>
      <c r="C227" s="28">
        <v>2034.2045500000002</v>
      </c>
      <c r="D227" s="28">
        <v>12263.111799999999</v>
      </c>
      <c r="E227" s="28">
        <v>21304.733700000001</v>
      </c>
      <c r="F227" s="28">
        <v>31385.1181</v>
      </c>
      <c r="G227" s="28">
        <v>35625.737800000003</v>
      </c>
      <c r="H227" s="28">
        <v>9077.2013999999999</v>
      </c>
      <c r="I227" s="19">
        <f t="shared" si="25"/>
        <v>113305.24885000002</v>
      </c>
      <c r="J227" s="19"/>
      <c r="K227" s="19"/>
    </row>
    <row r="228" spans="1:12" x14ac:dyDescent="0.3">
      <c r="A228" s="15" t="s">
        <v>21</v>
      </c>
      <c r="B228" s="28">
        <v>0</v>
      </c>
      <c r="C228" s="28">
        <v>0</v>
      </c>
      <c r="D228" s="28">
        <v>0</v>
      </c>
      <c r="E228" s="28">
        <v>5077.4160000000002</v>
      </c>
      <c r="F228" s="28">
        <v>12487.6072</v>
      </c>
      <c r="G228" s="28">
        <v>6400.112000000001</v>
      </c>
      <c r="H228" s="28">
        <v>0</v>
      </c>
      <c r="I228" s="19">
        <f t="shared" si="25"/>
        <v>23965.135200000001</v>
      </c>
      <c r="J228" s="19"/>
      <c r="K228" s="19"/>
    </row>
    <row r="229" spans="1:12" ht="19.5" thickBot="1" x14ac:dyDescent="0.35">
      <c r="A229" s="15" t="s">
        <v>22</v>
      </c>
      <c r="B229" s="28">
        <v>0</v>
      </c>
      <c r="C229" s="28">
        <v>0</v>
      </c>
      <c r="D229" s="28">
        <v>0</v>
      </c>
      <c r="E229" s="28">
        <v>0</v>
      </c>
      <c r="F229" s="28">
        <v>0</v>
      </c>
      <c r="G229" s="28">
        <v>0</v>
      </c>
      <c r="H229" s="28">
        <v>0</v>
      </c>
      <c r="I229" s="19">
        <f t="shared" si="25"/>
        <v>0</v>
      </c>
      <c r="J229" s="19"/>
      <c r="K229" s="19"/>
      <c r="L229" s="29"/>
    </row>
    <row r="230" spans="1:12" ht="19.5" thickBot="1" x14ac:dyDescent="0.35">
      <c r="A230" s="20" t="s">
        <v>7</v>
      </c>
      <c r="B230" s="21">
        <f>SUM(B225:B229)</f>
        <v>6057.8360000000011</v>
      </c>
      <c r="C230" s="21">
        <f t="shared" ref="C230:H230" si="26">SUM(C225:C229)</f>
        <v>9617.7252000000008</v>
      </c>
      <c r="D230" s="21">
        <f t="shared" si="26"/>
        <v>48247.493000000002</v>
      </c>
      <c r="E230" s="21">
        <f t="shared" si="26"/>
        <v>94723.668999999994</v>
      </c>
      <c r="F230" s="21">
        <f t="shared" si="26"/>
        <v>147271.685</v>
      </c>
      <c r="G230" s="21">
        <f t="shared" si="26"/>
        <v>144683.685</v>
      </c>
      <c r="H230" s="21">
        <f t="shared" si="26"/>
        <v>36013.850000000006</v>
      </c>
      <c r="I230" s="21">
        <f t="shared" si="25"/>
        <v>486615.94319999998</v>
      </c>
      <c r="J230" s="53"/>
      <c r="K230" s="53"/>
    </row>
    <row r="231" spans="1:12" ht="19.5" thickTop="1" x14ac:dyDescent="0.3">
      <c r="A231" s="22" t="s">
        <v>20</v>
      </c>
      <c r="B231" s="23">
        <f>'[2]19th'!$F$3*0.6</f>
        <v>5516.7660000000005</v>
      </c>
      <c r="C231" s="23">
        <f>'[2]20th'!$F$3*0.6</f>
        <v>976.39019999999994</v>
      </c>
      <c r="D231" s="23">
        <f>'[2]21th'!$F$3*0.6</f>
        <v>25777.511999999999</v>
      </c>
      <c r="E231" s="23">
        <f>'[2]22nd'!$F$3*0.6</f>
        <v>12878.97</v>
      </c>
      <c r="F231" s="23">
        <f>'[2]23rd '!$F$3*0.6</f>
        <v>6664.0439999999999</v>
      </c>
      <c r="G231" s="23">
        <f>'[2]24th'!$F$3*0.6</f>
        <v>34101.623999999996</v>
      </c>
      <c r="H231" s="23">
        <f>'[2]25th'!$F$3*0.6</f>
        <v>28047.732</v>
      </c>
      <c r="I231" s="23">
        <f>B231+C231+D231+E231+F231+G231+H231</f>
        <v>113963.0382</v>
      </c>
      <c r="J231" s="74">
        <f>I231+B260+C260+D260+E260+I202+I173+E144+F144+G144+H144</f>
        <v>408700.45620000007</v>
      </c>
      <c r="K231" s="23">
        <f>J231*(100/60)</f>
        <v>681167.42700000014</v>
      </c>
    </row>
    <row r="232" spans="1:12" x14ac:dyDescent="0.3">
      <c r="A232" s="24" t="s">
        <v>25</v>
      </c>
      <c r="B232" s="25"/>
      <c r="C232" s="25"/>
      <c r="D232" s="25"/>
      <c r="E232" s="25"/>
      <c r="F232" s="25"/>
      <c r="G232" s="25"/>
      <c r="H232" s="25"/>
      <c r="I232" s="25"/>
      <c r="J232" s="25"/>
      <c r="K232" s="25"/>
    </row>
    <row r="233" spans="1:12" x14ac:dyDescent="0.3">
      <c r="A233" s="26" t="s">
        <v>23</v>
      </c>
      <c r="B233" s="25">
        <f>(12000/1.229)</f>
        <v>9764.0358014646044</v>
      </c>
      <c r="C233" s="25">
        <v>4882.0200000000004</v>
      </c>
      <c r="D233" s="25">
        <v>9764.0400000000009</v>
      </c>
      <c r="E233" s="25">
        <v>24410.080000000002</v>
      </c>
      <c r="F233" s="25">
        <v>24410.080000000002</v>
      </c>
      <c r="G233" s="25">
        <f>30000/1.229</f>
        <v>24410.089503661511</v>
      </c>
      <c r="H233" s="25">
        <v>0</v>
      </c>
      <c r="I233" s="25">
        <f>SUM(B233:H233)</f>
        <v>97640.345305126117</v>
      </c>
      <c r="J233" s="25"/>
      <c r="K233" s="25"/>
    </row>
    <row r="234" spans="1:12" ht="19.5" thickBot="1" x14ac:dyDescent="0.35">
      <c r="A234" s="27" t="s">
        <v>24</v>
      </c>
      <c r="B234" s="25">
        <f>(6000*5)/1.229</f>
        <v>24410.089503661511</v>
      </c>
      <c r="C234" s="25">
        <v>34174.129999999997</v>
      </c>
      <c r="D234" s="25">
        <v>34174.129999999997</v>
      </c>
      <c r="E234" s="25">
        <v>13018.71</v>
      </c>
      <c r="F234" s="25">
        <v>17900.73</v>
      </c>
      <c r="G234" s="25">
        <v>0</v>
      </c>
      <c r="H234" s="25">
        <f>10000/1.229</f>
        <v>8136.6965012205037</v>
      </c>
      <c r="I234" s="25">
        <f>SUM(B234:H234)</f>
        <v>131814.486004882</v>
      </c>
      <c r="J234" s="25"/>
      <c r="K234" s="25"/>
    </row>
    <row r="235" spans="1:12" x14ac:dyDescent="0.3">
      <c r="A235" s="16"/>
      <c r="B235" s="19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2" x14ac:dyDescent="0.3">
      <c r="A236" s="16"/>
      <c r="B236" s="19"/>
      <c r="C236" s="19"/>
      <c r="D236" s="19"/>
      <c r="E236" s="19"/>
      <c r="F236" s="19"/>
      <c r="G236" s="19"/>
      <c r="H236" s="19"/>
      <c r="I236" s="19"/>
      <c r="J236" s="19"/>
      <c r="K236" s="19"/>
    </row>
    <row r="238" spans="1:12" x14ac:dyDescent="0.3">
      <c r="A238" s="4" t="s">
        <v>45</v>
      </c>
      <c r="B238" s="5" t="s">
        <v>0</v>
      </c>
      <c r="C238" s="5" t="s">
        <v>1</v>
      </c>
      <c r="D238" s="5" t="s">
        <v>2</v>
      </c>
      <c r="E238" s="6" t="s">
        <v>3</v>
      </c>
      <c r="F238" s="5" t="s">
        <v>4</v>
      </c>
      <c r="G238" s="5" t="s">
        <v>5</v>
      </c>
      <c r="H238" s="5" t="s">
        <v>6</v>
      </c>
      <c r="I238" s="5" t="s">
        <v>7</v>
      </c>
      <c r="J238" s="11"/>
      <c r="K238" s="11"/>
    </row>
    <row r="239" spans="1:12" x14ac:dyDescent="0.3">
      <c r="A239" s="7"/>
      <c r="B239" s="8">
        <v>45348</v>
      </c>
      <c r="C239" s="8">
        <v>45349</v>
      </c>
      <c r="D239" s="8">
        <v>45350</v>
      </c>
      <c r="E239" s="8">
        <v>45351</v>
      </c>
      <c r="F239" s="8">
        <v>45352</v>
      </c>
      <c r="G239" s="8">
        <v>45353</v>
      </c>
      <c r="H239" s="8">
        <v>45354</v>
      </c>
      <c r="I239" s="9"/>
      <c r="J239" s="11"/>
      <c r="K239" s="11"/>
    </row>
    <row r="240" spans="1:12" ht="19.5" thickBot="1" x14ac:dyDescent="0.35">
      <c r="A240" s="10" t="s">
        <v>8</v>
      </c>
      <c r="B240" s="11" t="s">
        <v>9</v>
      </c>
      <c r="C240" s="11" t="s">
        <v>9</v>
      </c>
      <c r="D240" s="11" t="s">
        <v>9</v>
      </c>
      <c r="E240" s="11" t="s">
        <v>9</v>
      </c>
      <c r="F240" s="11" t="s">
        <v>9</v>
      </c>
      <c r="G240" s="11" t="s">
        <v>9</v>
      </c>
      <c r="H240" s="11" t="s">
        <v>9</v>
      </c>
      <c r="I240" s="12" t="s">
        <v>9</v>
      </c>
      <c r="J240" s="11"/>
      <c r="K240" s="11"/>
    </row>
    <row r="241" spans="1:13" x14ac:dyDescent="0.3">
      <c r="A241" s="13" t="s">
        <v>10</v>
      </c>
      <c r="B241" s="14">
        <v>51</v>
      </c>
      <c r="C241" s="14">
        <v>44</v>
      </c>
      <c r="D241" s="14">
        <v>51</v>
      </c>
      <c r="E241" s="14">
        <f>55-3</f>
        <v>52</v>
      </c>
      <c r="F241" s="14">
        <v>52</v>
      </c>
      <c r="G241" s="14">
        <f>55-3</f>
        <v>52</v>
      </c>
      <c r="H241" s="14">
        <f>55-2</f>
        <v>53</v>
      </c>
      <c r="I241" s="14"/>
      <c r="J241" s="16"/>
      <c r="K241" s="16"/>
    </row>
    <row r="242" spans="1:13" x14ac:dyDescent="0.3">
      <c r="A242" s="15" t="s">
        <v>11</v>
      </c>
      <c r="B242" s="16">
        <v>1</v>
      </c>
      <c r="C242" s="16">
        <v>2</v>
      </c>
      <c r="D242" s="16">
        <v>1</v>
      </c>
      <c r="E242" s="16">
        <v>0</v>
      </c>
      <c r="F242" s="16">
        <v>1</v>
      </c>
      <c r="G242" s="16">
        <v>2</v>
      </c>
      <c r="H242" s="16">
        <v>2</v>
      </c>
      <c r="I242" s="16">
        <f>SUM(B242:H242)</f>
        <v>9</v>
      </c>
      <c r="J242" s="16"/>
      <c r="K242" s="53">
        <f t="shared" ref="K242:K258" si="27">E242+D242+B242+C242+I213+I184+I155+H126+G126+F126+E126</f>
        <v>76</v>
      </c>
    </row>
    <row r="243" spans="1:13" x14ac:dyDescent="0.3">
      <c r="A243" s="15" t="s">
        <v>12</v>
      </c>
      <c r="B243" s="16">
        <v>0</v>
      </c>
      <c r="C243" s="16">
        <v>4</v>
      </c>
      <c r="D243" s="16">
        <v>3</v>
      </c>
      <c r="E243" s="16">
        <v>34</v>
      </c>
      <c r="F243" s="16">
        <v>47</v>
      </c>
      <c r="G243" s="16">
        <v>15</v>
      </c>
      <c r="H243" s="16">
        <v>5</v>
      </c>
      <c r="I243" s="16">
        <f>SUM(B243:H243)</f>
        <v>108</v>
      </c>
      <c r="J243" s="16"/>
      <c r="K243" s="53">
        <f t="shared" si="27"/>
        <v>306</v>
      </c>
    </row>
    <row r="244" spans="1:13" x14ac:dyDescent="0.3">
      <c r="A244" s="15" t="s">
        <v>30</v>
      </c>
      <c r="B244" s="16">
        <v>0</v>
      </c>
      <c r="C244" s="16">
        <v>0</v>
      </c>
      <c r="D244" s="16">
        <v>0</v>
      </c>
      <c r="E244" s="16">
        <v>0</v>
      </c>
      <c r="F244" s="16">
        <v>0</v>
      </c>
      <c r="G244" s="16">
        <v>0</v>
      </c>
      <c r="H244" s="16">
        <v>0</v>
      </c>
      <c r="I244" s="16">
        <f>SUM(B244:H244)</f>
        <v>0</v>
      </c>
      <c r="J244" s="16"/>
      <c r="K244" s="53">
        <f t="shared" si="27"/>
        <v>0</v>
      </c>
    </row>
    <row r="245" spans="1:13" x14ac:dyDescent="0.3">
      <c r="A245" s="15" t="s">
        <v>28</v>
      </c>
      <c r="B245" s="16">
        <v>26</v>
      </c>
      <c r="C245" s="16">
        <v>23</v>
      </c>
      <c r="D245" s="16">
        <v>20</v>
      </c>
      <c r="E245" s="16">
        <v>24</v>
      </c>
      <c r="F245" s="16">
        <v>19</v>
      </c>
      <c r="G245" s="16">
        <v>87</v>
      </c>
      <c r="H245" s="16">
        <v>27</v>
      </c>
      <c r="I245" s="16">
        <f t="shared" ref="I245:I251" si="28">B245+C245+D245+E245+F245+G245+H245</f>
        <v>226</v>
      </c>
      <c r="J245" s="16"/>
      <c r="K245" s="53">
        <f t="shared" si="27"/>
        <v>934</v>
      </c>
    </row>
    <row r="246" spans="1:13" x14ac:dyDescent="0.3">
      <c r="A246" s="15" t="s">
        <v>29</v>
      </c>
      <c r="B246" s="16">
        <v>0</v>
      </c>
      <c r="C246" s="16">
        <v>0</v>
      </c>
      <c r="D246" s="16">
        <v>0</v>
      </c>
      <c r="E246" s="16">
        <v>105</v>
      </c>
      <c r="F246" s="16">
        <v>3</v>
      </c>
      <c r="G246" s="16">
        <v>12</v>
      </c>
      <c r="H246" s="16">
        <v>1</v>
      </c>
      <c r="I246" s="16">
        <f t="shared" si="28"/>
        <v>121</v>
      </c>
      <c r="J246" s="16"/>
      <c r="K246" s="53">
        <f t="shared" si="27"/>
        <v>546</v>
      </c>
    </row>
    <row r="247" spans="1:13" x14ac:dyDescent="0.3">
      <c r="A247" s="15" t="s">
        <v>31</v>
      </c>
      <c r="B247" s="16">
        <v>1</v>
      </c>
      <c r="C247" s="16">
        <v>0</v>
      </c>
      <c r="D247" s="16">
        <v>1</v>
      </c>
      <c r="E247" s="16">
        <v>39</v>
      </c>
      <c r="F247" s="16">
        <v>0</v>
      </c>
      <c r="G247" s="16">
        <v>2</v>
      </c>
      <c r="H247" s="16">
        <v>0</v>
      </c>
      <c r="I247" s="16">
        <f t="shared" si="28"/>
        <v>43</v>
      </c>
      <c r="J247" s="16"/>
      <c r="K247" s="53">
        <f t="shared" si="27"/>
        <v>208</v>
      </c>
    </row>
    <row r="248" spans="1:13" x14ac:dyDescent="0.3">
      <c r="A248" s="15" t="s">
        <v>13</v>
      </c>
      <c r="B248" s="16">
        <v>0</v>
      </c>
      <c r="C248" s="16">
        <v>0</v>
      </c>
      <c r="D248" s="16">
        <v>0</v>
      </c>
      <c r="E248" s="16">
        <v>0</v>
      </c>
      <c r="F248" s="16">
        <v>0</v>
      </c>
      <c r="G248" s="16">
        <v>1</v>
      </c>
      <c r="H248" s="16">
        <v>1</v>
      </c>
      <c r="I248" s="16">
        <f t="shared" si="28"/>
        <v>2</v>
      </c>
      <c r="J248" s="16"/>
      <c r="K248" s="53">
        <f t="shared" si="27"/>
        <v>16</v>
      </c>
    </row>
    <row r="249" spans="1:13" x14ac:dyDescent="0.3">
      <c r="A249" s="15" t="s">
        <v>14</v>
      </c>
      <c r="B249" s="16">
        <v>0</v>
      </c>
      <c r="C249" s="16">
        <v>0</v>
      </c>
      <c r="D249" s="16">
        <v>0</v>
      </c>
      <c r="E249" s="16">
        <v>0</v>
      </c>
      <c r="F249" s="16">
        <v>0</v>
      </c>
      <c r="G249" s="16">
        <v>0</v>
      </c>
      <c r="H249" s="16">
        <v>0</v>
      </c>
      <c r="I249" s="16">
        <f t="shared" si="28"/>
        <v>0</v>
      </c>
      <c r="J249" s="16"/>
      <c r="K249" s="53">
        <f t="shared" si="27"/>
        <v>0</v>
      </c>
    </row>
    <row r="250" spans="1:13" x14ac:dyDescent="0.3">
      <c r="A250" s="15" t="s">
        <v>32</v>
      </c>
      <c r="B250" s="16">
        <v>0</v>
      </c>
      <c r="C250" s="16">
        <v>0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  <c r="I250" s="16">
        <f t="shared" si="28"/>
        <v>0</v>
      </c>
      <c r="J250" s="16"/>
      <c r="K250" s="53">
        <f t="shared" si="27"/>
        <v>0</v>
      </c>
    </row>
    <row r="251" spans="1:13" x14ac:dyDescent="0.3">
      <c r="A251" s="15" t="s">
        <v>33</v>
      </c>
      <c r="B251" s="16">
        <v>0</v>
      </c>
      <c r="C251" s="16">
        <v>0</v>
      </c>
      <c r="D251" s="16">
        <v>0</v>
      </c>
      <c r="E251" s="16">
        <v>0</v>
      </c>
      <c r="F251" s="16">
        <v>0</v>
      </c>
      <c r="G251" s="16">
        <v>0</v>
      </c>
      <c r="H251" s="16">
        <v>0</v>
      </c>
      <c r="I251" s="16">
        <f t="shared" si="28"/>
        <v>0</v>
      </c>
      <c r="J251" s="16"/>
      <c r="K251" s="53">
        <f t="shared" si="27"/>
        <v>45</v>
      </c>
    </row>
    <row r="252" spans="1:13" ht="19.5" thickBot="1" x14ac:dyDescent="0.35">
      <c r="A252" s="30" t="s">
        <v>15</v>
      </c>
      <c r="B252" s="31">
        <f t="shared" ref="B252:H252" si="29">(B243+B242)/B241*100%</f>
        <v>1.9607843137254902E-2</v>
      </c>
      <c r="C252" s="31">
        <f t="shared" si="29"/>
        <v>0.13636363636363635</v>
      </c>
      <c r="D252" s="31">
        <f t="shared" si="29"/>
        <v>7.8431372549019607E-2</v>
      </c>
      <c r="E252" s="31">
        <f t="shared" si="29"/>
        <v>0.65384615384615385</v>
      </c>
      <c r="F252" s="31">
        <f t="shared" si="29"/>
        <v>0.92307692307692313</v>
      </c>
      <c r="G252" s="31">
        <f t="shared" si="29"/>
        <v>0.32692307692307693</v>
      </c>
      <c r="H252" s="31">
        <f t="shared" si="29"/>
        <v>0.13207547169811321</v>
      </c>
      <c r="I252" s="32">
        <f>(B252+C252+D252+E252+F252+G252+H252)/7</f>
        <v>0.3243320682277398</v>
      </c>
      <c r="J252" s="52"/>
      <c r="K252" s="53">
        <f t="shared" si="27"/>
        <v>2.1780759624809884</v>
      </c>
    </row>
    <row r="253" spans="1:13" x14ac:dyDescent="0.3">
      <c r="A253" s="33" t="s">
        <v>16</v>
      </c>
      <c r="B253" s="16"/>
      <c r="C253" s="17"/>
      <c r="D253" s="16"/>
      <c r="E253" s="18"/>
      <c r="F253" s="16"/>
      <c r="G253" s="16"/>
      <c r="H253" s="16"/>
      <c r="I253" s="16"/>
      <c r="J253" s="16"/>
      <c r="K253" s="53">
        <f t="shared" si="27"/>
        <v>0</v>
      </c>
    </row>
    <row r="254" spans="1:13" x14ac:dyDescent="0.3">
      <c r="A254" s="15" t="s">
        <v>17</v>
      </c>
      <c r="B254" s="28">
        <v>0</v>
      </c>
      <c r="C254" s="28">
        <v>15622.74</v>
      </c>
      <c r="D254" s="28">
        <v>14011.64</v>
      </c>
      <c r="E254" s="28">
        <v>47260.760500000004</v>
      </c>
      <c r="F254" s="1">
        <v>91653.295000000013</v>
      </c>
      <c r="G254" s="28">
        <v>47719.728000000003</v>
      </c>
      <c r="H254" s="28">
        <v>13181.692000000003</v>
      </c>
      <c r="I254" s="19">
        <f t="shared" ref="I254:I259" si="30">SUM(B254:H254)</f>
        <v>229449.85550000003</v>
      </c>
      <c r="J254" s="19"/>
      <c r="K254" s="53">
        <f t="shared" si="27"/>
        <v>611860.15899999999</v>
      </c>
      <c r="L254" s="29">
        <f>E254+D254+C254+I225+I196+I167+H138+G138+F138+E138</f>
        <v>611860.15899999999</v>
      </c>
      <c r="M254" s="29">
        <f>E254+D254+C254+B254+I225+I196+I167+H138+G138+F138+E138</f>
        <v>611860.15899999999</v>
      </c>
    </row>
    <row r="255" spans="1:13" x14ac:dyDescent="0.3">
      <c r="A255" s="15" t="s">
        <v>18</v>
      </c>
      <c r="B255" s="28">
        <v>4229.1099999999997</v>
      </c>
      <c r="C255" s="28">
        <v>15128.42</v>
      </c>
      <c r="D255" s="28">
        <v>13834.64</v>
      </c>
      <c r="E255" s="28">
        <v>54749.543700000002</v>
      </c>
      <c r="F255" s="1">
        <v>73542.290600000022</v>
      </c>
      <c r="G255" s="28">
        <v>52672.005100000002</v>
      </c>
      <c r="H255" s="28">
        <v>18558.110900000003</v>
      </c>
      <c r="I255" s="19">
        <f t="shared" si="30"/>
        <v>232714.12030000004</v>
      </c>
      <c r="J255" s="19"/>
      <c r="K255" s="53">
        <f t="shared" si="27"/>
        <v>762335.89964999992</v>
      </c>
    </row>
    <row r="256" spans="1:13" x14ac:dyDescent="0.3">
      <c r="A256" s="15" t="s">
        <v>19</v>
      </c>
      <c r="B256" s="28">
        <v>1466.67</v>
      </c>
      <c r="C256" s="28">
        <v>10071.41</v>
      </c>
      <c r="D256" s="28">
        <v>9880.1200000000008</v>
      </c>
      <c r="E256" s="28">
        <v>61872.135999999999</v>
      </c>
      <c r="F256" s="1">
        <v>84163.443599999999</v>
      </c>
      <c r="G256" s="28">
        <v>34606.1639</v>
      </c>
      <c r="H256" s="28">
        <v>11991.686100000001</v>
      </c>
      <c r="I256" s="19">
        <f t="shared" si="30"/>
        <v>214051.62959999999</v>
      </c>
      <c r="J256" s="19"/>
      <c r="K256" s="53">
        <f t="shared" si="27"/>
        <v>477760.96094999998</v>
      </c>
    </row>
    <row r="257" spans="1:14" x14ac:dyDescent="0.3">
      <c r="A257" s="15" t="s">
        <v>21</v>
      </c>
      <c r="B257" s="28">
        <v>0</v>
      </c>
      <c r="C257" s="28">
        <v>0</v>
      </c>
      <c r="D257" s="28">
        <v>0</v>
      </c>
      <c r="E257" s="28">
        <v>9240.1848000000009</v>
      </c>
      <c r="F257" s="1">
        <v>13160.260800000002</v>
      </c>
      <c r="G257" s="28">
        <v>0</v>
      </c>
      <c r="H257" s="28">
        <v>0</v>
      </c>
      <c r="I257" s="19">
        <f t="shared" si="30"/>
        <v>22400.445600000003</v>
      </c>
      <c r="J257" s="19"/>
      <c r="K257" s="53">
        <f t="shared" si="27"/>
        <v>54357.729600000006</v>
      </c>
      <c r="L257" s="29">
        <f>E257+I228+I199+I170</f>
        <v>54357.729600000006</v>
      </c>
      <c r="M257" s="29">
        <f>E257+I228+I199+I170</f>
        <v>54357.729600000006</v>
      </c>
    </row>
    <row r="258" spans="1:14" ht="19.5" thickBot="1" x14ac:dyDescent="0.35">
      <c r="A258" s="15" t="s">
        <v>22</v>
      </c>
      <c r="B258" s="28">
        <v>0</v>
      </c>
      <c r="C258" s="28">
        <v>0</v>
      </c>
      <c r="D258" s="28">
        <v>0</v>
      </c>
      <c r="E258" s="28">
        <v>0</v>
      </c>
      <c r="F258" s="28">
        <v>0</v>
      </c>
      <c r="G258" s="28">
        <v>0</v>
      </c>
      <c r="H258" s="28">
        <v>7160.29</v>
      </c>
      <c r="I258" s="19">
        <f t="shared" si="30"/>
        <v>7160.29</v>
      </c>
      <c r="J258" s="19"/>
      <c r="K258" s="53">
        <f t="shared" si="27"/>
        <v>12500</v>
      </c>
      <c r="L258" s="29">
        <f>SUM(L254:L257)</f>
        <v>666217.88859999995</v>
      </c>
      <c r="M258" s="29">
        <f>SUM(M254:M257)</f>
        <v>666217.88859999995</v>
      </c>
    </row>
    <row r="259" spans="1:14" ht="19.5" thickBot="1" x14ac:dyDescent="0.35">
      <c r="A259" s="20" t="s">
        <v>7</v>
      </c>
      <c r="B259" s="21">
        <f>SUM(B254:B258)</f>
        <v>5695.78</v>
      </c>
      <c r="C259" s="21">
        <f t="shared" ref="C259:H259" si="31">SUM(C254:C258)</f>
        <v>40822.57</v>
      </c>
      <c r="D259" s="21">
        <f t="shared" si="31"/>
        <v>37726.400000000001</v>
      </c>
      <c r="E259" s="21">
        <f t="shared" si="31"/>
        <v>173122.625</v>
      </c>
      <c r="F259" s="21">
        <f t="shared" si="31"/>
        <v>262519.29000000004</v>
      </c>
      <c r="G259" s="21">
        <f t="shared" si="31"/>
        <v>134997.897</v>
      </c>
      <c r="H259" s="21">
        <f t="shared" si="31"/>
        <v>50891.77900000001</v>
      </c>
      <c r="I259" s="21">
        <f t="shared" si="30"/>
        <v>705776.34100000001</v>
      </c>
      <c r="J259" s="53"/>
      <c r="K259" s="54">
        <f>E259+D259+B259+C259+I230+I201+I172+H143+G143+F143+E143</f>
        <v>1918814.7492000002</v>
      </c>
      <c r="M259" s="29">
        <f>'ECO PARK'!K212</f>
        <v>156368.86500000002</v>
      </c>
    </row>
    <row r="260" spans="1:14" ht="19.5" thickTop="1" x14ac:dyDescent="0.3">
      <c r="A260" s="22" t="s">
        <v>20</v>
      </c>
      <c r="B260" s="23">
        <f>('[2]26th'!$F$3*0.6)</f>
        <v>5638.8180000000002</v>
      </c>
      <c r="C260" s="23">
        <f>('[2]27th'!$F$3*0.6)</f>
        <v>5590.0079999999998</v>
      </c>
      <c r="D260" s="23">
        <f>('[2]28th'!$F$3*0.6)</f>
        <v>6517.5959999999995</v>
      </c>
      <c r="E260" s="23">
        <f>('[2]29th'!$F$3*0.6)</f>
        <v>18454.374</v>
      </c>
      <c r="F260" s="23">
        <f>('[2]1st'!$F$3*0.6)</f>
        <v>6395.5319999999992</v>
      </c>
      <c r="G260" s="23">
        <f>('[2]2nd'!$F$3*0.6)</f>
        <v>25643.153999999999</v>
      </c>
      <c r="H260" s="23">
        <f>('[2]3rd'!$F$3*0.6)</f>
        <v>8861.0220000000008</v>
      </c>
      <c r="I260" s="23">
        <f>B260+C260+D260+E260+F260+G260+H260</f>
        <v>77100.504000000001</v>
      </c>
      <c r="J260" s="23"/>
      <c r="K260" s="53">
        <f t="shared" ref="K260:K263" si="32">E260+D260+B260+C260+I231+I202+I173+H144+G144+F144+E144</f>
        <v>408700.45620000002</v>
      </c>
      <c r="M260" s="29">
        <f>SUM(M258:M259)</f>
        <v>822586.75359999994</v>
      </c>
      <c r="N260" s="1">
        <v>1564502.25</v>
      </c>
    </row>
    <row r="261" spans="1:14" x14ac:dyDescent="0.3">
      <c r="A261" s="24" t="s">
        <v>25</v>
      </c>
      <c r="B261" s="25"/>
      <c r="C261" s="25"/>
      <c r="D261" s="25"/>
      <c r="E261" s="25"/>
      <c r="F261" s="25"/>
      <c r="G261" s="25"/>
      <c r="H261" s="25"/>
      <c r="I261" s="25"/>
      <c r="J261" s="25"/>
      <c r="K261" s="53">
        <f t="shared" si="32"/>
        <v>0</v>
      </c>
      <c r="N261" s="29">
        <f>N260-M260</f>
        <v>741915.49640000006</v>
      </c>
    </row>
    <row r="262" spans="1:14" x14ac:dyDescent="0.3">
      <c r="A262" s="26" t="s">
        <v>23</v>
      </c>
      <c r="B262" s="25">
        <v>0</v>
      </c>
      <c r="C262" s="25">
        <v>0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f>SUM(B262:H262)</f>
        <v>0</v>
      </c>
      <c r="J262" s="25"/>
      <c r="K262" s="53">
        <f t="shared" si="32"/>
        <v>239218.7811065907</v>
      </c>
    </row>
    <row r="263" spans="1:14" ht="19.5" thickBot="1" x14ac:dyDescent="0.35">
      <c r="A263" s="27" t="s">
        <v>24</v>
      </c>
      <c r="B263" s="25">
        <f>10000/1.229</f>
        <v>8136.6965012205037</v>
      </c>
      <c r="C263" s="25">
        <f>20000/1.229</f>
        <v>16273.393002441007</v>
      </c>
      <c r="D263" s="25">
        <f>10000/1.229</f>
        <v>8136.6965012205037</v>
      </c>
      <c r="E263" s="25">
        <v>0</v>
      </c>
      <c r="F263" s="25">
        <f>6000/1.229</f>
        <v>4882.0179007323022</v>
      </c>
      <c r="G263" s="25">
        <f>12000/1.229</f>
        <v>9764.0358014646044</v>
      </c>
      <c r="H263" s="25">
        <f>12000/1.229</f>
        <v>9764.0358014646044</v>
      </c>
      <c r="I263" s="25">
        <f>SUM(B263:H263)</f>
        <v>56956.875508543526</v>
      </c>
      <c r="J263" s="25"/>
      <c r="K263" s="53">
        <f t="shared" si="32"/>
        <v>439128.7415134256</v>
      </c>
    </row>
    <row r="264" spans="1:14" x14ac:dyDescent="0.3">
      <c r="B264" s="29"/>
      <c r="L264" s="29">
        <f>M258</f>
        <v>666217.88859999995</v>
      </c>
      <c r="M264" s="29">
        <f>M259</f>
        <v>156368.86500000002</v>
      </c>
      <c r="N264" s="29">
        <f>M260</f>
        <v>822586.75359999994</v>
      </c>
    </row>
    <row r="265" spans="1:14" x14ac:dyDescent="0.3">
      <c r="B265" s="29"/>
      <c r="L265" s="29">
        <f>L264/N264</f>
        <v>0.80990592868696054</v>
      </c>
      <c r="M265" s="1">
        <f>M264/N264</f>
        <v>0.19009407131303949</v>
      </c>
    </row>
    <row r="266" spans="1:14" x14ac:dyDescent="0.3">
      <c r="A266" s="4" t="s">
        <v>46</v>
      </c>
      <c r="B266" s="5" t="s">
        <v>0</v>
      </c>
      <c r="C266" s="5" t="s">
        <v>1</v>
      </c>
      <c r="D266" s="5" t="s">
        <v>2</v>
      </c>
      <c r="E266" s="6" t="s">
        <v>3</v>
      </c>
      <c r="F266" s="5" t="s">
        <v>4</v>
      </c>
      <c r="G266" s="5" t="s">
        <v>5</v>
      </c>
      <c r="H266" s="5" t="s">
        <v>6</v>
      </c>
      <c r="I266" s="5" t="s">
        <v>7</v>
      </c>
      <c r="J266" s="11"/>
      <c r="K266" s="11"/>
    </row>
    <row r="267" spans="1:14" x14ac:dyDescent="0.3">
      <c r="A267" s="7"/>
      <c r="B267" s="8">
        <v>45355</v>
      </c>
      <c r="C267" s="8">
        <v>45356</v>
      </c>
      <c r="D267" s="8">
        <v>45357</v>
      </c>
      <c r="E267" s="8">
        <v>45358</v>
      </c>
      <c r="F267" s="8">
        <v>45359</v>
      </c>
      <c r="G267" s="8">
        <v>45360</v>
      </c>
      <c r="H267" s="8">
        <v>45361</v>
      </c>
      <c r="I267" s="9"/>
      <c r="J267" s="11"/>
      <c r="K267" s="11"/>
      <c r="L267" s="1" t="s">
        <v>49</v>
      </c>
      <c r="M267" s="1" t="s">
        <v>50</v>
      </c>
    </row>
    <row r="268" spans="1:14" ht="19.5" thickBot="1" x14ac:dyDescent="0.35">
      <c r="A268" s="10" t="s">
        <v>8</v>
      </c>
      <c r="B268" s="11" t="s">
        <v>9</v>
      </c>
      <c r="C268" s="11" t="s">
        <v>9</v>
      </c>
      <c r="D268" s="11" t="s">
        <v>9</v>
      </c>
      <c r="E268" s="11" t="s">
        <v>9</v>
      </c>
      <c r="F268" s="11" t="s">
        <v>9</v>
      </c>
      <c r="G268" s="11" t="s">
        <v>9</v>
      </c>
      <c r="H268" s="11" t="s">
        <v>9</v>
      </c>
      <c r="I268" s="12" t="s">
        <v>9</v>
      </c>
      <c r="J268" s="11"/>
      <c r="K268" s="11"/>
      <c r="L268" s="1">
        <f>N268*L265</f>
        <v>1267099.6477190894</v>
      </c>
      <c r="M268" s="29">
        <f>N268*M265</f>
        <v>297402.60228091071</v>
      </c>
      <c r="N268" s="28">
        <v>1564502.25</v>
      </c>
    </row>
    <row r="269" spans="1:14" x14ac:dyDescent="0.3">
      <c r="A269" s="13" t="s">
        <v>10</v>
      </c>
      <c r="B269" s="14">
        <f>55-1</f>
        <v>54</v>
      </c>
      <c r="C269" s="14">
        <f>55-3</f>
        <v>52</v>
      </c>
      <c r="D269" s="14">
        <f>55-3</f>
        <v>52</v>
      </c>
      <c r="E269" s="14">
        <f>55-1</f>
        <v>54</v>
      </c>
      <c r="F269" s="14">
        <f>55-1</f>
        <v>54</v>
      </c>
      <c r="G269" s="14">
        <f>55-9</f>
        <v>46</v>
      </c>
      <c r="H269" s="14">
        <f>55-9</f>
        <v>46</v>
      </c>
      <c r="I269" s="14"/>
      <c r="J269" s="16"/>
      <c r="K269" s="16"/>
      <c r="N269" s="29">
        <f>L268+M268</f>
        <v>1564502.25</v>
      </c>
    </row>
    <row r="270" spans="1:14" x14ac:dyDescent="0.3">
      <c r="A270" s="15" t="s">
        <v>11</v>
      </c>
      <c r="B270" s="16">
        <v>2</v>
      </c>
      <c r="C270" s="16">
        <v>0</v>
      </c>
      <c r="D270" s="16">
        <v>0</v>
      </c>
      <c r="E270" s="16">
        <v>0</v>
      </c>
      <c r="F270" s="16">
        <v>0</v>
      </c>
      <c r="G270" s="16">
        <v>1</v>
      </c>
      <c r="H270" s="16">
        <v>2</v>
      </c>
      <c r="I270" s="16">
        <f>SUM(B270:H270)</f>
        <v>5</v>
      </c>
      <c r="J270" s="16"/>
      <c r="K270" s="16"/>
    </row>
    <row r="271" spans="1:14" x14ac:dyDescent="0.3">
      <c r="A271" s="15" t="s">
        <v>12</v>
      </c>
      <c r="B271" s="16">
        <v>3</v>
      </c>
      <c r="C271" s="16">
        <v>3</v>
      </c>
      <c r="D271" s="16">
        <v>1</v>
      </c>
      <c r="E271" s="16">
        <v>2</v>
      </c>
      <c r="F271" s="16">
        <v>8</v>
      </c>
      <c r="G271" s="16">
        <v>13</v>
      </c>
      <c r="H271" s="16">
        <v>1</v>
      </c>
      <c r="I271" s="16">
        <f>SUM(B271:H271)</f>
        <v>31</v>
      </c>
      <c r="J271" s="16"/>
      <c r="K271" s="16"/>
    </row>
    <row r="272" spans="1:14" x14ac:dyDescent="0.3">
      <c r="A272" s="15" t="s">
        <v>30</v>
      </c>
      <c r="B272" s="16">
        <v>0</v>
      </c>
      <c r="C272" s="16">
        <v>0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f>SUM(B272:H272)</f>
        <v>0</v>
      </c>
      <c r="J272" s="16"/>
      <c r="K272" s="16"/>
    </row>
    <row r="273" spans="1:12" x14ac:dyDescent="0.3">
      <c r="A273" s="15" t="s">
        <v>28</v>
      </c>
      <c r="B273" s="16">
        <v>4</v>
      </c>
      <c r="C273" s="16">
        <v>15</v>
      </c>
      <c r="D273" s="16">
        <v>165</v>
      </c>
      <c r="E273" s="16">
        <v>11</v>
      </c>
      <c r="F273" s="16">
        <v>40</v>
      </c>
      <c r="G273" s="16">
        <v>96</v>
      </c>
      <c r="H273" s="16">
        <v>46</v>
      </c>
      <c r="I273" s="16">
        <f t="shared" ref="I273:I279" si="33">B273+C273+D273+E273+F273+G273+H273</f>
        <v>377</v>
      </c>
      <c r="J273" s="16"/>
      <c r="K273" s="16"/>
    </row>
    <row r="274" spans="1:12" x14ac:dyDescent="0.3">
      <c r="A274" s="15" t="s">
        <v>29</v>
      </c>
      <c r="B274" s="16">
        <v>0</v>
      </c>
      <c r="C274" s="16">
        <v>151</v>
      </c>
      <c r="D274" s="16">
        <v>41</v>
      </c>
      <c r="E274" s="16">
        <v>1</v>
      </c>
      <c r="F274" s="16">
        <v>170</v>
      </c>
      <c r="G274" s="16">
        <v>2</v>
      </c>
      <c r="H274" s="16">
        <v>4</v>
      </c>
      <c r="I274" s="16">
        <f t="shared" si="33"/>
        <v>369</v>
      </c>
      <c r="J274" s="16"/>
      <c r="K274" s="16"/>
    </row>
    <row r="275" spans="1:12" x14ac:dyDescent="0.3">
      <c r="A275" s="15" t="s">
        <v>31</v>
      </c>
      <c r="B275" s="16">
        <v>0</v>
      </c>
      <c r="C275" s="16">
        <v>0</v>
      </c>
      <c r="D275" s="16">
        <v>9</v>
      </c>
      <c r="E275" s="16">
        <v>0</v>
      </c>
      <c r="F275" s="16">
        <v>0</v>
      </c>
      <c r="G275" s="16">
        <v>2</v>
      </c>
      <c r="H275" s="16">
        <v>2</v>
      </c>
      <c r="I275" s="16">
        <f t="shared" si="33"/>
        <v>13</v>
      </c>
      <c r="J275" s="16"/>
      <c r="K275" s="16"/>
    </row>
    <row r="276" spans="1:12" x14ac:dyDescent="0.3">
      <c r="A276" s="15" t="s">
        <v>13</v>
      </c>
      <c r="B276" s="16">
        <v>0</v>
      </c>
      <c r="C276" s="16">
        <v>0</v>
      </c>
      <c r="D276" s="16">
        <v>0</v>
      </c>
      <c r="E276" s="16">
        <v>0</v>
      </c>
      <c r="F276" s="16">
        <v>0</v>
      </c>
      <c r="G276" s="16">
        <v>0</v>
      </c>
      <c r="H276" s="16">
        <v>1</v>
      </c>
      <c r="I276" s="16">
        <f t="shared" si="33"/>
        <v>1</v>
      </c>
      <c r="J276" s="16"/>
      <c r="K276" s="16"/>
    </row>
    <row r="277" spans="1:12" x14ac:dyDescent="0.3">
      <c r="A277" s="15" t="s">
        <v>14</v>
      </c>
      <c r="B277" s="16">
        <v>0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1</v>
      </c>
      <c r="I277" s="16">
        <f t="shared" si="33"/>
        <v>1</v>
      </c>
      <c r="J277" s="16"/>
      <c r="K277" s="16"/>
    </row>
    <row r="278" spans="1:12" x14ac:dyDescent="0.3">
      <c r="A278" s="15" t="s">
        <v>32</v>
      </c>
      <c r="B278" s="16">
        <v>0</v>
      </c>
      <c r="C278" s="16">
        <v>0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f t="shared" si="33"/>
        <v>0</v>
      </c>
      <c r="J278" s="16"/>
      <c r="K278" s="16"/>
    </row>
    <row r="279" spans="1:12" x14ac:dyDescent="0.3">
      <c r="A279" s="15" t="s">
        <v>33</v>
      </c>
      <c r="B279" s="16">
        <v>0</v>
      </c>
      <c r="C279" s="16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f t="shared" si="33"/>
        <v>0</v>
      </c>
      <c r="J279" s="16"/>
      <c r="K279" s="16"/>
    </row>
    <row r="280" spans="1:12" ht="19.5" thickBot="1" x14ac:dyDescent="0.35">
      <c r="A280" s="30" t="s">
        <v>15</v>
      </c>
      <c r="B280" s="31">
        <f t="shared" ref="B280:H280" si="34">(B271+B270)/B269*100%</f>
        <v>9.2592592592592587E-2</v>
      </c>
      <c r="C280" s="31">
        <f t="shared" si="34"/>
        <v>5.7692307692307696E-2</v>
      </c>
      <c r="D280" s="31">
        <f>(D271+D270)/D269*100%</f>
        <v>1.9230769230769232E-2</v>
      </c>
      <c r="E280" s="31">
        <f t="shared" si="34"/>
        <v>3.7037037037037035E-2</v>
      </c>
      <c r="F280" s="31">
        <f t="shared" si="34"/>
        <v>0.14814814814814814</v>
      </c>
      <c r="G280" s="31">
        <f t="shared" si="34"/>
        <v>0.30434782608695654</v>
      </c>
      <c r="H280" s="31">
        <f t="shared" si="34"/>
        <v>6.5217391304347824E-2</v>
      </c>
      <c r="I280" s="32">
        <f>(B280+C280+D280+E280+F280+G280+H280)/7</f>
        <v>0.10346658172745128</v>
      </c>
      <c r="J280" s="52"/>
      <c r="K280" s="52"/>
    </row>
    <row r="281" spans="1:12" x14ac:dyDescent="0.3">
      <c r="A281" s="33" t="s">
        <v>16</v>
      </c>
      <c r="B281" s="16"/>
      <c r="C281" s="17"/>
      <c r="D281" s="16"/>
      <c r="E281" s="18"/>
      <c r="F281" s="16"/>
      <c r="G281" s="16"/>
      <c r="H281" s="16"/>
      <c r="I281" s="16"/>
      <c r="J281" s="16"/>
      <c r="K281" s="16"/>
    </row>
    <row r="282" spans="1:12" x14ac:dyDescent="0.3">
      <c r="A282" s="15" t="s">
        <v>17</v>
      </c>
      <c r="B282" s="28">
        <v>13018.972000000002</v>
      </c>
      <c r="C282" s="28">
        <v>8462.32</v>
      </c>
      <c r="D282" s="28">
        <v>3271.01</v>
      </c>
      <c r="E282" s="28">
        <v>3905.6800000000003</v>
      </c>
      <c r="F282" s="28">
        <v>18571.536</v>
      </c>
      <c r="G282" s="28">
        <v>31424.493999999999</v>
      </c>
      <c r="H282" s="28">
        <v>1952.8400000000001</v>
      </c>
      <c r="I282" s="19">
        <f>SUM(B282:H282)</f>
        <v>80606.851999999999</v>
      </c>
      <c r="J282" s="19"/>
      <c r="K282" s="19"/>
    </row>
    <row r="283" spans="1:12" x14ac:dyDescent="0.3">
      <c r="A283" s="15" t="s">
        <v>18</v>
      </c>
      <c r="B283" s="28">
        <v>10736.512400000001</v>
      </c>
      <c r="C283" s="28">
        <v>18816.453000000001</v>
      </c>
      <c r="D283" s="28">
        <v>44488.40649999999</v>
      </c>
      <c r="E283" s="28">
        <v>5803.9885000000004</v>
      </c>
      <c r="F283" s="28">
        <v>34936.821200000006</v>
      </c>
      <c r="G283" s="28">
        <v>42184.198799999998</v>
      </c>
      <c r="H283" s="28">
        <v>13763.701499999999</v>
      </c>
      <c r="I283" s="19">
        <f>SUM(B283:H283)</f>
        <v>170730.08190000002</v>
      </c>
      <c r="J283" s="19"/>
      <c r="K283" s="19"/>
    </row>
    <row r="284" spans="1:12" x14ac:dyDescent="0.3">
      <c r="A284" s="15" t="s">
        <v>19</v>
      </c>
      <c r="B284" s="28">
        <v>7477.7686000000003</v>
      </c>
      <c r="C284" s="28">
        <v>8913.9189999999999</v>
      </c>
      <c r="D284" s="28">
        <v>15338.531499999999</v>
      </c>
      <c r="E284" s="28">
        <v>3148.9414999999999</v>
      </c>
      <c r="F284" s="28">
        <v>18502.296799999996</v>
      </c>
      <c r="G284" s="28">
        <v>23505.322199999999</v>
      </c>
      <c r="H284" s="28">
        <v>8663.2564999999995</v>
      </c>
      <c r="I284" s="19">
        <f>SUM(B284:H284)</f>
        <v>85550.036099999998</v>
      </c>
      <c r="J284" s="19"/>
      <c r="K284" s="19"/>
    </row>
    <row r="285" spans="1:12" x14ac:dyDescent="0.3">
      <c r="A285" s="15" t="s">
        <v>21</v>
      </c>
      <c r="B285" s="28">
        <v>0</v>
      </c>
      <c r="C285" s="28">
        <v>0</v>
      </c>
      <c r="D285" s="28">
        <v>0</v>
      </c>
      <c r="E285" s="28">
        <v>0</v>
      </c>
      <c r="F285" s="28">
        <v>0</v>
      </c>
      <c r="G285" s="28">
        <v>0</v>
      </c>
      <c r="H285" s="28">
        <v>0</v>
      </c>
      <c r="I285" s="19">
        <f>SUM(B285:H285)</f>
        <v>0</v>
      </c>
      <c r="J285" s="19"/>
      <c r="K285" s="19"/>
    </row>
    <row r="286" spans="1:12" ht="19.5" thickBot="1" x14ac:dyDescent="0.35">
      <c r="A286" s="15" t="s">
        <v>22</v>
      </c>
      <c r="B286" s="28">
        <v>0</v>
      </c>
      <c r="C286" s="28">
        <v>0</v>
      </c>
      <c r="D286" s="28">
        <v>0</v>
      </c>
      <c r="E286" s="28">
        <v>0</v>
      </c>
      <c r="F286" s="28">
        <v>0</v>
      </c>
      <c r="G286" s="28">
        <v>0</v>
      </c>
      <c r="H286" s="28">
        <v>0</v>
      </c>
      <c r="I286" s="19">
        <f>SUM(B286:H286)</f>
        <v>0</v>
      </c>
      <c r="J286" s="19"/>
      <c r="K286" s="19"/>
    </row>
    <row r="287" spans="1:12" ht="19.5" thickBot="1" x14ac:dyDescent="0.35">
      <c r="A287" s="20" t="s">
        <v>7</v>
      </c>
      <c r="B287" s="21">
        <f>SUM(B282:B286)</f>
        <v>31233.253000000001</v>
      </c>
      <c r="C287" s="21">
        <f t="shared" ref="C287:H287" si="35">SUM(C282:C286)</f>
        <v>36192.692000000003</v>
      </c>
      <c r="D287" s="21">
        <f t="shared" si="35"/>
        <v>63097.947999999989</v>
      </c>
      <c r="E287" s="21">
        <f t="shared" si="35"/>
        <v>12858.61</v>
      </c>
      <c r="F287" s="21">
        <f t="shared" si="35"/>
        <v>72010.65400000001</v>
      </c>
      <c r="G287" s="21">
        <f t="shared" si="35"/>
        <v>97114.014999999985</v>
      </c>
      <c r="H287" s="21">
        <f t="shared" si="35"/>
        <v>24379.797999999999</v>
      </c>
      <c r="I287" s="21">
        <f>SUM(I282:I286)</f>
        <v>336886.97</v>
      </c>
      <c r="J287" s="53"/>
      <c r="K287" s="53"/>
      <c r="L287" s="29"/>
    </row>
    <row r="288" spans="1:12" ht="19.5" thickTop="1" x14ac:dyDescent="0.3">
      <c r="A288" s="22" t="s">
        <v>20</v>
      </c>
      <c r="B288" s="23">
        <f>2115.56*0.6</f>
        <v>1269.336</v>
      </c>
      <c r="C288" s="23">
        <f>28397.62*0.6</f>
        <v>17038.572</v>
      </c>
      <c r="D288" s="23">
        <f>89514.93*0.6</f>
        <v>53708.957999999991</v>
      </c>
      <c r="E288" s="23">
        <f>6021.25*0.6</f>
        <v>3612.75</v>
      </c>
      <c r="F288" s="23">
        <f>47645.28*0.6</f>
        <v>28587.167999999998</v>
      </c>
      <c r="G288" s="23">
        <f>45769.76*0.6</f>
        <v>27461.856</v>
      </c>
      <c r="H288" s="23">
        <f>23290.03*0.6</f>
        <v>13974.017999999998</v>
      </c>
      <c r="I288" s="23">
        <f>SUM(B288:H288)</f>
        <v>145652.658</v>
      </c>
      <c r="J288" s="23"/>
      <c r="K288" s="23"/>
    </row>
    <row r="289" spans="1:11" x14ac:dyDescent="0.3">
      <c r="A289" s="24" t="s">
        <v>25</v>
      </c>
      <c r="B289" s="25"/>
      <c r="C289" s="25"/>
      <c r="D289" s="25"/>
      <c r="E289" s="25"/>
      <c r="F289" s="25"/>
      <c r="G289" s="25"/>
      <c r="H289" s="25"/>
      <c r="I289" s="25"/>
      <c r="J289" s="25"/>
      <c r="K289" s="25"/>
    </row>
    <row r="290" spans="1:11" x14ac:dyDescent="0.3">
      <c r="A290" s="26" t="s">
        <v>23</v>
      </c>
      <c r="B290" s="25">
        <v>0</v>
      </c>
      <c r="C290" s="25">
        <v>0</v>
      </c>
      <c r="D290" s="25">
        <v>0</v>
      </c>
      <c r="E290" s="25">
        <v>0</v>
      </c>
      <c r="F290" s="25">
        <v>0</v>
      </c>
      <c r="G290" s="25"/>
      <c r="H290" s="25"/>
      <c r="I290" s="25">
        <f>SUM(B290:H290)</f>
        <v>0</v>
      </c>
      <c r="J290" s="25"/>
      <c r="K290" s="25"/>
    </row>
    <row r="291" spans="1:11" ht="19.5" thickBot="1" x14ac:dyDescent="0.35">
      <c r="A291" s="27" t="s">
        <v>24</v>
      </c>
      <c r="B291" s="25">
        <f>12000/1.229</f>
        <v>9764.0358014646044</v>
      </c>
      <c r="C291" s="25">
        <v>0</v>
      </c>
      <c r="D291" s="25">
        <v>0</v>
      </c>
      <c r="E291" s="25">
        <v>0</v>
      </c>
      <c r="F291" s="25">
        <v>0</v>
      </c>
      <c r="G291" s="25">
        <f>30000/1.229</f>
        <v>24410.089503661511</v>
      </c>
      <c r="H291" s="25">
        <f>36000/1.229</f>
        <v>29292.107404393813</v>
      </c>
      <c r="I291" s="25">
        <f>SUM(B291:H291)</f>
        <v>63466.232709519929</v>
      </c>
      <c r="J291" s="25"/>
      <c r="K291" s="25"/>
    </row>
    <row r="292" spans="1:11" x14ac:dyDescent="0.3">
      <c r="B292" s="38"/>
    </row>
    <row r="295" spans="1:11" x14ac:dyDescent="0.3">
      <c r="A295" s="4" t="s">
        <v>47</v>
      </c>
      <c r="B295" s="5" t="s">
        <v>0</v>
      </c>
      <c r="C295" s="5" t="s">
        <v>1</v>
      </c>
      <c r="D295" s="5" t="s">
        <v>2</v>
      </c>
      <c r="E295" s="6" t="s">
        <v>3</v>
      </c>
      <c r="F295" s="5" t="s">
        <v>4</v>
      </c>
      <c r="G295" s="5" t="s">
        <v>5</v>
      </c>
      <c r="H295" s="5" t="s">
        <v>6</v>
      </c>
      <c r="I295" s="5" t="s">
        <v>7</v>
      </c>
      <c r="J295" s="11"/>
      <c r="K295" s="11"/>
    </row>
    <row r="296" spans="1:11" x14ac:dyDescent="0.3">
      <c r="A296" s="7"/>
      <c r="B296" s="8">
        <v>45362</v>
      </c>
      <c r="C296" s="8">
        <v>45363</v>
      </c>
      <c r="D296" s="8">
        <v>45364</v>
      </c>
      <c r="E296" s="8">
        <v>45365</v>
      </c>
      <c r="F296" s="8">
        <v>45366</v>
      </c>
      <c r="G296" s="8">
        <v>45367</v>
      </c>
      <c r="H296" s="8">
        <v>45368</v>
      </c>
      <c r="I296" s="9"/>
      <c r="J296" s="11"/>
      <c r="K296" s="11"/>
    </row>
    <row r="297" spans="1:11" ht="19.5" thickBot="1" x14ac:dyDescent="0.35">
      <c r="A297" s="10" t="s">
        <v>8</v>
      </c>
      <c r="B297" s="11" t="s">
        <v>9</v>
      </c>
      <c r="C297" s="11" t="s">
        <v>9</v>
      </c>
      <c r="D297" s="11" t="s">
        <v>9</v>
      </c>
      <c r="E297" s="11" t="s">
        <v>9</v>
      </c>
      <c r="F297" s="11" t="s">
        <v>9</v>
      </c>
      <c r="G297" s="11" t="s">
        <v>9</v>
      </c>
      <c r="H297" s="11" t="s">
        <v>9</v>
      </c>
      <c r="I297" s="12" t="s">
        <v>9</v>
      </c>
      <c r="J297" s="11"/>
      <c r="K297" s="11"/>
    </row>
    <row r="298" spans="1:11" x14ac:dyDescent="0.3">
      <c r="A298" s="13" t="s">
        <v>10</v>
      </c>
      <c r="B298" s="14">
        <f>55-9-39</f>
        <v>7</v>
      </c>
      <c r="C298" s="14">
        <f>55-2</f>
        <v>53</v>
      </c>
      <c r="D298" s="14">
        <f>55-2</f>
        <v>53</v>
      </c>
      <c r="E298" s="14">
        <f>55-3</f>
        <v>52</v>
      </c>
      <c r="F298" s="14">
        <f>55-4</f>
        <v>51</v>
      </c>
      <c r="G298" s="14">
        <f>55-4</f>
        <v>51</v>
      </c>
      <c r="H298" s="14">
        <v>51</v>
      </c>
      <c r="I298" s="14"/>
      <c r="J298" s="16"/>
      <c r="K298" s="16"/>
    </row>
    <row r="299" spans="1:11" x14ac:dyDescent="0.3">
      <c r="A299" s="15" t="s">
        <v>11</v>
      </c>
      <c r="B299" s="16">
        <v>0</v>
      </c>
      <c r="C299" s="16">
        <v>1</v>
      </c>
      <c r="D299" s="16">
        <v>2</v>
      </c>
      <c r="E299" s="16">
        <v>2</v>
      </c>
      <c r="F299" s="16">
        <v>2</v>
      </c>
      <c r="G299" s="16">
        <v>1</v>
      </c>
      <c r="H299" s="16">
        <v>2</v>
      </c>
      <c r="I299" s="16">
        <f>SUM(B299:H299)</f>
        <v>10</v>
      </c>
      <c r="J299" s="16"/>
      <c r="K299" s="16"/>
    </row>
    <row r="300" spans="1:11" x14ac:dyDescent="0.3">
      <c r="A300" s="15" t="s">
        <v>12</v>
      </c>
      <c r="B300" s="16">
        <v>1</v>
      </c>
      <c r="C300" s="16">
        <v>1</v>
      </c>
      <c r="D300" s="16">
        <v>0</v>
      </c>
      <c r="E300" s="16">
        <v>1</v>
      </c>
      <c r="F300" s="16">
        <v>15</v>
      </c>
      <c r="G300" s="16">
        <v>24</v>
      </c>
      <c r="H300" s="16">
        <v>10</v>
      </c>
      <c r="I300" s="16">
        <f>SUM(B300:H300)</f>
        <v>52</v>
      </c>
      <c r="J300" s="16"/>
      <c r="K300" s="16"/>
    </row>
    <row r="301" spans="1:11" x14ac:dyDescent="0.3">
      <c r="A301" s="15" t="s">
        <v>30</v>
      </c>
      <c r="B301" s="16">
        <v>0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f>SUM(B301:H301)</f>
        <v>0</v>
      </c>
      <c r="J301" s="16"/>
      <c r="K301" s="16"/>
    </row>
    <row r="302" spans="1:11" x14ac:dyDescent="0.3">
      <c r="A302" s="15" t="s">
        <v>28</v>
      </c>
      <c r="B302" s="16">
        <v>0</v>
      </c>
      <c r="C302" s="16">
        <v>2</v>
      </c>
      <c r="D302" s="16">
        <v>6</v>
      </c>
      <c r="E302" s="16">
        <v>12</v>
      </c>
      <c r="F302" s="16">
        <v>29</v>
      </c>
      <c r="G302" s="16">
        <v>72</v>
      </c>
      <c r="H302" s="16">
        <v>111</v>
      </c>
      <c r="I302" s="16">
        <f t="shared" ref="I302:I308" si="36">B302+C302+D302+E302+F302+G302+H302</f>
        <v>232</v>
      </c>
      <c r="J302" s="16"/>
      <c r="K302" s="16"/>
    </row>
    <row r="303" spans="1:11" x14ac:dyDescent="0.3">
      <c r="A303" s="15" t="s">
        <v>29</v>
      </c>
      <c r="B303" s="16">
        <v>0</v>
      </c>
      <c r="C303" s="16">
        <v>2</v>
      </c>
      <c r="D303" s="16">
        <v>0</v>
      </c>
      <c r="E303" s="16">
        <v>0</v>
      </c>
      <c r="F303" s="16">
        <v>3</v>
      </c>
      <c r="G303" s="16">
        <v>1</v>
      </c>
      <c r="H303" s="16">
        <v>7</v>
      </c>
      <c r="I303" s="16">
        <f t="shared" si="36"/>
        <v>13</v>
      </c>
      <c r="J303" s="16"/>
      <c r="K303" s="16"/>
    </row>
    <row r="304" spans="1:11" x14ac:dyDescent="0.3">
      <c r="A304" s="15" t="s">
        <v>31</v>
      </c>
      <c r="B304" s="16">
        <v>0</v>
      </c>
      <c r="C304" s="16">
        <v>0</v>
      </c>
      <c r="D304" s="16">
        <v>0</v>
      </c>
      <c r="E304" s="16">
        <v>0</v>
      </c>
      <c r="F304" s="16">
        <v>58</v>
      </c>
      <c r="G304" s="16">
        <v>1</v>
      </c>
      <c r="H304" s="16">
        <v>2</v>
      </c>
      <c r="I304" s="16">
        <f t="shared" si="36"/>
        <v>61</v>
      </c>
      <c r="J304" s="16"/>
      <c r="K304" s="16"/>
    </row>
    <row r="305" spans="1:12" x14ac:dyDescent="0.3">
      <c r="A305" s="15" t="s">
        <v>13</v>
      </c>
      <c r="B305" s="16">
        <v>0</v>
      </c>
      <c r="C305" s="16">
        <v>0</v>
      </c>
      <c r="D305" s="16">
        <v>0</v>
      </c>
      <c r="E305" s="16">
        <v>0</v>
      </c>
      <c r="F305" s="16">
        <v>1</v>
      </c>
      <c r="G305" s="16">
        <v>0</v>
      </c>
      <c r="H305" s="16">
        <v>7</v>
      </c>
      <c r="I305" s="16">
        <f t="shared" si="36"/>
        <v>8</v>
      </c>
      <c r="J305" s="16"/>
      <c r="K305" s="16"/>
    </row>
    <row r="306" spans="1:12" x14ac:dyDescent="0.3">
      <c r="A306" s="15" t="s">
        <v>14</v>
      </c>
      <c r="B306" s="16">
        <v>0</v>
      </c>
      <c r="C306" s="16">
        <v>0</v>
      </c>
      <c r="D306" s="16">
        <v>0</v>
      </c>
      <c r="E306" s="16">
        <v>0</v>
      </c>
      <c r="F306" s="16">
        <v>0</v>
      </c>
      <c r="G306" s="16">
        <v>0</v>
      </c>
      <c r="H306" s="16">
        <v>0</v>
      </c>
      <c r="I306" s="16">
        <f t="shared" si="36"/>
        <v>0</v>
      </c>
      <c r="J306" s="16"/>
      <c r="K306" s="16"/>
    </row>
    <row r="307" spans="1:12" x14ac:dyDescent="0.3">
      <c r="A307" s="15" t="s">
        <v>32</v>
      </c>
      <c r="B307" s="16">
        <v>0</v>
      </c>
      <c r="C307" s="16">
        <v>0</v>
      </c>
      <c r="D307" s="16">
        <v>0</v>
      </c>
      <c r="E307" s="16">
        <v>2</v>
      </c>
      <c r="F307" s="16">
        <v>0</v>
      </c>
      <c r="G307" s="16">
        <v>0</v>
      </c>
      <c r="H307" s="16">
        <v>0</v>
      </c>
      <c r="I307" s="16">
        <f t="shared" si="36"/>
        <v>2</v>
      </c>
      <c r="J307" s="16"/>
      <c r="K307" s="16"/>
    </row>
    <row r="308" spans="1:12" x14ac:dyDescent="0.3">
      <c r="A308" s="15" t="s">
        <v>33</v>
      </c>
      <c r="B308" s="16">
        <v>0</v>
      </c>
      <c r="C308" s="16">
        <v>0</v>
      </c>
      <c r="D308" s="16">
        <v>0</v>
      </c>
      <c r="E308" s="16">
        <v>0</v>
      </c>
      <c r="F308" s="16">
        <v>0</v>
      </c>
      <c r="G308" s="16">
        <v>0</v>
      </c>
      <c r="H308" s="16">
        <v>0</v>
      </c>
      <c r="I308" s="16">
        <f t="shared" si="36"/>
        <v>0</v>
      </c>
      <c r="J308" s="16"/>
      <c r="K308" s="16"/>
    </row>
    <row r="309" spans="1:12" ht="19.5" thickBot="1" x14ac:dyDescent="0.35">
      <c r="A309" s="30" t="s">
        <v>15</v>
      </c>
      <c r="B309" s="31">
        <f t="shared" ref="B309:H309" si="37">(B300+B299)/B298*100%</f>
        <v>0.14285714285714285</v>
      </c>
      <c r="C309" s="31">
        <f t="shared" si="37"/>
        <v>3.7735849056603772E-2</v>
      </c>
      <c r="D309" s="31">
        <f t="shared" si="37"/>
        <v>3.7735849056603772E-2</v>
      </c>
      <c r="E309" s="31">
        <f t="shared" si="37"/>
        <v>5.7692307692307696E-2</v>
      </c>
      <c r="F309" s="31">
        <f t="shared" si="37"/>
        <v>0.33333333333333331</v>
      </c>
      <c r="G309" s="31">
        <f t="shared" si="37"/>
        <v>0.49019607843137253</v>
      </c>
      <c r="H309" s="31">
        <f t="shared" si="37"/>
        <v>0.23529411764705882</v>
      </c>
      <c r="I309" s="32">
        <f>(B309+C309+D309+E309+F309+G309+H309)/7</f>
        <v>0.19069209686777469</v>
      </c>
      <c r="J309" s="52"/>
      <c r="K309" s="52"/>
    </row>
    <row r="310" spans="1:12" x14ac:dyDescent="0.3">
      <c r="A310" s="33" t="s">
        <v>16</v>
      </c>
      <c r="B310" s="16"/>
      <c r="C310" s="17"/>
      <c r="D310" s="16"/>
      <c r="E310" s="18"/>
      <c r="F310" s="16"/>
      <c r="G310" s="16"/>
      <c r="H310" s="16"/>
      <c r="I310" s="16"/>
      <c r="J310" s="16"/>
      <c r="K310" s="16"/>
    </row>
    <row r="311" spans="1:12" x14ac:dyDescent="0.3">
      <c r="A311" s="15" t="s">
        <v>17</v>
      </c>
      <c r="B311" s="28">
        <v>1952.8400000000001</v>
      </c>
      <c r="C311" s="28">
        <v>1952.8400000000001</v>
      </c>
      <c r="D311" s="28">
        <v>0</v>
      </c>
      <c r="E311" s="28">
        <v>3254.7400000000002</v>
      </c>
      <c r="F311" s="28">
        <v>24779.821</v>
      </c>
      <c r="G311" s="28">
        <v>45951.942000000003</v>
      </c>
      <c r="H311" s="28">
        <v>13126.001</v>
      </c>
      <c r="I311" s="19">
        <f>SUM(B311:H311)</f>
        <v>91018.184000000008</v>
      </c>
      <c r="J311" s="19"/>
      <c r="K311" s="19"/>
    </row>
    <row r="312" spans="1:12" x14ac:dyDescent="0.3">
      <c r="A312" s="15" t="s">
        <v>18</v>
      </c>
      <c r="B312" s="28">
        <v>1525.6680000000003</v>
      </c>
      <c r="C312" s="28">
        <v>3454.0800000000004</v>
      </c>
      <c r="D312" s="28">
        <v>1244.9925000000001</v>
      </c>
      <c r="E312" s="28">
        <v>5476.1035000000002</v>
      </c>
      <c r="F312" s="28">
        <v>33552.332100000007</v>
      </c>
      <c r="G312" s="28">
        <v>52394.434800000003</v>
      </c>
      <c r="H312" s="28">
        <v>36192.504800000002</v>
      </c>
      <c r="I312" s="19">
        <f>SUM(B312:H312)</f>
        <v>133840.11570000002</v>
      </c>
      <c r="J312" s="19"/>
      <c r="K312" s="19"/>
    </row>
    <row r="313" spans="1:12" x14ac:dyDescent="0.3">
      <c r="A313" s="15" t="s">
        <v>19</v>
      </c>
      <c r="B313" s="28">
        <v>1088.3020000000001</v>
      </c>
      <c r="C313" s="28">
        <v>2070.8759999999997</v>
      </c>
      <c r="D313" s="28">
        <v>500.45749999999998</v>
      </c>
      <c r="E313" s="28">
        <v>2872.3254999999999</v>
      </c>
      <c r="F313" s="28">
        <v>18604.3737</v>
      </c>
      <c r="G313" s="28">
        <v>46342.128000000004</v>
      </c>
      <c r="H313" s="28">
        <v>15204.681400000001</v>
      </c>
      <c r="I313" s="19">
        <f>SUM(B313:H313)</f>
        <v>86683.144100000005</v>
      </c>
      <c r="J313" s="19"/>
      <c r="K313" s="19"/>
    </row>
    <row r="314" spans="1:12" x14ac:dyDescent="0.3">
      <c r="A314" s="15" t="s">
        <v>21</v>
      </c>
      <c r="B314" s="28">
        <v>0</v>
      </c>
      <c r="C314" s="28">
        <v>0</v>
      </c>
      <c r="D314" s="28">
        <v>0</v>
      </c>
      <c r="E314" s="28">
        <v>0</v>
      </c>
      <c r="F314" s="28">
        <v>4994.4112000000005</v>
      </c>
      <c r="G314" s="28">
        <v>4760.0672000000004</v>
      </c>
      <c r="H314" s="28">
        <v>3000.2288000000003</v>
      </c>
      <c r="I314" s="19">
        <f>SUM(B314:H314)</f>
        <v>12754.707200000001</v>
      </c>
      <c r="J314" s="19"/>
      <c r="K314" s="19"/>
    </row>
    <row r="315" spans="1:12" ht="19.5" thickBot="1" x14ac:dyDescent="0.35">
      <c r="A315" s="15" t="s">
        <v>22</v>
      </c>
      <c r="B315" s="28">
        <v>0</v>
      </c>
      <c r="C315" s="28">
        <v>0</v>
      </c>
      <c r="D315" s="28">
        <v>0</v>
      </c>
      <c r="E315" s="28">
        <v>0</v>
      </c>
      <c r="F315" s="28">
        <v>0</v>
      </c>
      <c r="G315" s="28">
        <v>0</v>
      </c>
      <c r="H315" s="28">
        <v>0</v>
      </c>
      <c r="I315" s="19">
        <f>SUM(B315:H315)</f>
        <v>0</v>
      </c>
      <c r="J315" s="19"/>
      <c r="K315" s="19"/>
    </row>
    <row r="316" spans="1:12" ht="19.5" thickBot="1" x14ac:dyDescent="0.35">
      <c r="A316" s="20" t="s">
        <v>7</v>
      </c>
      <c r="B316" s="21">
        <f t="shared" ref="B316:I316" si="38">SUM(B311:B315)</f>
        <v>4566.8100000000013</v>
      </c>
      <c r="C316" s="21">
        <f t="shared" si="38"/>
        <v>7477.7960000000003</v>
      </c>
      <c r="D316" s="21">
        <f t="shared" si="38"/>
        <v>1745.45</v>
      </c>
      <c r="E316" s="21">
        <f t="shared" si="38"/>
        <v>11603.169000000002</v>
      </c>
      <c r="F316" s="21">
        <f t="shared" si="38"/>
        <v>81930.938000000009</v>
      </c>
      <c r="G316" s="21">
        <f t="shared" si="38"/>
        <v>149448.57199999999</v>
      </c>
      <c r="H316" s="21">
        <f t="shared" si="38"/>
        <v>67523.415999999997</v>
      </c>
      <c r="I316" s="21">
        <f t="shared" si="38"/>
        <v>324296.15100000001</v>
      </c>
      <c r="J316" s="53"/>
      <c r="K316" s="53"/>
      <c r="L316" s="29"/>
    </row>
    <row r="317" spans="1:12" ht="19.5" thickTop="1" x14ac:dyDescent="0.3">
      <c r="A317" s="22" t="s">
        <v>20</v>
      </c>
      <c r="B317" s="23">
        <v>0</v>
      </c>
      <c r="C317" s="23">
        <f>4231.16*0.6</f>
        <v>2538.6959999999999</v>
      </c>
      <c r="D317" s="23">
        <f>2766.65*0.6</f>
        <v>1659.99</v>
      </c>
      <c r="E317" s="23">
        <f>6834.99*0.6</f>
        <v>4100.9939999999997</v>
      </c>
      <c r="F317" s="23">
        <f>30887.45*0.6</f>
        <v>18532.47</v>
      </c>
      <c r="G317" s="23">
        <f>37958.28*0.6</f>
        <v>22774.967999999997</v>
      </c>
      <c r="H317" s="23">
        <f>47161.12*0.6</f>
        <v>28296.672000000002</v>
      </c>
      <c r="I317" s="23">
        <f>SUM(B317:H317)</f>
        <v>77903.790000000008</v>
      </c>
      <c r="J317" s="23"/>
      <c r="K317" s="23"/>
    </row>
    <row r="318" spans="1:12" x14ac:dyDescent="0.3">
      <c r="A318" s="24" t="s">
        <v>25</v>
      </c>
      <c r="B318" s="25"/>
      <c r="C318" s="25"/>
      <c r="D318" s="25"/>
      <c r="E318" s="25"/>
      <c r="F318" s="25"/>
      <c r="G318" s="25"/>
      <c r="H318" s="25"/>
      <c r="I318" s="25"/>
      <c r="J318" s="25"/>
      <c r="K318" s="25"/>
    </row>
    <row r="319" spans="1:12" x14ac:dyDescent="0.3">
      <c r="A319" s="26" t="s">
        <v>23</v>
      </c>
      <c r="B319" s="25">
        <v>0</v>
      </c>
      <c r="C319" s="25">
        <v>0</v>
      </c>
      <c r="D319" s="25">
        <v>0</v>
      </c>
      <c r="E319" s="25">
        <v>0</v>
      </c>
      <c r="F319" s="25">
        <v>0</v>
      </c>
      <c r="G319" s="25"/>
      <c r="H319" s="25"/>
      <c r="I319" s="25">
        <f>SUM(B319:H319)</f>
        <v>0</v>
      </c>
      <c r="J319" s="25"/>
      <c r="K319" s="25"/>
    </row>
    <row r="320" spans="1:12" ht="19.5" thickBot="1" x14ac:dyDescent="0.35">
      <c r="A320" s="27" t="s">
        <v>24</v>
      </c>
      <c r="B320" s="25">
        <v>0</v>
      </c>
      <c r="C320" s="25">
        <f>6000/1.229</f>
        <v>4882.0179007323022</v>
      </c>
      <c r="D320" s="25">
        <f>(6000+10000)/1.229</f>
        <v>13018.714401952806</v>
      </c>
      <c r="E320" s="25">
        <f>(6000+10000)/1.229</f>
        <v>13018.714401952806</v>
      </c>
      <c r="F320" s="25">
        <f>16000/1.229</f>
        <v>13018.714401952806</v>
      </c>
      <c r="G320" s="25">
        <f>6000/1.229</f>
        <v>4882.0179007323022</v>
      </c>
      <c r="H320" s="25">
        <f>12000/1.229</f>
        <v>9764.0358014646044</v>
      </c>
      <c r="I320" s="25">
        <f>SUM(B320:H320)</f>
        <v>58584.214808787627</v>
      </c>
      <c r="J320" s="25"/>
      <c r="K320" s="25"/>
    </row>
    <row r="324" spans="1:11" x14ac:dyDescent="0.3">
      <c r="A324" s="4" t="s">
        <v>48</v>
      </c>
      <c r="B324" s="5" t="s">
        <v>0</v>
      </c>
      <c r="C324" s="5" t="s">
        <v>1</v>
      </c>
      <c r="D324" s="5" t="s">
        <v>2</v>
      </c>
      <c r="E324" s="6" t="s">
        <v>3</v>
      </c>
      <c r="F324" s="5" t="s">
        <v>4</v>
      </c>
      <c r="G324" s="5" t="s">
        <v>5</v>
      </c>
      <c r="H324" s="5" t="s">
        <v>6</v>
      </c>
      <c r="I324" s="5" t="s">
        <v>7</v>
      </c>
      <c r="J324" s="11"/>
      <c r="K324" s="11"/>
    </row>
    <row r="325" spans="1:11" x14ac:dyDescent="0.3">
      <c r="A325" s="7"/>
      <c r="B325" s="8">
        <v>45369</v>
      </c>
      <c r="C325" s="8">
        <v>45370</v>
      </c>
      <c r="D325" s="8">
        <v>45371</v>
      </c>
      <c r="E325" s="8">
        <v>45372</v>
      </c>
      <c r="F325" s="8">
        <v>45373</v>
      </c>
      <c r="G325" s="8">
        <v>45374</v>
      </c>
      <c r="H325" s="8">
        <v>45375</v>
      </c>
      <c r="I325" s="9"/>
      <c r="J325" s="11"/>
      <c r="K325" s="11"/>
    </row>
    <row r="326" spans="1:11" ht="19.5" thickBot="1" x14ac:dyDescent="0.35">
      <c r="A326" s="10" t="s">
        <v>8</v>
      </c>
      <c r="B326" s="11" t="s">
        <v>9</v>
      </c>
      <c r="C326" s="11" t="s">
        <v>9</v>
      </c>
      <c r="D326" s="11" t="s">
        <v>9</v>
      </c>
      <c r="E326" s="11" t="s">
        <v>9</v>
      </c>
      <c r="F326" s="11" t="s">
        <v>9</v>
      </c>
      <c r="G326" s="11" t="s">
        <v>9</v>
      </c>
      <c r="H326" s="11" t="s">
        <v>9</v>
      </c>
      <c r="I326" s="12" t="s">
        <v>9</v>
      </c>
      <c r="J326" s="11"/>
      <c r="K326" s="11"/>
    </row>
    <row r="327" spans="1:11" x14ac:dyDescent="0.3">
      <c r="A327" s="13" t="s">
        <v>10</v>
      </c>
      <c r="B327" s="14">
        <f>55-4</f>
        <v>51</v>
      </c>
      <c r="C327" s="14">
        <f>55-4</f>
        <v>51</v>
      </c>
      <c r="D327" s="14">
        <f>55-3</f>
        <v>52</v>
      </c>
      <c r="E327" s="14">
        <f>55-3</f>
        <v>52</v>
      </c>
      <c r="F327" s="14">
        <f>55-2</f>
        <v>53</v>
      </c>
      <c r="G327" s="14">
        <f>55-2</f>
        <v>53</v>
      </c>
      <c r="H327" s="14">
        <f>55-1</f>
        <v>54</v>
      </c>
      <c r="I327" s="14"/>
      <c r="J327" s="16"/>
      <c r="K327" s="16"/>
    </row>
    <row r="328" spans="1:11" x14ac:dyDescent="0.3">
      <c r="A328" s="15" t="s">
        <v>11</v>
      </c>
      <c r="B328" s="16">
        <v>3</v>
      </c>
      <c r="C328" s="16">
        <v>2</v>
      </c>
      <c r="D328" s="16">
        <v>2</v>
      </c>
      <c r="E328" s="16">
        <v>2</v>
      </c>
      <c r="F328" s="16">
        <v>2</v>
      </c>
      <c r="G328" s="16">
        <v>2</v>
      </c>
      <c r="H328" s="16">
        <v>1</v>
      </c>
      <c r="I328" s="16">
        <f>SUM(B328:H328)</f>
        <v>14</v>
      </c>
      <c r="J328" s="16"/>
      <c r="K328" s="16"/>
    </row>
    <row r="329" spans="1:11" x14ac:dyDescent="0.3">
      <c r="A329" s="15" t="s">
        <v>12</v>
      </c>
      <c r="B329" s="16">
        <v>17</v>
      </c>
      <c r="C329" s="16">
        <v>21</v>
      </c>
      <c r="D329" s="16">
        <v>20</v>
      </c>
      <c r="E329" s="16">
        <v>26</v>
      </c>
      <c r="F329" s="16">
        <v>10</v>
      </c>
      <c r="G329" s="16">
        <v>3</v>
      </c>
      <c r="H329" s="16">
        <v>1</v>
      </c>
      <c r="I329" s="16">
        <f>SUM(B329:H329)</f>
        <v>98</v>
      </c>
      <c r="J329" s="16"/>
      <c r="K329" s="16"/>
    </row>
    <row r="330" spans="1:11" x14ac:dyDescent="0.3">
      <c r="A330" s="15" t="s">
        <v>30</v>
      </c>
      <c r="B330" s="16">
        <v>0</v>
      </c>
      <c r="C330" s="16">
        <v>0</v>
      </c>
      <c r="D330" s="16">
        <v>0</v>
      </c>
      <c r="E330" s="16">
        <v>0</v>
      </c>
      <c r="F330" s="16">
        <v>0</v>
      </c>
      <c r="G330" s="16">
        <v>0</v>
      </c>
      <c r="H330" s="16">
        <v>0</v>
      </c>
      <c r="I330" s="16">
        <f>SUM(B330:H330)</f>
        <v>0</v>
      </c>
      <c r="J330" s="16"/>
      <c r="K330" s="16"/>
    </row>
    <row r="331" spans="1:11" x14ac:dyDescent="0.3">
      <c r="A331" s="15" t="s">
        <v>28</v>
      </c>
      <c r="B331" s="16">
        <v>5</v>
      </c>
      <c r="C331" s="16">
        <v>8</v>
      </c>
      <c r="D331" s="16">
        <v>4</v>
      </c>
      <c r="E331" s="16">
        <v>18</v>
      </c>
      <c r="F331" s="16">
        <v>46</v>
      </c>
      <c r="G331" s="16">
        <v>117</v>
      </c>
      <c r="H331" s="16">
        <v>20</v>
      </c>
      <c r="I331" s="16">
        <f t="shared" ref="I331:I337" si="39">B331+C331+D331+E331+F331+G331+H331</f>
        <v>218</v>
      </c>
      <c r="J331" s="16"/>
      <c r="K331" s="16"/>
    </row>
    <row r="332" spans="1:11" x14ac:dyDescent="0.3">
      <c r="A332" s="15" t="s">
        <v>29</v>
      </c>
      <c r="B332" s="16">
        <v>1</v>
      </c>
      <c r="C332" s="16">
        <v>0</v>
      </c>
      <c r="D332" s="16">
        <v>1</v>
      </c>
      <c r="E332" s="16">
        <v>0</v>
      </c>
      <c r="F332" s="16">
        <v>18</v>
      </c>
      <c r="G332" s="16">
        <v>10</v>
      </c>
      <c r="H332" s="16">
        <v>4</v>
      </c>
      <c r="I332" s="16">
        <f t="shared" si="39"/>
        <v>34</v>
      </c>
      <c r="J332" s="16"/>
      <c r="K332" s="16"/>
    </row>
    <row r="333" spans="1:11" x14ac:dyDescent="0.3">
      <c r="A333" s="15" t="s">
        <v>31</v>
      </c>
      <c r="B333" s="16">
        <v>1</v>
      </c>
      <c r="C333" s="16">
        <v>0</v>
      </c>
      <c r="D333" s="16">
        <v>1</v>
      </c>
      <c r="E333" s="16">
        <v>1</v>
      </c>
      <c r="F333" s="16">
        <v>0</v>
      </c>
      <c r="G333" s="16">
        <v>4</v>
      </c>
      <c r="H333" s="16">
        <v>0</v>
      </c>
      <c r="I333" s="16">
        <f t="shared" si="39"/>
        <v>7</v>
      </c>
      <c r="J333" s="16"/>
      <c r="K333" s="16"/>
    </row>
    <row r="334" spans="1:11" x14ac:dyDescent="0.3">
      <c r="A334" s="15" t="s">
        <v>13</v>
      </c>
      <c r="B334" s="16">
        <v>0</v>
      </c>
      <c r="C334" s="16">
        <v>1</v>
      </c>
      <c r="D334" s="16">
        <v>0</v>
      </c>
      <c r="E334" s="16">
        <v>1</v>
      </c>
      <c r="F334" s="16">
        <v>2</v>
      </c>
      <c r="G334" s="16">
        <v>5</v>
      </c>
      <c r="H334" s="16">
        <v>1</v>
      </c>
      <c r="I334" s="16">
        <f t="shared" si="39"/>
        <v>10</v>
      </c>
      <c r="J334" s="16"/>
      <c r="K334" s="16"/>
    </row>
    <row r="335" spans="1:11" x14ac:dyDescent="0.3">
      <c r="A335" s="15" t="s">
        <v>14</v>
      </c>
      <c r="B335" s="16">
        <v>0</v>
      </c>
      <c r="C335" s="16">
        <v>0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6">
        <f t="shared" si="39"/>
        <v>0</v>
      </c>
      <c r="J335" s="16"/>
      <c r="K335" s="16"/>
    </row>
    <row r="336" spans="1:11" x14ac:dyDescent="0.3">
      <c r="A336" s="15" t="s">
        <v>32</v>
      </c>
      <c r="B336" s="16">
        <v>0</v>
      </c>
      <c r="C336" s="16">
        <v>0</v>
      </c>
      <c r="D336" s="16">
        <v>0</v>
      </c>
      <c r="E336" s="16">
        <v>0</v>
      </c>
      <c r="F336" s="16">
        <v>0</v>
      </c>
      <c r="G336" s="16">
        <v>0</v>
      </c>
      <c r="H336" s="16">
        <v>0</v>
      </c>
      <c r="I336" s="16">
        <f t="shared" si="39"/>
        <v>0</v>
      </c>
      <c r="J336" s="16"/>
      <c r="K336" s="16"/>
    </row>
    <row r="337" spans="1:12" x14ac:dyDescent="0.3">
      <c r="A337" s="15" t="s">
        <v>33</v>
      </c>
      <c r="B337" s="16">
        <v>0</v>
      </c>
      <c r="C337" s="16">
        <v>0</v>
      </c>
      <c r="D337" s="16">
        <v>0</v>
      </c>
      <c r="E337" s="16">
        <v>0</v>
      </c>
      <c r="F337" s="16">
        <v>0</v>
      </c>
      <c r="G337" s="16">
        <v>0</v>
      </c>
      <c r="H337" s="16">
        <v>0</v>
      </c>
      <c r="I337" s="16">
        <f t="shared" si="39"/>
        <v>0</v>
      </c>
      <c r="J337" s="16"/>
      <c r="K337" s="16"/>
    </row>
    <row r="338" spans="1:12" ht="19.5" thickBot="1" x14ac:dyDescent="0.35">
      <c r="A338" s="30" t="s">
        <v>15</v>
      </c>
      <c r="B338" s="31">
        <f t="shared" ref="B338:H338" si="40">(B329+B328)/B327*100%</f>
        <v>0.39215686274509803</v>
      </c>
      <c r="C338" s="31">
        <f t="shared" si="40"/>
        <v>0.45098039215686275</v>
      </c>
      <c r="D338" s="31">
        <f t="shared" si="40"/>
        <v>0.42307692307692307</v>
      </c>
      <c r="E338" s="31">
        <f t="shared" si="40"/>
        <v>0.53846153846153844</v>
      </c>
      <c r="F338" s="31">
        <f t="shared" si="40"/>
        <v>0.22641509433962265</v>
      </c>
      <c r="G338" s="31">
        <f t="shared" si="40"/>
        <v>9.4339622641509441E-2</v>
      </c>
      <c r="H338" s="31">
        <f t="shared" si="40"/>
        <v>3.7037037037037035E-2</v>
      </c>
      <c r="I338" s="32">
        <f>(B338+C338+D338+E338+F338+G338+H338)/7</f>
        <v>0.30892392435122734</v>
      </c>
      <c r="J338" s="52"/>
      <c r="K338" s="52"/>
    </row>
    <row r="339" spans="1:12" x14ac:dyDescent="0.3">
      <c r="A339" s="33" t="s">
        <v>16</v>
      </c>
      <c r="B339" s="16"/>
      <c r="C339" s="17"/>
      <c r="D339" s="16"/>
      <c r="E339" s="18"/>
      <c r="F339" s="16"/>
      <c r="G339" s="16"/>
      <c r="H339" s="16"/>
      <c r="I339" s="16"/>
      <c r="J339" s="16"/>
      <c r="K339" s="16"/>
    </row>
    <row r="340" spans="1:12" x14ac:dyDescent="0.3">
      <c r="A340" s="15" t="s">
        <v>17</v>
      </c>
      <c r="B340" s="28">
        <v>26778.346999999998</v>
      </c>
      <c r="C340" s="28">
        <v>26488.076999999997</v>
      </c>
      <c r="D340" s="28">
        <v>25918.242999999999</v>
      </c>
      <c r="E340" s="28">
        <v>46365.888500000001</v>
      </c>
      <c r="F340" s="28">
        <v>26802.780000000006</v>
      </c>
      <c r="G340" s="28">
        <v>7485.9000000000005</v>
      </c>
      <c r="H340" s="28">
        <v>4572.91</v>
      </c>
      <c r="I340" s="19">
        <f>SUM(B340:H340)</f>
        <v>164412.14550000001</v>
      </c>
      <c r="J340" s="19"/>
      <c r="K340" s="19"/>
      <c r="L340" s="39">
        <f>(I340-I311)/I311</f>
        <v>0.80636591804556323</v>
      </c>
    </row>
    <row r="341" spans="1:12" x14ac:dyDescent="0.3">
      <c r="A341" s="15" t="s">
        <v>18</v>
      </c>
      <c r="B341" s="28">
        <v>22954.482300000003</v>
      </c>
      <c r="C341" s="28">
        <v>23222.625600000003</v>
      </c>
      <c r="D341" s="28">
        <v>21711.0069</v>
      </c>
      <c r="E341" s="28">
        <v>39546.165600000008</v>
      </c>
      <c r="F341" s="28">
        <v>29225.512000000006</v>
      </c>
      <c r="G341" s="28">
        <v>34446.402499999997</v>
      </c>
      <c r="H341" s="28">
        <v>7593.6820000000007</v>
      </c>
      <c r="I341" s="19">
        <f>SUM(B341:H341)</f>
        <v>178699.87690000003</v>
      </c>
      <c r="J341" s="19"/>
      <c r="K341" s="19"/>
      <c r="L341" s="39">
        <f t="shared" ref="L341:L346" si="41">(I341-I312)/I312</f>
        <v>0.33517425597981609</v>
      </c>
    </row>
    <row r="342" spans="1:12" x14ac:dyDescent="0.3">
      <c r="A342" s="15" t="s">
        <v>19</v>
      </c>
      <c r="B342" s="28">
        <v>15571.681500000002</v>
      </c>
      <c r="C342" s="28">
        <v>15182.739800000001</v>
      </c>
      <c r="D342" s="28">
        <v>14572.047699999999</v>
      </c>
      <c r="E342" s="28">
        <v>27408.540699999998</v>
      </c>
      <c r="F342" s="28">
        <v>18610.961000000003</v>
      </c>
      <c r="G342" s="28">
        <v>25620.772500000003</v>
      </c>
      <c r="H342" s="28">
        <v>4607.5450000000001</v>
      </c>
      <c r="I342" s="19">
        <f>SUM(B342:H342)</f>
        <v>121574.28820000001</v>
      </c>
      <c r="J342" s="19"/>
      <c r="K342" s="19"/>
      <c r="L342" s="39">
        <f t="shared" si="41"/>
        <v>0.40251359664283337</v>
      </c>
    </row>
    <row r="343" spans="1:12" x14ac:dyDescent="0.3">
      <c r="A343" s="15" t="s">
        <v>21</v>
      </c>
      <c r="B343" s="28">
        <v>5748.7952000000005</v>
      </c>
      <c r="C343" s="28">
        <v>6054.4175999999998</v>
      </c>
      <c r="D343" s="28">
        <v>5477.8064000000004</v>
      </c>
      <c r="E343" s="28">
        <v>5018.3672000000006</v>
      </c>
      <c r="F343" s="28">
        <v>4633.8599999999997</v>
      </c>
      <c r="G343" s="28">
        <v>0</v>
      </c>
      <c r="H343" s="28">
        <v>0</v>
      </c>
      <c r="I343" s="19">
        <f>SUM(B343:H343)</f>
        <v>26933.246400000004</v>
      </c>
      <c r="J343" s="19"/>
      <c r="K343" s="19"/>
      <c r="L343" s="39">
        <f t="shared" si="41"/>
        <v>1.1116318844230311</v>
      </c>
    </row>
    <row r="344" spans="1:12" ht="19.5" thickBot="1" x14ac:dyDescent="0.35">
      <c r="A344" s="15" t="s">
        <v>22</v>
      </c>
      <c r="B344" s="28">
        <v>0</v>
      </c>
      <c r="C344" s="28">
        <v>0</v>
      </c>
      <c r="D344" s="28">
        <v>0</v>
      </c>
      <c r="E344" s="28">
        <v>0</v>
      </c>
      <c r="F344" s="28">
        <v>7000</v>
      </c>
      <c r="G344" s="28">
        <v>0</v>
      </c>
      <c r="H344" s="28">
        <v>0</v>
      </c>
      <c r="I344" s="19">
        <f>SUM(B344:H344)</f>
        <v>7000</v>
      </c>
      <c r="J344" s="19"/>
      <c r="K344" s="19"/>
      <c r="L344" s="39"/>
    </row>
    <row r="345" spans="1:12" ht="19.5" thickBot="1" x14ac:dyDescent="0.35">
      <c r="A345" s="20" t="s">
        <v>7</v>
      </c>
      <c r="B345" s="21">
        <f>SUM(B340:B344)</f>
        <v>71053.306000000011</v>
      </c>
      <c r="C345" s="21">
        <f t="shared" ref="C345:H345" si="42">SUM(C340:C344)</f>
        <v>70947.86</v>
      </c>
      <c r="D345" s="21">
        <f t="shared" si="42"/>
        <v>67679.103999999992</v>
      </c>
      <c r="E345" s="21">
        <f t="shared" si="42"/>
        <v>118338.962</v>
      </c>
      <c r="F345" s="21">
        <f t="shared" si="42"/>
        <v>86273.113000000027</v>
      </c>
      <c r="G345" s="21">
        <f t="shared" si="42"/>
        <v>67553.074999999997</v>
      </c>
      <c r="H345" s="21">
        <f t="shared" si="42"/>
        <v>16774.137000000002</v>
      </c>
      <c r="I345" s="21">
        <f>SUM(I340:I344)</f>
        <v>498619.55700000003</v>
      </c>
      <c r="J345" s="53"/>
      <c r="K345" s="53"/>
      <c r="L345" s="39">
        <f t="shared" si="41"/>
        <v>0.53754386372596819</v>
      </c>
    </row>
    <row r="346" spans="1:12" ht="19.5" thickTop="1" x14ac:dyDescent="0.3">
      <c r="A346" s="22" t="s">
        <v>20</v>
      </c>
      <c r="B346" s="23">
        <f>3132.67*0.6</f>
        <v>1879.6019999999999</v>
      </c>
      <c r="C346" s="23">
        <f>4515.92*0.6</f>
        <v>2709.5520000000001</v>
      </c>
      <c r="D346" s="23">
        <f>2603.77*0.6</f>
        <v>1562.2619999999999</v>
      </c>
      <c r="E346" s="23">
        <f>9719.44*0.6</f>
        <v>5831.6639999999998</v>
      </c>
      <c r="F346" s="23">
        <f>23800.28*0.6</f>
        <v>14280.168</v>
      </c>
      <c r="G346" s="23">
        <f>63304.45</f>
        <v>63304.45</v>
      </c>
      <c r="H346" s="23">
        <f>11676.32*0.6</f>
        <v>7005.7919999999995</v>
      </c>
      <c r="I346" s="23">
        <f>SUM(B346:H346)</f>
        <v>96573.49</v>
      </c>
      <c r="J346" s="23"/>
      <c r="K346" s="23"/>
      <c r="L346" s="39">
        <f t="shared" si="41"/>
        <v>0.23965072816097902</v>
      </c>
    </row>
    <row r="347" spans="1:12" x14ac:dyDescent="0.3">
      <c r="A347" s="24" t="s">
        <v>25</v>
      </c>
      <c r="B347" s="25"/>
      <c r="C347" s="25"/>
      <c r="D347" s="25"/>
      <c r="E347" s="25"/>
      <c r="F347" s="25"/>
      <c r="G347" s="25"/>
      <c r="H347" s="25"/>
      <c r="I347" s="25"/>
      <c r="J347" s="25"/>
      <c r="K347" s="25"/>
    </row>
    <row r="348" spans="1:12" x14ac:dyDescent="0.3">
      <c r="A348" s="26" t="s">
        <v>23</v>
      </c>
      <c r="B348" s="25">
        <v>0</v>
      </c>
      <c r="C348" s="25">
        <f>30000/1.229</f>
        <v>24410.089503661511</v>
      </c>
      <c r="D348" s="25">
        <f>30000/1.229</f>
        <v>24410.089503661511</v>
      </c>
      <c r="E348" s="25">
        <f>30000/1.229</f>
        <v>24410.089503661511</v>
      </c>
      <c r="F348" s="25">
        <v>0</v>
      </c>
      <c r="G348" s="25"/>
      <c r="H348" s="25"/>
      <c r="I348" s="25">
        <f>SUM(B348:H348)</f>
        <v>73230.268510984533</v>
      </c>
      <c r="J348" s="25"/>
      <c r="K348" s="25"/>
    </row>
    <row r="349" spans="1:12" ht="19.5" thickBot="1" x14ac:dyDescent="0.35">
      <c r="A349" s="27" t="s">
        <v>24</v>
      </c>
      <c r="B349" s="25">
        <f>18000/1.229</f>
        <v>14646.053702196907</v>
      </c>
      <c r="C349" s="25">
        <f>6000/1.229</f>
        <v>4882.0179007323022</v>
      </c>
      <c r="D349" s="25">
        <f>6000/1.229</f>
        <v>4882.0179007323022</v>
      </c>
      <c r="E349" s="25">
        <f>6000/1.229</f>
        <v>4882.0179007323022</v>
      </c>
      <c r="F349" s="25">
        <f>36000/1.229</f>
        <v>29292.107404393813</v>
      </c>
      <c r="G349" s="25">
        <f>60000/1.229</f>
        <v>48820.179007323022</v>
      </c>
      <c r="H349" s="25">
        <f>30000/1.229</f>
        <v>24410.089503661511</v>
      </c>
      <c r="I349" s="25">
        <f>SUM(B349:H349)</f>
        <v>131814.48331977217</v>
      </c>
      <c r="J349" s="25"/>
      <c r="K349" s="25"/>
    </row>
    <row r="352" spans="1:12" x14ac:dyDescent="0.3">
      <c r="A352" s="4" t="s">
        <v>51</v>
      </c>
      <c r="B352" s="5" t="s">
        <v>0</v>
      </c>
      <c r="C352" s="5" t="s">
        <v>1</v>
      </c>
      <c r="D352" s="5" t="s">
        <v>2</v>
      </c>
      <c r="E352" s="6" t="s">
        <v>3</v>
      </c>
      <c r="F352" s="5" t="s">
        <v>4</v>
      </c>
      <c r="G352" s="5" t="s">
        <v>5</v>
      </c>
      <c r="H352" s="5" t="s">
        <v>6</v>
      </c>
      <c r="I352" s="5" t="s">
        <v>7</v>
      </c>
      <c r="J352" s="11"/>
      <c r="K352" s="11"/>
    </row>
    <row r="353" spans="1:14" x14ac:dyDescent="0.3">
      <c r="A353" s="7"/>
      <c r="B353" s="8">
        <v>45376</v>
      </c>
      <c r="C353" s="8">
        <v>45377</v>
      </c>
      <c r="D353" s="8">
        <v>45378</v>
      </c>
      <c r="E353" s="8">
        <v>45379</v>
      </c>
      <c r="F353" s="8">
        <v>45380</v>
      </c>
      <c r="G353" s="8">
        <v>45381</v>
      </c>
      <c r="H353" s="8">
        <v>45382</v>
      </c>
      <c r="I353" s="9"/>
      <c r="J353" s="11"/>
      <c r="K353" s="11"/>
    </row>
    <row r="354" spans="1:14" ht="19.5" thickBot="1" x14ac:dyDescent="0.35">
      <c r="A354" s="10" t="s">
        <v>8</v>
      </c>
      <c r="B354" s="11" t="s">
        <v>9</v>
      </c>
      <c r="C354" s="11" t="s">
        <v>9</v>
      </c>
      <c r="D354" s="11" t="s">
        <v>9</v>
      </c>
      <c r="E354" s="11" t="s">
        <v>9</v>
      </c>
      <c r="F354" s="11" t="s">
        <v>9</v>
      </c>
      <c r="G354" s="11" t="s">
        <v>9</v>
      </c>
      <c r="H354" s="11" t="s">
        <v>9</v>
      </c>
      <c r="I354" s="12" t="s">
        <v>9</v>
      </c>
      <c r="J354" s="11"/>
      <c r="K354" s="11"/>
    </row>
    <row r="355" spans="1:14" x14ac:dyDescent="0.3">
      <c r="A355" s="13" t="s">
        <v>10</v>
      </c>
      <c r="B355" s="14">
        <f>55-1</f>
        <v>54</v>
      </c>
      <c r="C355" s="14">
        <f>55-1</f>
        <v>54</v>
      </c>
      <c r="D355" s="14">
        <f>55-1</f>
        <v>54</v>
      </c>
      <c r="E355" s="14">
        <f>55-1</f>
        <v>54</v>
      </c>
      <c r="F355" s="14">
        <f>55-2</f>
        <v>53</v>
      </c>
      <c r="G355" s="14">
        <f>55-2</f>
        <v>53</v>
      </c>
      <c r="H355" s="14">
        <f>55-5</f>
        <v>50</v>
      </c>
      <c r="I355" s="14"/>
      <c r="J355" s="16"/>
      <c r="K355" s="16"/>
      <c r="M355" s="29"/>
    </row>
    <row r="356" spans="1:14" x14ac:dyDescent="0.3">
      <c r="A356" s="15" t="s">
        <v>11</v>
      </c>
      <c r="B356" s="16">
        <v>0</v>
      </c>
      <c r="C356" s="16">
        <v>1</v>
      </c>
      <c r="D356" s="16">
        <v>1</v>
      </c>
      <c r="E356" s="16">
        <v>0</v>
      </c>
      <c r="F356" s="16">
        <v>1</v>
      </c>
      <c r="G356" s="16">
        <v>1</v>
      </c>
      <c r="H356" s="16">
        <v>3</v>
      </c>
      <c r="I356" s="16">
        <f>SUM(B356:H356)</f>
        <v>7</v>
      </c>
      <c r="J356" s="16"/>
      <c r="K356" s="16"/>
      <c r="M356" s="29">
        <f t="shared" ref="M356:M372" si="43">I356+I328+I299+I270+H242+G242+F242</f>
        <v>41</v>
      </c>
    </row>
    <row r="357" spans="1:14" x14ac:dyDescent="0.3">
      <c r="A357" s="15" t="s">
        <v>12</v>
      </c>
      <c r="B357" s="16">
        <v>4</v>
      </c>
      <c r="C357" s="16">
        <v>0</v>
      </c>
      <c r="D357" s="16">
        <v>2</v>
      </c>
      <c r="E357" s="16">
        <v>1</v>
      </c>
      <c r="F357" s="16">
        <v>31</v>
      </c>
      <c r="G357" s="16">
        <v>40</v>
      </c>
      <c r="H357" s="16">
        <v>32</v>
      </c>
      <c r="I357" s="16">
        <f>SUM(B357:H357)</f>
        <v>110</v>
      </c>
      <c r="J357" s="16"/>
      <c r="K357" s="16"/>
      <c r="M357" s="29">
        <f t="shared" si="43"/>
        <v>358</v>
      </c>
    </row>
    <row r="358" spans="1:14" x14ac:dyDescent="0.3">
      <c r="A358" s="15" t="s">
        <v>30</v>
      </c>
      <c r="B358" s="16">
        <v>0</v>
      </c>
      <c r="C358" s="16">
        <v>0</v>
      </c>
      <c r="D358" s="16">
        <v>0</v>
      </c>
      <c r="E358" s="16">
        <v>0</v>
      </c>
      <c r="F358" s="16">
        <v>0</v>
      </c>
      <c r="G358" s="16">
        <v>0</v>
      </c>
      <c r="H358" s="16">
        <v>0</v>
      </c>
      <c r="I358" s="16">
        <f>SUM(B358:H358)</f>
        <v>0</v>
      </c>
      <c r="J358" s="16"/>
      <c r="K358" s="16"/>
      <c r="M358" s="29">
        <f t="shared" si="43"/>
        <v>0</v>
      </c>
    </row>
    <row r="359" spans="1:14" x14ac:dyDescent="0.3">
      <c r="A359" s="15" t="s">
        <v>28</v>
      </c>
      <c r="B359" s="16">
        <v>6</v>
      </c>
      <c r="C359" s="16">
        <v>15</v>
      </c>
      <c r="D359" s="16">
        <v>20</v>
      </c>
      <c r="E359" s="16">
        <v>167</v>
      </c>
      <c r="F359" s="16">
        <v>100</v>
      </c>
      <c r="G359" s="16">
        <v>213</v>
      </c>
      <c r="H359" s="16">
        <v>60</v>
      </c>
      <c r="I359" s="16">
        <f t="shared" ref="I359:I365" si="44">B359+C359+D359+E359+F359+G359+H359</f>
        <v>581</v>
      </c>
      <c r="J359" s="16"/>
      <c r="K359" s="16"/>
      <c r="M359" s="29">
        <f t="shared" si="43"/>
        <v>1541</v>
      </c>
    </row>
    <row r="360" spans="1:14" x14ac:dyDescent="0.3">
      <c r="A360" s="15" t="s">
        <v>29</v>
      </c>
      <c r="B360" s="16">
        <v>1</v>
      </c>
      <c r="C360" s="16">
        <v>5</v>
      </c>
      <c r="D360" s="16">
        <v>1</v>
      </c>
      <c r="E360" s="16">
        <v>2</v>
      </c>
      <c r="F360" s="16">
        <v>21</v>
      </c>
      <c r="G360" s="16">
        <v>66</v>
      </c>
      <c r="H360" s="16">
        <v>9</v>
      </c>
      <c r="I360" s="16">
        <f t="shared" si="44"/>
        <v>105</v>
      </c>
      <c r="J360" s="16"/>
      <c r="K360" s="16"/>
      <c r="M360" s="29">
        <f t="shared" si="43"/>
        <v>537</v>
      </c>
    </row>
    <row r="361" spans="1:14" x14ac:dyDescent="0.3">
      <c r="A361" s="15" t="s">
        <v>31</v>
      </c>
      <c r="B361" s="16">
        <v>4</v>
      </c>
      <c r="C361" s="16">
        <v>1</v>
      </c>
      <c r="D361" s="16">
        <v>1</v>
      </c>
      <c r="E361" s="16">
        <v>0</v>
      </c>
      <c r="F361" s="16">
        <v>15</v>
      </c>
      <c r="G361" s="16">
        <v>26</v>
      </c>
      <c r="H361" s="16">
        <v>12</v>
      </c>
      <c r="I361" s="16">
        <f t="shared" si="44"/>
        <v>59</v>
      </c>
      <c r="J361" s="16"/>
      <c r="K361" s="16"/>
      <c r="M361" s="29">
        <f t="shared" si="43"/>
        <v>142</v>
      </c>
    </row>
    <row r="362" spans="1:14" x14ac:dyDescent="0.3">
      <c r="A362" s="15" t="s">
        <v>13</v>
      </c>
      <c r="B362" s="16">
        <v>0</v>
      </c>
      <c r="C362" s="16">
        <v>0</v>
      </c>
      <c r="D362" s="16">
        <v>1</v>
      </c>
      <c r="E362" s="16">
        <v>0</v>
      </c>
      <c r="F362" s="16">
        <v>0</v>
      </c>
      <c r="G362" s="16">
        <v>1</v>
      </c>
      <c r="H362" s="16">
        <v>0</v>
      </c>
      <c r="I362" s="16">
        <f t="shared" si="44"/>
        <v>2</v>
      </c>
      <c r="J362" s="16"/>
      <c r="K362" s="75">
        <v>2246</v>
      </c>
      <c r="M362" s="29">
        <f t="shared" si="43"/>
        <v>23</v>
      </c>
    </row>
    <row r="363" spans="1:14" x14ac:dyDescent="0.3">
      <c r="A363" s="15" t="s">
        <v>14</v>
      </c>
      <c r="B363" s="16">
        <v>0</v>
      </c>
      <c r="C363" s="16">
        <v>0</v>
      </c>
      <c r="D363" s="16">
        <v>0</v>
      </c>
      <c r="E363" s="16">
        <v>0</v>
      </c>
      <c r="F363" s="16">
        <v>0</v>
      </c>
      <c r="G363" s="16">
        <v>0</v>
      </c>
      <c r="H363" s="16">
        <v>0</v>
      </c>
      <c r="I363" s="16">
        <f t="shared" si="44"/>
        <v>0</v>
      </c>
      <c r="J363" s="16"/>
      <c r="K363" s="16"/>
      <c r="M363" s="29">
        <f t="shared" si="43"/>
        <v>1</v>
      </c>
      <c r="N363" s="41"/>
    </row>
    <row r="364" spans="1:14" x14ac:dyDescent="0.3">
      <c r="A364" s="15" t="s">
        <v>32</v>
      </c>
      <c r="B364" s="16">
        <v>0</v>
      </c>
      <c r="C364" s="16">
        <v>0</v>
      </c>
      <c r="D364" s="16">
        <v>0</v>
      </c>
      <c r="E364" s="16">
        <v>0</v>
      </c>
      <c r="F364" s="16">
        <v>0</v>
      </c>
      <c r="G364" s="16">
        <v>0</v>
      </c>
      <c r="H364" s="16">
        <v>0</v>
      </c>
      <c r="I364" s="16">
        <f t="shared" si="44"/>
        <v>0</v>
      </c>
      <c r="J364" s="16"/>
      <c r="K364" s="16"/>
      <c r="M364" s="29">
        <f t="shared" si="43"/>
        <v>2</v>
      </c>
    </row>
    <row r="365" spans="1:14" x14ac:dyDescent="0.3">
      <c r="A365" s="15" t="s">
        <v>33</v>
      </c>
      <c r="B365" s="16">
        <v>0</v>
      </c>
      <c r="C365" s="16">
        <v>0</v>
      </c>
      <c r="D365" s="16">
        <v>0</v>
      </c>
      <c r="E365" s="16">
        <v>0</v>
      </c>
      <c r="F365" s="16">
        <v>0</v>
      </c>
      <c r="G365" s="16">
        <v>0</v>
      </c>
      <c r="H365" s="16">
        <v>0</v>
      </c>
      <c r="I365" s="16">
        <f t="shared" si="44"/>
        <v>0</v>
      </c>
      <c r="J365" s="16"/>
      <c r="K365" s="16"/>
      <c r="M365" s="29">
        <f t="shared" si="43"/>
        <v>0</v>
      </c>
    </row>
    <row r="366" spans="1:14" ht="19.5" thickBot="1" x14ac:dyDescent="0.35">
      <c r="A366" s="30" t="s">
        <v>15</v>
      </c>
      <c r="B366" s="31">
        <f t="shared" ref="B366:H366" si="45">(B357+B356)/B355*100%</f>
        <v>7.407407407407407E-2</v>
      </c>
      <c r="C366" s="31">
        <f t="shared" si="45"/>
        <v>1.8518518518518517E-2</v>
      </c>
      <c r="D366" s="31">
        <f t="shared" si="45"/>
        <v>5.5555555555555552E-2</v>
      </c>
      <c r="E366" s="31">
        <f t="shared" si="45"/>
        <v>1.8518518518518517E-2</v>
      </c>
      <c r="F366" s="31">
        <f t="shared" si="45"/>
        <v>0.60377358490566035</v>
      </c>
      <c r="G366" s="31">
        <f t="shared" si="45"/>
        <v>0.77358490566037741</v>
      </c>
      <c r="H366" s="31">
        <f t="shared" si="45"/>
        <v>0.7</v>
      </c>
      <c r="I366" s="32">
        <f>(B366+C366+D366+E366+F366+G366+H366)/7</f>
        <v>0.32057502246181491</v>
      </c>
      <c r="J366" s="52">
        <f>I359+I360+I361+I362+I331+I332+I333+I334+I302+I303+I304+I305+I307+I273+I274+I275+I276+I277+F245+F246+G245+G246+H245+H246+G247+G248+H248</f>
        <v>2246</v>
      </c>
      <c r="K366" s="52"/>
      <c r="M366" s="41">
        <f t="shared" si="43"/>
        <v>2.3057330971063816</v>
      </c>
    </row>
    <row r="367" spans="1:14" x14ac:dyDescent="0.3">
      <c r="A367" s="33" t="s">
        <v>16</v>
      </c>
      <c r="B367" s="16"/>
      <c r="C367" s="17"/>
      <c r="D367" s="16"/>
      <c r="E367" s="18"/>
      <c r="F367" s="16"/>
      <c r="G367" s="16"/>
      <c r="H367" s="16"/>
      <c r="I367" s="16"/>
      <c r="J367" s="16"/>
      <c r="K367" s="16"/>
      <c r="M367" s="29">
        <f t="shared" si="43"/>
        <v>0</v>
      </c>
    </row>
    <row r="368" spans="1:14" x14ac:dyDescent="0.3">
      <c r="A368" s="15" t="s">
        <v>17</v>
      </c>
      <c r="B368" s="28">
        <v>9276</v>
      </c>
      <c r="C368" s="28">
        <v>0</v>
      </c>
      <c r="D368" s="28">
        <v>3905.6800000000003</v>
      </c>
      <c r="E368" s="28">
        <v>1757.5560000000003</v>
      </c>
      <c r="F368" s="28">
        <v>90160.852000000014</v>
      </c>
      <c r="G368" s="28">
        <v>130458.11399999999</v>
      </c>
      <c r="H368" s="28">
        <v>107455.26000000001</v>
      </c>
      <c r="I368" s="19">
        <f>SUM(B368:H368)</f>
        <v>343013.462</v>
      </c>
      <c r="J368" s="19"/>
      <c r="K368" s="19"/>
      <c r="L368" s="39"/>
      <c r="M368" s="29">
        <f t="shared" si="43"/>
        <v>831605.35850000009</v>
      </c>
    </row>
    <row r="369" spans="1:13" x14ac:dyDescent="0.3">
      <c r="A369" s="15" t="s">
        <v>18</v>
      </c>
      <c r="B369" s="28">
        <v>8525.3729999999996</v>
      </c>
      <c r="C369" s="28">
        <v>4155.8850000000002</v>
      </c>
      <c r="D369" s="28">
        <v>7902.8875000000016</v>
      </c>
      <c r="E369" s="28">
        <v>30923.653200000001</v>
      </c>
      <c r="F369" s="28">
        <v>89988.521900000022</v>
      </c>
      <c r="G369" s="28">
        <v>149251.07680000001</v>
      </c>
      <c r="H369" s="28">
        <v>91923.137500000012</v>
      </c>
      <c r="I369" s="19">
        <f>SUM(B369:H369)</f>
        <v>382670.53490000003</v>
      </c>
      <c r="J369" s="19"/>
      <c r="K369" s="19"/>
      <c r="L369" s="39"/>
      <c r="M369" s="29">
        <f t="shared" si="43"/>
        <v>1010713.0160000001</v>
      </c>
    </row>
    <row r="370" spans="1:13" x14ac:dyDescent="0.3">
      <c r="A370" s="15" t="s">
        <v>19</v>
      </c>
      <c r="B370" s="28">
        <v>6267.4210000000003</v>
      </c>
      <c r="C370" s="28">
        <v>1604.9649999999999</v>
      </c>
      <c r="D370" s="28">
        <v>4811.0145000000002</v>
      </c>
      <c r="E370" s="28">
        <v>10922.063799999998</v>
      </c>
      <c r="F370" s="28">
        <v>59558.187100000003</v>
      </c>
      <c r="G370" s="28">
        <v>92711.634199999986</v>
      </c>
      <c r="H370" s="28">
        <v>69227.131500000003</v>
      </c>
      <c r="I370" s="19">
        <f>SUM(B370:H370)</f>
        <v>245102.41710000002</v>
      </c>
      <c r="J370" s="19"/>
      <c r="K370" s="19"/>
      <c r="L370" s="39"/>
      <c r="M370" s="29">
        <f t="shared" si="43"/>
        <v>669671.17910000018</v>
      </c>
    </row>
    <row r="371" spans="1:13" x14ac:dyDescent="0.3">
      <c r="A371" s="15" t="s">
        <v>21</v>
      </c>
      <c r="B371" s="28">
        <v>0</v>
      </c>
      <c r="C371" s="28">
        <v>0</v>
      </c>
      <c r="D371" s="28">
        <v>0</v>
      </c>
      <c r="E371" s="28">
        <v>0</v>
      </c>
      <c r="F371" s="28">
        <v>0</v>
      </c>
      <c r="G371" s="28">
        <v>0</v>
      </c>
      <c r="H371" s="28">
        <v>0</v>
      </c>
      <c r="I371" s="19">
        <f>SUM(B371:H371)</f>
        <v>0</v>
      </c>
      <c r="J371" s="19"/>
      <c r="K371" s="19"/>
      <c r="L371" s="39"/>
      <c r="M371" s="29">
        <f t="shared" si="43"/>
        <v>52848.214400000012</v>
      </c>
    </row>
    <row r="372" spans="1:13" ht="19.5" thickBot="1" x14ac:dyDescent="0.35">
      <c r="A372" s="15" t="s">
        <v>22</v>
      </c>
      <c r="B372" s="28">
        <v>0</v>
      </c>
      <c r="C372" s="28">
        <v>0</v>
      </c>
      <c r="D372" s="28">
        <v>0</v>
      </c>
      <c r="E372" s="28">
        <v>0</v>
      </c>
      <c r="F372" s="28">
        <v>0</v>
      </c>
      <c r="G372" s="28">
        <v>854.38</v>
      </c>
      <c r="H372" s="28">
        <v>0</v>
      </c>
      <c r="I372" s="19">
        <f>SUM(B372:H372)</f>
        <v>854.38</v>
      </c>
      <c r="J372" s="19"/>
      <c r="K372" s="19"/>
      <c r="L372" s="39"/>
      <c r="M372" s="29">
        <f t="shared" si="43"/>
        <v>15014.67</v>
      </c>
    </row>
    <row r="373" spans="1:13" ht="19.5" thickBot="1" x14ac:dyDescent="0.35">
      <c r="A373" s="20" t="s">
        <v>7</v>
      </c>
      <c r="B373" s="21">
        <f>SUM(B368:B372)</f>
        <v>24068.794000000002</v>
      </c>
      <c r="C373" s="21">
        <f t="shared" ref="C373:H373" si="46">SUM(C368:C372)</f>
        <v>5760.85</v>
      </c>
      <c r="D373" s="21">
        <f t="shared" si="46"/>
        <v>16619.582000000002</v>
      </c>
      <c r="E373" s="21">
        <f t="shared" si="46"/>
        <v>43603.273000000001</v>
      </c>
      <c r="F373" s="21">
        <f t="shared" si="46"/>
        <v>239707.56100000005</v>
      </c>
      <c r="G373" s="21">
        <f t="shared" si="46"/>
        <v>373275.20499999996</v>
      </c>
      <c r="H373" s="21">
        <f t="shared" si="46"/>
        <v>268605.52900000004</v>
      </c>
      <c r="I373" s="21">
        <f>SUM(I368:I372)</f>
        <v>971640.79400000011</v>
      </c>
      <c r="J373" s="53"/>
      <c r="K373" s="53"/>
      <c r="L373" s="39"/>
      <c r="M373" s="42">
        <f>I373+I345+I316+I287+H259+G259+F259</f>
        <v>2579852.4380000001</v>
      </c>
    </row>
    <row r="374" spans="1:13" ht="19.5" thickTop="1" x14ac:dyDescent="0.3">
      <c r="A374" s="22" t="s">
        <v>20</v>
      </c>
      <c r="B374" s="23">
        <f>4515.94*0.6</f>
        <v>2709.5639999999999</v>
      </c>
      <c r="C374" s="23">
        <f>9235.3*0.6</f>
        <v>5541.1799999999994</v>
      </c>
      <c r="D374" s="23">
        <f>11350.87*0.6</f>
        <v>6810.5219999999999</v>
      </c>
      <c r="E374" s="23">
        <f>64321.72*0.6</f>
        <v>38593.031999999999</v>
      </c>
      <c r="F374" s="23">
        <f>59113.99*0.6</f>
        <v>35468.394</v>
      </c>
      <c r="G374" s="23">
        <f>128374.36*0.6</f>
        <v>77024.615999999995</v>
      </c>
      <c r="H374" s="23">
        <f>36981.79*0.6</f>
        <v>22189.074000000001</v>
      </c>
      <c r="I374" s="23">
        <f>SUM(B374:H374)</f>
        <v>188336.38199999998</v>
      </c>
      <c r="J374" s="74">
        <f>I374+I346+I317+I288+F260+G260+H260</f>
        <v>549366.02800000005</v>
      </c>
      <c r="K374" s="23">
        <f>J374*(100/60)</f>
        <v>915610.04666666675</v>
      </c>
      <c r="L374" s="39"/>
      <c r="M374" s="29">
        <f>I374+I346+I317+I288+H260+G260+F260</f>
        <v>549366.02800000005</v>
      </c>
    </row>
    <row r="375" spans="1:13" x14ac:dyDescent="0.3">
      <c r="A375" s="24" t="s">
        <v>25</v>
      </c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M375" s="29">
        <f>I375+I347+I318+I289+H261+G261+F261</f>
        <v>0</v>
      </c>
    </row>
    <row r="376" spans="1:13" x14ac:dyDescent="0.3">
      <c r="A376" s="26" t="s">
        <v>23</v>
      </c>
      <c r="B376" s="25">
        <v>0</v>
      </c>
      <c r="C376" s="25">
        <v>0</v>
      </c>
      <c r="D376" s="25">
        <v>0</v>
      </c>
      <c r="E376" s="25">
        <v>0</v>
      </c>
      <c r="F376" s="25">
        <v>0</v>
      </c>
      <c r="G376" s="25">
        <v>0</v>
      </c>
      <c r="H376" s="25">
        <v>0</v>
      </c>
      <c r="I376" s="25">
        <f>SUM(B376:H376)</f>
        <v>0</v>
      </c>
      <c r="J376" s="25"/>
      <c r="K376" s="25"/>
      <c r="M376" s="29">
        <f>I376+I348+I319+I290+H262+G262+F262</f>
        <v>73230.268510984533</v>
      </c>
    </row>
    <row r="377" spans="1:13" ht="19.5" thickBot="1" x14ac:dyDescent="0.35">
      <c r="A377" s="27" t="s">
        <v>24</v>
      </c>
      <c r="B377" s="25">
        <v>0</v>
      </c>
      <c r="C377" s="25">
        <f>10000/1.229</f>
        <v>8136.6965012205037</v>
      </c>
      <c r="D377" s="25">
        <f>10000/1.229</f>
        <v>8136.6965012205037</v>
      </c>
      <c r="E377" s="25">
        <v>0</v>
      </c>
      <c r="F377" s="25">
        <f>10000/1.229</f>
        <v>8136.6965012205037</v>
      </c>
      <c r="G377" s="25">
        <f>10000/1.229</f>
        <v>8136.6965012205037</v>
      </c>
      <c r="H377" s="25">
        <f>30000/1.229</f>
        <v>24410.089503661511</v>
      </c>
      <c r="I377" s="25">
        <f>SUM(B377:H377)</f>
        <v>56956.875508543526</v>
      </c>
      <c r="J377" s="25"/>
      <c r="K377" s="25"/>
      <c r="M377" s="29">
        <f>I377+I349+I320+I291+H263+G263+F263</f>
        <v>335231.89585028467</v>
      </c>
    </row>
    <row r="381" spans="1:13" x14ac:dyDescent="0.3">
      <c r="A381" s="4" t="s">
        <v>52</v>
      </c>
      <c r="B381" s="5" t="s">
        <v>0</v>
      </c>
      <c r="C381" s="5" t="s">
        <v>1</v>
      </c>
      <c r="D381" s="5" t="s">
        <v>2</v>
      </c>
      <c r="E381" s="6" t="s">
        <v>3</v>
      </c>
      <c r="F381" s="5" t="s">
        <v>4</v>
      </c>
      <c r="G381" s="5" t="s">
        <v>5</v>
      </c>
      <c r="H381" s="5" t="s">
        <v>6</v>
      </c>
      <c r="I381" s="5" t="s">
        <v>7</v>
      </c>
      <c r="J381" s="11"/>
      <c r="K381" s="11"/>
    </row>
    <row r="382" spans="1:13" x14ac:dyDescent="0.3">
      <c r="A382" s="7"/>
      <c r="B382" s="8">
        <v>45383</v>
      </c>
      <c r="C382" s="8">
        <v>45384</v>
      </c>
      <c r="D382" s="8">
        <v>45385</v>
      </c>
      <c r="E382" s="8">
        <v>45386</v>
      </c>
      <c r="F382" s="8">
        <v>45387</v>
      </c>
      <c r="G382" s="8">
        <v>45388</v>
      </c>
      <c r="H382" s="8">
        <v>45389</v>
      </c>
      <c r="I382" s="9"/>
      <c r="J382" s="11"/>
      <c r="K382" s="11"/>
    </row>
    <row r="383" spans="1:13" ht="19.5" thickBot="1" x14ac:dyDescent="0.35">
      <c r="A383" s="10" t="s">
        <v>8</v>
      </c>
      <c r="B383" s="11" t="s">
        <v>9</v>
      </c>
      <c r="C383" s="11" t="s">
        <v>9</v>
      </c>
      <c r="D383" s="11" t="s">
        <v>9</v>
      </c>
      <c r="E383" s="11" t="s">
        <v>9</v>
      </c>
      <c r="F383" s="11" t="s">
        <v>9</v>
      </c>
      <c r="G383" s="11" t="s">
        <v>9</v>
      </c>
      <c r="H383" s="11" t="s">
        <v>9</v>
      </c>
      <c r="I383" s="12" t="s">
        <v>9</v>
      </c>
      <c r="J383" s="11"/>
      <c r="K383" s="11"/>
    </row>
    <row r="384" spans="1:13" x14ac:dyDescent="0.3">
      <c r="A384" s="13" t="s">
        <v>10</v>
      </c>
      <c r="B384" s="14">
        <f>55-4</f>
        <v>51</v>
      </c>
      <c r="C384" s="14">
        <f>55-6</f>
        <v>49</v>
      </c>
      <c r="D384" s="14">
        <f>55-5</f>
        <v>50</v>
      </c>
      <c r="E384" s="14">
        <f>55-5</f>
        <v>50</v>
      </c>
      <c r="F384" s="14">
        <f>55-5</f>
        <v>50</v>
      </c>
      <c r="G384" s="14">
        <f>55-3</f>
        <v>52</v>
      </c>
      <c r="H384" s="14">
        <v>51</v>
      </c>
      <c r="I384" s="14"/>
      <c r="J384" s="16"/>
      <c r="K384" s="16"/>
    </row>
    <row r="385" spans="1:12" x14ac:dyDescent="0.3">
      <c r="A385" s="15" t="s">
        <v>11</v>
      </c>
      <c r="B385" s="16">
        <v>2</v>
      </c>
      <c r="C385" s="16">
        <v>0</v>
      </c>
      <c r="D385" s="16">
        <v>0</v>
      </c>
      <c r="E385" s="16">
        <v>3</v>
      </c>
      <c r="F385" s="16">
        <v>1</v>
      </c>
      <c r="G385" s="16">
        <v>3</v>
      </c>
      <c r="H385" s="16">
        <v>4</v>
      </c>
      <c r="I385" s="16">
        <f>SUM(B385:H385)</f>
        <v>13</v>
      </c>
      <c r="J385" s="16"/>
      <c r="K385" s="16"/>
    </row>
    <row r="386" spans="1:12" x14ac:dyDescent="0.3">
      <c r="A386" s="15" t="s">
        <v>12</v>
      </c>
      <c r="B386" s="16">
        <v>21</v>
      </c>
      <c r="C386" s="16">
        <v>19</v>
      </c>
      <c r="D386" s="16">
        <v>8</v>
      </c>
      <c r="E386" s="16">
        <v>9</v>
      </c>
      <c r="F386" s="16">
        <v>16</v>
      </c>
      <c r="G386" s="16">
        <v>15</v>
      </c>
      <c r="H386" s="16">
        <v>7</v>
      </c>
      <c r="I386" s="16">
        <f>SUM(B386:H386)</f>
        <v>95</v>
      </c>
      <c r="J386" s="16"/>
      <c r="K386" s="16"/>
    </row>
    <row r="387" spans="1:12" x14ac:dyDescent="0.3">
      <c r="A387" s="15" t="s">
        <v>30</v>
      </c>
      <c r="B387" s="16">
        <v>0</v>
      </c>
      <c r="C387" s="16">
        <v>0</v>
      </c>
      <c r="D387" s="16">
        <v>0</v>
      </c>
      <c r="E387" s="16">
        <v>0</v>
      </c>
      <c r="F387" s="16">
        <v>0</v>
      </c>
      <c r="G387" s="16">
        <v>0</v>
      </c>
      <c r="H387" s="16">
        <v>0</v>
      </c>
      <c r="I387" s="16">
        <f>SUM(B387:H387)</f>
        <v>0</v>
      </c>
      <c r="J387" s="16"/>
      <c r="K387" s="16"/>
    </row>
    <row r="388" spans="1:12" x14ac:dyDescent="0.3">
      <c r="A388" s="15" t="s">
        <v>28</v>
      </c>
      <c r="B388" s="16">
        <f>214+25</f>
        <v>239</v>
      </c>
      <c r="C388" s="16">
        <v>34</v>
      </c>
      <c r="D388" s="16">
        <v>21</v>
      </c>
      <c r="E388" s="16">
        <v>22</v>
      </c>
      <c r="F388" s="16">
        <v>20</v>
      </c>
      <c r="G388" s="16">
        <v>71</v>
      </c>
      <c r="H388" s="16">
        <v>24</v>
      </c>
      <c r="I388" s="16">
        <f t="shared" ref="I388:I394" si="47">B388+C388+D388+E388+F388+G388+H388</f>
        <v>431</v>
      </c>
      <c r="J388" s="16"/>
      <c r="K388" s="16"/>
    </row>
    <row r="389" spans="1:12" x14ac:dyDescent="0.3">
      <c r="A389" s="15" t="s">
        <v>29</v>
      </c>
      <c r="B389" s="16">
        <v>54</v>
      </c>
      <c r="C389" s="16">
        <v>5</v>
      </c>
      <c r="D389" s="16">
        <v>3</v>
      </c>
      <c r="E389" s="16">
        <v>3</v>
      </c>
      <c r="F389" s="16">
        <v>3</v>
      </c>
      <c r="G389" s="16">
        <v>20</v>
      </c>
      <c r="H389" s="16">
        <v>10</v>
      </c>
      <c r="I389" s="16">
        <f t="shared" si="47"/>
        <v>98</v>
      </c>
      <c r="J389" s="16"/>
      <c r="K389" s="16"/>
    </row>
    <row r="390" spans="1:12" x14ac:dyDescent="0.3">
      <c r="A390" s="15" t="s">
        <v>31</v>
      </c>
      <c r="B390" s="16">
        <v>29</v>
      </c>
      <c r="C390" s="16">
        <v>4</v>
      </c>
      <c r="D390" s="16">
        <v>8</v>
      </c>
      <c r="E390" s="16">
        <v>2</v>
      </c>
      <c r="F390" s="16">
        <v>2</v>
      </c>
      <c r="G390" s="16">
        <v>3</v>
      </c>
      <c r="H390" s="16">
        <v>3</v>
      </c>
      <c r="I390" s="16">
        <f t="shared" si="47"/>
        <v>51</v>
      </c>
      <c r="J390" s="16"/>
      <c r="K390" s="16"/>
    </row>
    <row r="391" spans="1:12" x14ac:dyDescent="0.3">
      <c r="A391" s="15" t="s">
        <v>13</v>
      </c>
      <c r="B391" s="16">
        <v>2</v>
      </c>
      <c r="C391" s="16">
        <v>0</v>
      </c>
      <c r="D391" s="16">
        <v>0</v>
      </c>
      <c r="E391" s="16">
        <v>0</v>
      </c>
      <c r="F391" s="16">
        <v>0</v>
      </c>
      <c r="G391" s="16">
        <v>0</v>
      </c>
      <c r="H391" s="16">
        <v>0</v>
      </c>
      <c r="I391" s="16">
        <f t="shared" si="47"/>
        <v>2</v>
      </c>
      <c r="J391" s="16"/>
      <c r="K391" s="16"/>
    </row>
    <row r="392" spans="1:12" x14ac:dyDescent="0.3">
      <c r="A392" s="15" t="s">
        <v>14</v>
      </c>
      <c r="B392" s="16">
        <v>0</v>
      </c>
      <c r="C392" s="16">
        <v>0</v>
      </c>
      <c r="D392" s="16">
        <v>0</v>
      </c>
      <c r="E392" s="16">
        <v>0</v>
      </c>
      <c r="F392" s="16">
        <v>0</v>
      </c>
      <c r="G392" s="16">
        <v>0</v>
      </c>
      <c r="H392" s="16">
        <v>0</v>
      </c>
      <c r="I392" s="16">
        <f t="shared" si="47"/>
        <v>0</v>
      </c>
      <c r="J392" s="16"/>
      <c r="K392" s="16"/>
    </row>
    <row r="393" spans="1:12" x14ac:dyDescent="0.3">
      <c r="A393" s="15" t="s">
        <v>32</v>
      </c>
      <c r="B393" s="16">
        <v>0</v>
      </c>
      <c r="C393" s="16">
        <v>0</v>
      </c>
      <c r="D393" s="16">
        <v>0</v>
      </c>
      <c r="E393" s="16">
        <v>0</v>
      </c>
      <c r="F393" s="16">
        <v>0</v>
      </c>
      <c r="G393" s="16">
        <v>0</v>
      </c>
      <c r="H393" s="16">
        <v>0</v>
      </c>
      <c r="I393" s="16">
        <f t="shared" si="47"/>
        <v>0</v>
      </c>
      <c r="J393" s="16"/>
      <c r="K393" s="16"/>
    </row>
    <row r="394" spans="1:12" x14ac:dyDescent="0.3">
      <c r="A394" s="15" t="s">
        <v>33</v>
      </c>
      <c r="B394" s="16">
        <v>0</v>
      </c>
      <c r="C394" s="16">
        <v>0</v>
      </c>
      <c r="D394" s="16">
        <v>0</v>
      </c>
      <c r="E394" s="16">
        <v>0</v>
      </c>
      <c r="F394" s="16">
        <v>0</v>
      </c>
      <c r="G394" s="16">
        <v>0</v>
      </c>
      <c r="H394" s="16">
        <v>0</v>
      </c>
      <c r="I394" s="16">
        <f t="shared" si="47"/>
        <v>0</v>
      </c>
      <c r="J394" s="16"/>
      <c r="K394" s="16"/>
    </row>
    <row r="395" spans="1:12" ht="19.5" thickBot="1" x14ac:dyDescent="0.35">
      <c r="A395" s="30" t="s">
        <v>15</v>
      </c>
      <c r="B395" s="31">
        <f t="shared" ref="B395:H395" si="48">(B386+B385)/B384*100%</f>
        <v>0.45098039215686275</v>
      </c>
      <c r="C395" s="31">
        <f t="shared" si="48"/>
        <v>0.38775510204081631</v>
      </c>
      <c r="D395" s="31">
        <f t="shared" si="48"/>
        <v>0.16</v>
      </c>
      <c r="E395" s="31">
        <f t="shared" si="48"/>
        <v>0.24</v>
      </c>
      <c r="F395" s="31">
        <f t="shared" si="48"/>
        <v>0.34</v>
      </c>
      <c r="G395" s="31">
        <f t="shared" si="48"/>
        <v>0.34615384615384615</v>
      </c>
      <c r="H395" s="31">
        <f t="shared" si="48"/>
        <v>0.21568627450980393</v>
      </c>
      <c r="I395" s="32">
        <f>(B395+C395+D395+E395+F395+G395+H395)/7</f>
        <v>0.30579651640876132</v>
      </c>
      <c r="J395" s="52"/>
      <c r="K395" s="52"/>
    </row>
    <row r="396" spans="1:12" x14ac:dyDescent="0.3">
      <c r="A396" s="33" t="s">
        <v>16</v>
      </c>
      <c r="B396" s="16"/>
      <c r="C396" s="17"/>
      <c r="D396" s="16"/>
      <c r="E396" s="18"/>
      <c r="F396" s="16"/>
      <c r="G396" s="16"/>
      <c r="H396" s="16"/>
      <c r="I396" s="16"/>
      <c r="J396" s="16"/>
      <c r="K396" s="16"/>
    </row>
    <row r="397" spans="1:12" x14ac:dyDescent="0.3">
      <c r="A397" s="15" t="s">
        <v>17</v>
      </c>
      <c r="B397" s="28">
        <v>50218.529499999997</v>
      </c>
      <c r="C397" s="28">
        <v>37212.106499999994</v>
      </c>
      <c r="D397" s="28">
        <v>14819.486499999999</v>
      </c>
      <c r="E397" s="28">
        <v>18367.182500000003</v>
      </c>
      <c r="F397" s="28">
        <v>36528.614499999996</v>
      </c>
      <c r="G397" s="28">
        <v>33458.703999999998</v>
      </c>
      <c r="H397" s="1">
        <v>16436.419999999998</v>
      </c>
      <c r="I397" s="19">
        <f>SUM(B397:H397)</f>
        <v>207041.04349999997</v>
      </c>
      <c r="J397" s="19"/>
      <c r="K397" s="19"/>
      <c r="L397" s="39">
        <f>(I397-I368)/I368</f>
        <v>-0.39640548714091001</v>
      </c>
    </row>
    <row r="398" spans="1:12" x14ac:dyDescent="0.3">
      <c r="A398" s="15" t="s">
        <v>18</v>
      </c>
      <c r="B398" s="28">
        <v>96805.538799999995</v>
      </c>
      <c r="C398" s="28">
        <v>33765.6558</v>
      </c>
      <c r="D398" s="28">
        <v>17544.609799999998</v>
      </c>
      <c r="E398" s="28">
        <v>19289.024000000001</v>
      </c>
      <c r="F398" s="28">
        <v>31587.013900000002</v>
      </c>
      <c r="G398" s="28">
        <v>40593.8848</v>
      </c>
      <c r="H398" s="1">
        <v>18752.5425</v>
      </c>
      <c r="I398" s="19">
        <f>SUM(B398:H398)</f>
        <v>258338.2696</v>
      </c>
      <c r="J398" s="19"/>
      <c r="K398" s="19"/>
      <c r="L398" s="39">
        <f t="shared" ref="L398:L406" si="49">(I398-I369)/I369</f>
        <v>-0.3249068165974438</v>
      </c>
    </row>
    <row r="399" spans="1:12" x14ac:dyDescent="0.3">
      <c r="A399" s="15" t="s">
        <v>19</v>
      </c>
      <c r="B399" s="28">
        <v>51633.368499999997</v>
      </c>
      <c r="C399" s="28">
        <v>23086.459699999999</v>
      </c>
      <c r="D399" s="28">
        <v>12338.655699999999</v>
      </c>
      <c r="E399" s="28">
        <v>14085.8475</v>
      </c>
      <c r="F399" s="28">
        <v>24805.437599999997</v>
      </c>
      <c r="G399" s="28">
        <v>29602.681199999999</v>
      </c>
      <c r="H399" s="1">
        <v>11467.636499999997</v>
      </c>
      <c r="I399" s="19">
        <f>SUM(B399:H399)</f>
        <v>167020.08669999999</v>
      </c>
      <c r="J399" s="19"/>
      <c r="K399" s="19"/>
      <c r="L399" s="39">
        <f t="shared" si="49"/>
        <v>-0.31857021780467798</v>
      </c>
    </row>
    <row r="400" spans="1:12" x14ac:dyDescent="0.3">
      <c r="A400" s="15" t="s">
        <v>21</v>
      </c>
      <c r="B400" s="28">
        <v>1941.2072000000001</v>
      </c>
      <c r="C400" s="28">
        <v>1520.028</v>
      </c>
      <c r="D400" s="28">
        <v>1520.028</v>
      </c>
      <c r="E400" s="28">
        <v>1520.028</v>
      </c>
      <c r="F400" s="28">
        <v>1520.028</v>
      </c>
      <c r="G400" s="28">
        <v>0</v>
      </c>
      <c r="H400" s="1">
        <v>0</v>
      </c>
      <c r="I400" s="19">
        <f>SUM(B400:H400)</f>
        <v>8021.3192000000008</v>
      </c>
      <c r="J400" s="19"/>
      <c r="K400" s="19"/>
      <c r="L400" s="39" t="e">
        <f t="shared" si="49"/>
        <v>#DIV/0!</v>
      </c>
    </row>
    <row r="401" spans="1:12" ht="19.5" thickBot="1" x14ac:dyDescent="0.35">
      <c r="A401" s="15" t="s">
        <v>22</v>
      </c>
      <c r="B401" s="28">
        <v>0</v>
      </c>
      <c r="C401" s="28">
        <v>0</v>
      </c>
      <c r="D401" s="28">
        <v>0</v>
      </c>
      <c r="E401" s="28">
        <v>0</v>
      </c>
      <c r="F401" s="28">
        <v>0</v>
      </c>
      <c r="G401" s="28">
        <v>0</v>
      </c>
      <c r="H401" s="1">
        <v>0</v>
      </c>
      <c r="I401" s="19">
        <f>SUM(B401:H401)</f>
        <v>0</v>
      </c>
      <c r="J401" s="19"/>
      <c r="K401" s="19"/>
      <c r="L401" s="39">
        <f t="shared" si="49"/>
        <v>-1</v>
      </c>
    </row>
    <row r="402" spans="1:12" ht="19.5" thickBot="1" x14ac:dyDescent="0.35">
      <c r="A402" s="20" t="s">
        <v>7</v>
      </c>
      <c r="B402" s="21">
        <f>SUM(B397:B401)</f>
        <v>200598.64399999997</v>
      </c>
      <c r="C402" s="21">
        <f t="shared" ref="C402:H402" si="50">SUM(C397:C401)</f>
        <v>95584.250000000015</v>
      </c>
      <c r="D402" s="21">
        <f t="shared" si="50"/>
        <v>46222.779999999992</v>
      </c>
      <c r="E402" s="21">
        <f t="shared" si="50"/>
        <v>53262.082000000002</v>
      </c>
      <c r="F402" s="21">
        <f t="shared" si="50"/>
        <v>94441.093999999997</v>
      </c>
      <c r="G402" s="21">
        <f t="shared" si="50"/>
        <v>103655.26999999999</v>
      </c>
      <c r="H402" s="21">
        <f t="shared" si="50"/>
        <v>46656.598999999987</v>
      </c>
      <c r="I402" s="21">
        <f>SUM(I397:I401)</f>
        <v>640420.71900000004</v>
      </c>
      <c r="J402" s="53"/>
      <c r="K402" s="53"/>
      <c r="L402" s="39">
        <f t="shared" si="49"/>
        <v>-0.34088737015296627</v>
      </c>
    </row>
    <row r="403" spans="1:12" ht="19.5" thickTop="1" x14ac:dyDescent="0.3">
      <c r="A403" s="22" t="s">
        <v>20</v>
      </c>
      <c r="B403" s="23">
        <f>133870.8*0.6</f>
        <v>80322.48</v>
      </c>
      <c r="C403" s="23">
        <f>19772.46*0.6</f>
        <v>11863.475999999999</v>
      </c>
      <c r="D403" s="23">
        <f>13372.86*0.6</f>
        <v>8023.7160000000003</v>
      </c>
      <c r="E403" s="23">
        <f>12815.52*0.6</f>
        <v>7689.3119999999999</v>
      </c>
      <c r="F403" s="23">
        <f>11757.67*0.6</f>
        <v>7054.6019999999999</v>
      </c>
      <c r="G403" s="23">
        <f>38161.76*0.6</f>
        <v>22897.056</v>
      </c>
      <c r="H403" s="23">
        <f>15256.49*0.6</f>
        <v>9153.8940000000002</v>
      </c>
      <c r="I403" s="23">
        <f>SUM(B403:H403)</f>
        <v>147004.53599999999</v>
      </c>
      <c r="J403" s="23"/>
      <c r="K403" s="23"/>
      <c r="L403" s="39">
        <f t="shared" si="49"/>
        <v>-0.21945757670974053</v>
      </c>
    </row>
    <row r="404" spans="1:12" x14ac:dyDescent="0.3">
      <c r="A404" s="24" t="s">
        <v>25</v>
      </c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39" t="e">
        <f t="shared" si="49"/>
        <v>#DIV/0!</v>
      </c>
    </row>
    <row r="405" spans="1:12" x14ac:dyDescent="0.3">
      <c r="A405" s="26" t="s">
        <v>23</v>
      </c>
      <c r="B405" s="25">
        <v>0</v>
      </c>
      <c r="C405" s="25">
        <v>0</v>
      </c>
      <c r="D405" s="25">
        <v>0</v>
      </c>
      <c r="E405" s="25">
        <v>0</v>
      </c>
      <c r="F405" s="25">
        <v>0</v>
      </c>
      <c r="G405" s="25">
        <v>0</v>
      </c>
      <c r="H405" s="25">
        <f>30000/1.229</f>
        <v>24410.089503661511</v>
      </c>
      <c r="I405" s="25">
        <f>SUM(B405:H405)</f>
        <v>24410.089503661511</v>
      </c>
      <c r="J405" s="25"/>
      <c r="K405" s="25"/>
      <c r="L405" s="39" t="e">
        <f t="shared" si="49"/>
        <v>#DIV/0!</v>
      </c>
    </row>
    <row r="406" spans="1:12" ht="19.5" thickBot="1" x14ac:dyDescent="0.35">
      <c r="A406" s="27" t="s">
        <v>24</v>
      </c>
      <c r="B406" s="25">
        <f>20000/1.229</f>
        <v>16273.393002441007</v>
      </c>
      <c r="C406" s="25">
        <v>0</v>
      </c>
      <c r="D406" s="25">
        <v>0</v>
      </c>
      <c r="E406" s="25">
        <f>50000/1.229</f>
        <v>40683.482506102519</v>
      </c>
      <c r="F406" s="25">
        <f>30000/1.229</f>
        <v>24410.089503661511</v>
      </c>
      <c r="G406" s="25">
        <f>50000/1.229</f>
        <v>40683.482506102519</v>
      </c>
      <c r="H406" s="25">
        <f>26000/1.229</f>
        <v>21155.41090317331</v>
      </c>
      <c r="I406" s="25">
        <f>SUM(B406:H406)</f>
        <v>143205.85842148087</v>
      </c>
      <c r="J406" s="25"/>
      <c r="K406" s="25"/>
      <c r="L406" s="39">
        <f t="shared" si="49"/>
        <v>1.5142857142857142</v>
      </c>
    </row>
    <row r="407" spans="1:12" x14ac:dyDescent="0.3">
      <c r="I407" s="29"/>
      <c r="J407" s="29"/>
      <c r="K407" s="29"/>
    </row>
    <row r="409" spans="1:12" x14ac:dyDescent="0.3">
      <c r="H409" s="29"/>
    </row>
    <row r="410" spans="1:12" x14ac:dyDescent="0.3">
      <c r="A410" s="4" t="s">
        <v>53</v>
      </c>
      <c r="B410" s="5" t="s">
        <v>0</v>
      </c>
      <c r="C410" s="5" t="s">
        <v>1</v>
      </c>
      <c r="D410" s="5" t="s">
        <v>2</v>
      </c>
      <c r="E410" s="6" t="s">
        <v>3</v>
      </c>
      <c r="F410" s="5" t="s">
        <v>4</v>
      </c>
      <c r="G410" s="5" t="s">
        <v>5</v>
      </c>
      <c r="H410" s="5" t="s">
        <v>6</v>
      </c>
      <c r="I410" s="5" t="s">
        <v>7</v>
      </c>
      <c r="J410" s="11"/>
      <c r="K410" s="11"/>
    </row>
    <row r="411" spans="1:12" x14ac:dyDescent="0.3">
      <c r="A411" s="7"/>
      <c r="B411" s="8">
        <v>45390</v>
      </c>
      <c r="C411" s="8">
        <v>45391</v>
      </c>
      <c r="D411" s="8">
        <v>45392</v>
      </c>
      <c r="E411" s="8">
        <v>45393</v>
      </c>
      <c r="F411" s="8">
        <v>45394</v>
      </c>
      <c r="G411" s="8">
        <v>45395</v>
      </c>
      <c r="H411" s="8">
        <v>45396</v>
      </c>
      <c r="I411" s="9"/>
      <c r="J411" s="11"/>
      <c r="K411" s="11"/>
    </row>
    <row r="412" spans="1:12" ht="19.5" thickBot="1" x14ac:dyDescent="0.35">
      <c r="A412" s="10" t="s">
        <v>8</v>
      </c>
      <c r="B412" s="11" t="s">
        <v>9</v>
      </c>
      <c r="C412" s="11" t="s">
        <v>9</v>
      </c>
      <c r="D412" s="11" t="s">
        <v>9</v>
      </c>
      <c r="E412" s="11" t="s">
        <v>9</v>
      </c>
      <c r="F412" s="11" t="s">
        <v>9</v>
      </c>
      <c r="G412" s="11" t="s">
        <v>9</v>
      </c>
      <c r="H412" s="11" t="s">
        <v>9</v>
      </c>
      <c r="I412" s="12" t="s">
        <v>9</v>
      </c>
      <c r="J412" s="11"/>
      <c r="K412" s="11"/>
    </row>
    <row r="413" spans="1:12" x14ac:dyDescent="0.3">
      <c r="A413" s="13" t="s">
        <v>10</v>
      </c>
      <c r="B413" s="14">
        <f>55-4-36</f>
        <v>15</v>
      </c>
      <c r="C413" s="14">
        <f>55-4-39</f>
        <v>12</v>
      </c>
      <c r="D413" s="14">
        <f>55-4</f>
        <v>51</v>
      </c>
      <c r="E413" s="14">
        <f>55-6</f>
        <v>49</v>
      </c>
      <c r="F413" s="14">
        <v>49</v>
      </c>
      <c r="G413" s="14">
        <f>55-3</f>
        <v>52</v>
      </c>
      <c r="H413" s="14">
        <v>52</v>
      </c>
      <c r="I413" s="14"/>
      <c r="J413" s="16"/>
      <c r="K413" s="16"/>
    </row>
    <row r="414" spans="1:12" x14ac:dyDescent="0.3">
      <c r="A414" s="15" t="s">
        <v>11</v>
      </c>
      <c r="B414" s="16">
        <v>1</v>
      </c>
      <c r="C414" s="16">
        <v>3</v>
      </c>
      <c r="D414" s="16">
        <v>2</v>
      </c>
      <c r="E414" s="16">
        <v>1</v>
      </c>
      <c r="F414" s="16">
        <v>1</v>
      </c>
      <c r="G414" s="16">
        <v>2</v>
      </c>
      <c r="H414" s="16">
        <v>2</v>
      </c>
      <c r="I414" s="16">
        <f>SUM(B414:H414)</f>
        <v>12</v>
      </c>
      <c r="J414" s="16"/>
      <c r="K414" s="16"/>
    </row>
    <row r="415" spans="1:12" x14ac:dyDescent="0.3">
      <c r="A415" s="15" t="s">
        <v>12</v>
      </c>
      <c r="B415" s="16">
        <v>4</v>
      </c>
      <c r="C415" s="16">
        <v>4</v>
      </c>
      <c r="D415" s="16">
        <v>4</v>
      </c>
      <c r="E415" s="16">
        <v>7</v>
      </c>
      <c r="F415" s="16">
        <v>7</v>
      </c>
      <c r="G415" s="16">
        <v>17</v>
      </c>
      <c r="H415" s="16">
        <v>5</v>
      </c>
      <c r="I415" s="16">
        <f>SUM(B415:H415)</f>
        <v>48</v>
      </c>
      <c r="J415" s="16"/>
      <c r="K415" s="16"/>
    </row>
    <row r="416" spans="1:12" x14ac:dyDescent="0.3">
      <c r="A416" s="15" t="s">
        <v>30</v>
      </c>
      <c r="B416" s="16">
        <v>11</v>
      </c>
      <c r="C416" s="16">
        <v>0</v>
      </c>
      <c r="D416" s="16">
        <v>0</v>
      </c>
      <c r="E416" s="16">
        <v>0</v>
      </c>
      <c r="F416" s="16">
        <v>0</v>
      </c>
      <c r="G416" s="16">
        <v>0</v>
      </c>
      <c r="H416" s="16">
        <v>0</v>
      </c>
      <c r="I416" s="16">
        <f>SUM(B416:H416)</f>
        <v>11</v>
      </c>
      <c r="J416" s="16"/>
      <c r="K416" s="16"/>
    </row>
    <row r="417" spans="1:12" x14ac:dyDescent="0.3">
      <c r="A417" s="15" t="s">
        <v>28</v>
      </c>
      <c r="B417" s="16">
        <v>28</v>
      </c>
      <c r="C417" s="16">
        <v>40</v>
      </c>
      <c r="D417" s="16">
        <v>19</v>
      </c>
      <c r="E417" s="16">
        <v>90</v>
      </c>
      <c r="F417" s="16">
        <v>67</v>
      </c>
      <c r="G417" s="16">
        <v>200</v>
      </c>
      <c r="H417" s="16">
        <v>36</v>
      </c>
      <c r="I417" s="16">
        <f t="shared" ref="I417:I423" si="51">B417+C417+D417+E417+F417+G417+H417</f>
        <v>480</v>
      </c>
      <c r="J417" s="16"/>
      <c r="K417" s="16"/>
    </row>
    <row r="418" spans="1:12" x14ac:dyDescent="0.3">
      <c r="A418" s="15" t="s">
        <v>29</v>
      </c>
      <c r="B418" s="16">
        <v>8</v>
      </c>
      <c r="C418" s="16">
        <v>5</v>
      </c>
      <c r="D418" s="16">
        <v>2</v>
      </c>
      <c r="E418" s="16">
        <v>26</v>
      </c>
      <c r="F418" s="16">
        <v>5</v>
      </c>
      <c r="G418" s="16">
        <v>79</v>
      </c>
      <c r="H418" s="16">
        <v>5</v>
      </c>
      <c r="I418" s="16">
        <f t="shared" si="51"/>
        <v>130</v>
      </c>
      <c r="J418" s="16"/>
      <c r="K418" s="16"/>
    </row>
    <row r="419" spans="1:12" x14ac:dyDescent="0.3">
      <c r="A419" s="15" t="s">
        <v>31</v>
      </c>
      <c r="B419" s="16">
        <v>1</v>
      </c>
      <c r="C419" s="16">
        <v>3</v>
      </c>
      <c r="D419" s="16">
        <v>3</v>
      </c>
      <c r="E419" s="16">
        <v>12</v>
      </c>
      <c r="F419" s="16">
        <v>4</v>
      </c>
      <c r="G419" s="16">
        <v>16</v>
      </c>
      <c r="H419" s="16">
        <v>3</v>
      </c>
      <c r="I419" s="16">
        <f t="shared" si="51"/>
        <v>42</v>
      </c>
      <c r="J419" s="16"/>
      <c r="K419" s="16"/>
    </row>
    <row r="420" spans="1:12" x14ac:dyDescent="0.3">
      <c r="A420" s="15" t="s">
        <v>13</v>
      </c>
      <c r="B420" s="16">
        <v>0</v>
      </c>
      <c r="C420" s="16">
        <v>0</v>
      </c>
      <c r="D420" s="16">
        <v>0</v>
      </c>
      <c r="E420" s="16">
        <v>4</v>
      </c>
      <c r="F420" s="16">
        <v>0</v>
      </c>
      <c r="G420" s="16">
        <v>1</v>
      </c>
      <c r="H420" s="16">
        <v>6</v>
      </c>
      <c r="I420" s="16">
        <f t="shared" si="51"/>
        <v>11</v>
      </c>
      <c r="J420" s="16"/>
      <c r="K420" s="16"/>
    </row>
    <row r="421" spans="1:12" x14ac:dyDescent="0.3">
      <c r="A421" s="15" t="s">
        <v>14</v>
      </c>
      <c r="B421" s="16">
        <v>0</v>
      </c>
      <c r="C421" s="16">
        <v>0</v>
      </c>
      <c r="D421" s="16">
        <v>0</v>
      </c>
      <c r="E421" s="16">
        <v>0</v>
      </c>
      <c r="F421" s="16">
        <v>0</v>
      </c>
      <c r="G421" s="16">
        <v>0</v>
      </c>
      <c r="H421" s="16">
        <v>0</v>
      </c>
      <c r="I421" s="16">
        <f t="shared" si="51"/>
        <v>0</v>
      </c>
      <c r="J421" s="16"/>
      <c r="K421" s="16"/>
    </row>
    <row r="422" spans="1:12" x14ac:dyDescent="0.3">
      <c r="A422" s="15" t="s">
        <v>32</v>
      </c>
      <c r="B422" s="16">
        <v>0</v>
      </c>
      <c r="C422" s="16">
        <v>0</v>
      </c>
      <c r="D422" s="16">
        <v>0</v>
      </c>
      <c r="E422" s="16">
        <v>0</v>
      </c>
      <c r="F422" s="16">
        <v>0</v>
      </c>
      <c r="G422" s="16">
        <v>0</v>
      </c>
      <c r="H422" s="16">
        <v>0</v>
      </c>
      <c r="I422" s="16">
        <f t="shared" si="51"/>
        <v>0</v>
      </c>
      <c r="J422" s="16"/>
      <c r="K422" s="16"/>
    </row>
    <row r="423" spans="1:12" x14ac:dyDescent="0.3">
      <c r="A423" s="15" t="s">
        <v>33</v>
      </c>
      <c r="B423" s="16">
        <v>0</v>
      </c>
      <c r="C423" s="16">
        <v>0</v>
      </c>
      <c r="D423" s="16">
        <v>0</v>
      </c>
      <c r="E423" s="16">
        <v>0</v>
      </c>
      <c r="F423" s="16">
        <v>0</v>
      </c>
      <c r="G423" s="16">
        <v>0</v>
      </c>
      <c r="H423" s="16">
        <v>0</v>
      </c>
      <c r="I423" s="16">
        <f t="shared" si="51"/>
        <v>0</v>
      </c>
      <c r="J423" s="16"/>
      <c r="K423" s="16"/>
    </row>
    <row r="424" spans="1:12" ht="19.5" thickBot="1" x14ac:dyDescent="0.35">
      <c r="A424" s="30" t="s">
        <v>15</v>
      </c>
      <c r="B424" s="31">
        <f t="shared" ref="B424:H424" si="52">(B415+B414)/B413*100%</f>
        <v>0.33333333333333331</v>
      </c>
      <c r="C424" s="31">
        <f t="shared" si="52"/>
        <v>0.58333333333333337</v>
      </c>
      <c r="D424" s="31">
        <f t="shared" si="52"/>
        <v>0.11764705882352941</v>
      </c>
      <c r="E424" s="31">
        <f t="shared" si="52"/>
        <v>0.16326530612244897</v>
      </c>
      <c r="F424" s="31">
        <f t="shared" si="52"/>
        <v>0.16326530612244897</v>
      </c>
      <c r="G424" s="31">
        <f t="shared" si="52"/>
        <v>0.36538461538461536</v>
      </c>
      <c r="H424" s="31">
        <f t="shared" si="52"/>
        <v>0.13461538461538461</v>
      </c>
      <c r="I424" s="32">
        <f>(B424+C424+D424+E424+F424+G424+H424)/7</f>
        <v>0.26583490539072774</v>
      </c>
      <c r="J424" s="52"/>
      <c r="K424" s="52"/>
    </row>
    <row r="425" spans="1:12" x14ac:dyDescent="0.3">
      <c r="A425" s="33" t="s">
        <v>16</v>
      </c>
      <c r="B425" s="16"/>
      <c r="C425" s="17"/>
      <c r="D425" s="16"/>
      <c r="E425" s="18"/>
      <c r="F425" s="16"/>
      <c r="G425" s="16"/>
      <c r="H425" s="16"/>
      <c r="I425" s="16"/>
      <c r="J425" s="16"/>
      <c r="K425" s="16"/>
    </row>
    <row r="426" spans="1:12" x14ac:dyDescent="0.3">
      <c r="A426" s="15" t="s">
        <v>17</v>
      </c>
      <c r="B426" s="28">
        <v>8917.9840000000004</v>
      </c>
      <c r="C426" s="28">
        <v>10545.356</v>
      </c>
      <c r="D426" s="28">
        <v>6834.9480000000003</v>
      </c>
      <c r="E426" s="28">
        <v>22360.039999999997</v>
      </c>
      <c r="F426" s="28">
        <v>17250.120000000003</v>
      </c>
      <c r="G426" s="28">
        <v>45094.422000000006</v>
      </c>
      <c r="H426" s="28">
        <v>15541.454</v>
      </c>
      <c r="I426" s="19">
        <f>SUM(B426:H426)</f>
        <v>126544.32400000001</v>
      </c>
      <c r="J426" s="19"/>
      <c r="K426" s="19"/>
      <c r="L426" s="39"/>
    </row>
    <row r="427" spans="1:12" x14ac:dyDescent="0.3">
      <c r="A427" s="15" t="s">
        <v>18</v>
      </c>
      <c r="B427" s="28">
        <v>13851.866300000002</v>
      </c>
      <c r="C427" s="28">
        <v>17886.436199999996</v>
      </c>
      <c r="D427" s="28">
        <v>10557.536600000001</v>
      </c>
      <c r="E427" s="28">
        <v>41576.301500000001</v>
      </c>
      <c r="F427" s="28">
        <v>35344.385500000004</v>
      </c>
      <c r="G427" s="28">
        <v>79881.293900000004</v>
      </c>
      <c r="H427" s="28">
        <v>20933.282299999999</v>
      </c>
      <c r="I427" s="19">
        <f>SUM(B427:H427)</f>
        <v>220031.1023</v>
      </c>
      <c r="J427" s="19"/>
      <c r="K427" s="19"/>
      <c r="L427" s="39"/>
    </row>
    <row r="428" spans="1:12" x14ac:dyDescent="0.3">
      <c r="A428" s="15" t="s">
        <v>19</v>
      </c>
      <c r="B428" s="28">
        <v>7343.6737000000003</v>
      </c>
      <c r="C428" s="28">
        <v>10193.8848</v>
      </c>
      <c r="D428" s="28">
        <v>6446.4624000000003</v>
      </c>
      <c r="E428" s="28">
        <v>20820.4725</v>
      </c>
      <c r="F428" s="28">
        <v>15335.906500000001</v>
      </c>
      <c r="G428" s="28">
        <v>41245.501100000001</v>
      </c>
      <c r="H428" s="28">
        <v>14310.840700000001</v>
      </c>
      <c r="I428" s="19">
        <f>SUM(B428:H428)</f>
        <v>115696.74170000001</v>
      </c>
      <c r="J428" s="19"/>
      <c r="K428" s="19"/>
      <c r="L428" s="39"/>
    </row>
    <row r="429" spans="1:12" x14ac:dyDescent="0.3">
      <c r="A429" s="15" t="s">
        <v>21</v>
      </c>
      <c r="B429" s="28">
        <v>0</v>
      </c>
      <c r="C429" s="28">
        <v>0</v>
      </c>
      <c r="D429" s="28">
        <v>0</v>
      </c>
      <c r="E429" s="28">
        <v>0</v>
      </c>
      <c r="F429" s="28">
        <v>0</v>
      </c>
      <c r="G429" s="28">
        <v>0</v>
      </c>
      <c r="H429" s="28">
        <v>0</v>
      </c>
      <c r="I429" s="19">
        <f>SUM(B429:H429)</f>
        <v>0</v>
      </c>
      <c r="J429" s="19"/>
      <c r="K429" s="19"/>
      <c r="L429" s="39"/>
    </row>
    <row r="430" spans="1:12" ht="19.5" thickBot="1" x14ac:dyDescent="0.35">
      <c r="A430" s="15" t="s">
        <v>22</v>
      </c>
      <c r="B430" s="28">
        <v>0</v>
      </c>
      <c r="C430" s="28">
        <v>0</v>
      </c>
      <c r="D430" s="28">
        <v>0</v>
      </c>
      <c r="E430" s="28">
        <v>0</v>
      </c>
      <c r="F430" s="28">
        <v>0</v>
      </c>
      <c r="G430" s="28">
        <v>0</v>
      </c>
      <c r="H430" s="28">
        <v>0</v>
      </c>
      <c r="I430" s="19">
        <f>SUM(B430:H430)</f>
        <v>0</v>
      </c>
      <c r="J430" s="19"/>
      <c r="K430" s="19"/>
      <c r="L430" s="39"/>
    </row>
    <row r="431" spans="1:12" ht="19.5" thickBot="1" x14ac:dyDescent="0.35">
      <c r="A431" s="20" t="s">
        <v>7</v>
      </c>
      <c r="B431" s="21">
        <f>SUM(B426:B430)</f>
        <v>30113.524000000001</v>
      </c>
      <c r="C431" s="21">
        <f t="shared" ref="C431:H431" si="53">SUM(C426:C430)</f>
        <v>38625.676999999996</v>
      </c>
      <c r="D431" s="21">
        <f t="shared" si="53"/>
        <v>23838.947000000004</v>
      </c>
      <c r="E431" s="21">
        <f t="shared" si="53"/>
        <v>84756.813999999998</v>
      </c>
      <c r="F431" s="21">
        <f t="shared" si="53"/>
        <v>67930.412000000011</v>
      </c>
      <c r="G431" s="21">
        <f t="shared" si="53"/>
        <v>166221.217</v>
      </c>
      <c r="H431" s="21">
        <f t="shared" si="53"/>
        <v>50785.576999999997</v>
      </c>
      <c r="I431" s="21">
        <f>SUM(I426:I430)</f>
        <v>462272.16800000001</v>
      </c>
      <c r="J431" s="53"/>
      <c r="K431" s="53"/>
      <c r="L431" s="39"/>
    </row>
    <row r="432" spans="1:12" ht="19.5" thickTop="1" x14ac:dyDescent="0.3">
      <c r="A432" s="22" t="s">
        <v>20</v>
      </c>
      <c r="B432" s="23">
        <f>16258.55*0.6</f>
        <v>9755.1299999999992</v>
      </c>
      <c r="C432" s="23">
        <f>23027.26*0.6</f>
        <v>13816.355999999998</v>
      </c>
      <c r="D432" s="23">
        <f>11310.14*0.6</f>
        <v>6786.0839999999998</v>
      </c>
      <c r="E432" s="23">
        <f>56444.99*0.6</f>
        <v>33866.993999999999</v>
      </c>
      <c r="F432" s="23">
        <f>27705.87*0.6</f>
        <v>16623.521999999997</v>
      </c>
      <c r="G432" s="23">
        <f>102157.75*0.6</f>
        <v>61294.649999999994</v>
      </c>
      <c r="H432" s="23">
        <f>21391.63*0.6</f>
        <v>12834.978000000001</v>
      </c>
      <c r="I432" s="23">
        <f>SUM(B432:H432)</f>
        <v>154977.71399999998</v>
      </c>
      <c r="J432" s="23"/>
      <c r="K432" s="23"/>
      <c r="L432" s="39"/>
    </row>
    <row r="433" spans="1:12" x14ac:dyDescent="0.3">
      <c r="A433" s="24" t="s">
        <v>25</v>
      </c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39"/>
    </row>
    <row r="434" spans="1:12" x14ac:dyDescent="0.3">
      <c r="A434" s="26" t="s">
        <v>23</v>
      </c>
      <c r="B434" s="25">
        <v>0</v>
      </c>
      <c r="C434" s="25">
        <v>0</v>
      </c>
      <c r="D434" s="25">
        <v>0</v>
      </c>
      <c r="E434" s="25">
        <v>0</v>
      </c>
      <c r="F434" s="25">
        <v>0</v>
      </c>
      <c r="G434" s="25">
        <f>10000/1.229</f>
        <v>8136.6965012205037</v>
      </c>
      <c r="H434" s="25">
        <f>10000/1.229</f>
        <v>8136.6965012205037</v>
      </c>
      <c r="I434" s="25">
        <f>SUM(B434:H434)</f>
        <v>16273.393002441007</v>
      </c>
      <c r="J434" s="25"/>
      <c r="K434" s="25"/>
      <c r="L434" s="39"/>
    </row>
    <row r="435" spans="1:12" ht="19.5" thickBot="1" x14ac:dyDescent="0.35">
      <c r="A435" s="27" t="s">
        <v>24</v>
      </c>
      <c r="B435" s="25">
        <f>10000/1.229</f>
        <v>8136.6965012205037</v>
      </c>
      <c r="C435" s="25">
        <f>30000/1.229</f>
        <v>24410.089503661511</v>
      </c>
      <c r="D435" s="25">
        <f>20000/1.229</f>
        <v>16273.393002441007</v>
      </c>
      <c r="E435" s="25">
        <f>10000/1.229</f>
        <v>8136.6965012205037</v>
      </c>
      <c r="F435" s="25">
        <f>10000/1.229</f>
        <v>8136.6965012205037</v>
      </c>
      <c r="G435" s="25">
        <f>10000/1.229</f>
        <v>8136.6965012205037</v>
      </c>
      <c r="H435" s="25">
        <f>10000/1.229</f>
        <v>8136.6965012205037</v>
      </c>
      <c r="I435" s="25">
        <f>SUM(B435:H435)</f>
        <v>81366.965012205037</v>
      </c>
      <c r="J435" s="25"/>
      <c r="K435" s="25"/>
      <c r="L435" s="39"/>
    </row>
    <row r="439" spans="1:12" x14ac:dyDescent="0.3">
      <c r="A439" s="4" t="s">
        <v>54</v>
      </c>
      <c r="B439" s="5" t="s">
        <v>0</v>
      </c>
      <c r="C439" s="5" t="s">
        <v>1</v>
      </c>
      <c r="D439" s="5" t="s">
        <v>2</v>
      </c>
      <c r="E439" s="6" t="s">
        <v>3</v>
      </c>
      <c r="F439" s="5" t="s">
        <v>4</v>
      </c>
      <c r="G439" s="5" t="s">
        <v>5</v>
      </c>
      <c r="H439" s="5" t="s">
        <v>6</v>
      </c>
      <c r="I439" s="5" t="s">
        <v>7</v>
      </c>
      <c r="J439" s="11"/>
      <c r="K439" s="11"/>
    </row>
    <row r="440" spans="1:12" x14ac:dyDescent="0.3">
      <c r="A440" s="7"/>
      <c r="B440" s="8">
        <v>45397</v>
      </c>
      <c r="C440" s="8">
        <v>45398</v>
      </c>
      <c r="D440" s="8">
        <v>45399</v>
      </c>
      <c r="E440" s="8">
        <v>45400</v>
      </c>
      <c r="F440" s="8">
        <v>45401</v>
      </c>
      <c r="G440" s="8">
        <v>45402</v>
      </c>
      <c r="H440" s="8">
        <v>45403</v>
      </c>
      <c r="I440" s="9"/>
      <c r="J440" s="11"/>
      <c r="K440" s="11"/>
    </row>
    <row r="441" spans="1:12" ht="19.5" thickBot="1" x14ac:dyDescent="0.35">
      <c r="A441" s="10" t="s">
        <v>8</v>
      </c>
      <c r="B441" s="11" t="s">
        <v>9</v>
      </c>
      <c r="C441" s="11" t="s">
        <v>9</v>
      </c>
      <c r="D441" s="11" t="s">
        <v>9</v>
      </c>
      <c r="E441" s="11" t="s">
        <v>9</v>
      </c>
      <c r="F441" s="11" t="s">
        <v>9</v>
      </c>
      <c r="G441" s="11" t="s">
        <v>9</v>
      </c>
      <c r="H441" s="11" t="s">
        <v>9</v>
      </c>
      <c r="I441" s="12" t="s">
        <v>9</v>
      </c>
      <c r="J441" s="11"/>
      <c r="K441" s="11"/>
    </row>
    <row r="442" spans="1:12" x14ac:dyDescent="0.3">
      <c r="A442" s="13" t="s">
        <v>10</v>
      </c>
      <c r="B442" s="14">
        <f>55-3</f>
        <v>52</v>
      </c>
      <c r="C442" s="14">
        <f>55-2</f>
        <v>53</v>
      </c>
      <c r="D442" s="14">
        <f>55-4</f>
        <v>51</v>
      </c>
      <c r="E442" s="14">
        <f>55-3</f>
        <v>52</v>
      </c>
      <c r="F442" s="14">
        <f>55-3</f>
        <v>52</v>
      </c>
      <c r="G442" s="14">
        <f>55</f>
        <v>55</v>
      </c>
      <c r="H442" s="14">
        <f>55-1</f>
        <v>54</v>
      </c>
      <c r="I442" s="14"/>
      <c r="J442" s="16"/>
      <c r="K442" s="16"/>
    </row>
    <row r="443" spans="1:12" x14ac:dyDescent="0.3">
      <c r="A443" s="15" t="s">
        <v>11</v>
      </c>
      <c r="B443" s="16">
        <v>1</v>
      </c>
      <c r="C443" s="16">
        <v>2</v>
      </c>
      <c r="D443" s="16">
        <v>1</v>
      </c>
      <c r="E443" s="16">
        <v>1</v>
      </c>
      <c r="F443" s="16">
        <v>2</v>
      </c>
      <c r="G443" s="16">
        <v>2</v>
      </c>
      <c r="H443" s="16">
        <v>2</v>
      </c>
      <c r="I443" s="16">
        <f>SUM(B443:H443)</f>
        <v>11</v>
      </c>
      <c r="J443" s="16"/>
      <c r="K443" s="16"/>
    </row>
    <row r="444" spans="1:12" x14ac:dyDescent="0.3">
      <c r="A444" s="15" t="s">
        <v>12</v>
      </c>
      <c r="B444" s="16">
        <v>5</v>
      </c>
      <c r="C444" s="16">
        <v>3</v>
      </c>
      <c r="D444" s="16">
        <v>3</v>
      </c>
      <c r="E444" s="16">
        <v>7</v>
      </c>
      <c r="F444" s="16">
        <v>8</v>
      </c>
      <c r="G444" s="16">
        <v>22</v>
      </c>
      <c r="H444" s="16">
        <v>45</v>
      </c>
      <c r="I444" s="16">
        <f>SUM(B444:H444)</f>
        <v>93</v>
      </c>
      <c r="J444" s="16"/>
      <c r="K444" s="16"/>
    </row>
    <row r="445" spans="1:12" x14ac:dyDescent="0.3">
      <c r="A445" s="15" t="s">
        <v>30</v>
      </c>
      <c r="B445" s="16">
        <v>0</v>
      </c>
      <c r="C445" s="16">
        <v>0</v>
      </c>
      <c r="D445" s="16">
        <v>0</v>
      </c>
      <c r="E445" s="16">
        <v>0</v>
      </c>
      <c r="F445" s="16">
        <v>0</v>
      </c>
      <c r="G445" s="16">
        <v>0</v>
      </c>
      <c r="H445" s="16">
        <v>0</v>
      </c>
      <c r="I445" s="16">
        <f>SUM(B445:H445)</f>
        <v>0</v>
      </c>
      <c r="J445" s="16"/>
      <c r="K445" s="16"/>
    </row>
    <row r="446" spans="1:12" x14ac:dyDescent="0.3">
      <c r="A446" s="15" t="s">
        <v>28</v>
      </c>
      <c r="B446" s="16">
        <v>0</v>
      </c>
      <c r="C446" s="16">
        <v>12</v>
      </c>
      <c r="D446" s="16">
        <v>18</v>
      </c>
      <c r="E446" s="16">
        <v>19</v>
      </c>
      <c r="F446" s="16">
        <v>27</v>
      </c>
      <c r="G446" s="16">
        <f>153+22</f>
        <v>175</v>
      </c>
      <c r="H446" s="16">
        <v>27</v>
      </c>
      <c r="I446" s="16">
        <f t="shared" ref="I446:I452" si="54">B446+C446+D446+E446+F446+G446+H446</f>
        <v>278</v>
      </c>
      <c r="J446" s="16"/>
      <c r="K446" s="16"/>
    </row>
    <row r="447" spans="1:12" x14ac:dyDescent="0.3">
      <c r="A447" s="15" t="s">
        <v>29</v>
      </c>
      <c r="B447" s="16">
        <v>0</v>
      </c>
      <c r="C447" s="16">
        <v>1</v>
      </c>
      <c r="D447" s="16">
        <v>5</v>
      </c>
      <c r="E447" s="16">
        <v>5</v>
      </c>
      <c r="F447" s="16">
        <v>0</v>
      </c>
      <c r="G447" s="16">
        <v>19</v>
      </c>
      <c r="H447" s="16">
        <v>1</v>
      </c>
      <c r="I447" s="16">
        <f t="shared" si="54"/>
        <v>31</v>
      </c>
      <c r="J447" s="16"/>
      <c r="K447" s="16"/>
    </row>
    <row r="448" spans="1:12" x14ac:dyDescent="0.3">
      <c r="A448" s="15" t="s">
        <v>31</v>
      </c>
      <c r="B448" s="16">
        <v>0</v>
      </c>
      <c r="C448" s="16">
        <v>0</v>
      </c>
      <c r="D448" s="16">
        <v>0</v>
      </c>
      <c r="E448" s="16">
        <v>3</v>
      </c>
      <c r="F448" s="16">
        <v>4</v>
      </c>
      <c r="G448" s="16">
        <v>2</v>
      </c>
      <c r="H448" s="16">
        <v>0</v>
      </c>
      <c r="I448" s="16">
        <f t="shared" si="54"/>
        <v>9</v>
      </c>
      <c r="J448" s="16"/>
      <c r="K448" s="16"/>
    </row>
    <row r="449" spans="1:12" x14ac:dyDescent="0.3">
      <c r="A449" s="15" t="s">
        <v>13</v>
      </c>
      <c r="B449" s="16">
        <v>0</v>
      </c>
      <c r="C449" s="16">
        <v>0</v>
      </c>
      <c r="D449" s="16">
        <v>0</v>
      </c>
      <c r="E449" s="16">
        <v>2</v>
      </c>
      <c r="F449" s="16">
        <v>2</v>
      </c>
      <c r="G449" s="16">
        <v>0</v>
      </c>
      <c r="H449" s="16">
        <v>0</v>
      </c>
      <c r="I449" s="16">
        <f t="shared" si="54"/>
        <v>4</v>
      </c>
      <c r="J449" s="16"/>
      <c r="K449" s="16"/>
    </row>
    <row r="450" spans="1:12" x14ac:dyDescent="0.3">
      <c r="A450" s="15" t="s">
        <v>14</v>
      </c>
      <c r="B450" s="16">
        <v>0</v>
      </c>
      <c r="C450" s="16">
        <v>0</v>
      </c>
      <c r="D450" s="16">
        <v>0</v>
      </c>
      <c r="E450" s="16">
        <v>0</v>
      </c>
      <c r="F450" s="16">
        <v>0</v>
      </c>
      <c r="G450" s="16">
        <v>0</v>
      </c>
      <c r="H450" s="16">
        <v>0</v>
      </c>
      <c r="I450" s="16">
        <f t="shared" si="54"/>
        <v>0</v>
      </c>
      <c r="J450" s="16"/>
      <c r="K450" s="16"/>
    </row>
    <row r="451" spans="1:12" x14ac:dyDescent="0.3">
      <c r="A451" s="15" t="s">
        <v>32</v>
      </c>
      <c r="B451" s="16">
        <v>0</v>
      </c>
      <c r="C451" s="16">
        <v>0</v>
      </c>
      <c r="D451" s="16">
        <v>0</v>
      </c>
      <c r="E451" s="16">
        <v>0</v>
      </c>
      <c r="F451" s="16">
        <v>1</v>
      </c>
      <c r="G451" s="16">
        <v>0</v>
      </c>
      <c r="H451" s="16">
        <v>0</v>
      </c>
      <c r="I451" s="16">
        <f t="shared" si="54"/>
        <v>1</v>
      </c>
      <c r="J451" s="16"/>
      <c r="K451" s="16"/>
    </row>
    <row r="452" spans="1:12" x14ac:dyDescent="0.3">
      <c r="A452" s="15" t="s">
        <v>33</v>
      </c>
      <c r="B452" s="16">
        <v>0</v>
      </c>
      <c r="C452" s="16">
        <v>0</v>
      </c>
      <c r="D452" s="16">
        <v>0</v>
      </c>
      <c r="E452" s="16">
        <v>0</v>
      </c>
      <c r="F452" s="16">
        <v>0</v>
      </c>
      <c r="G452" s="16">
        <v>0</v>
      </c>
      <c r="H452" s="16">
        <v>0</v>
      </c>
      <c r="I452" s="16">
        <f t="shared" si="54"/>
        <v>0</v>
      </c>
      <c r="J452" s="16"/>
      <c r="K452" s="16"/>
    </row>
    <row r="453" spans="1:12" ht="19.5" thickBot="1" x14ac:dyDescent="0.35">
      <c r="A453" s="30" t="s">
        <v>15</v>
      </c>
      <c r="B453" s="31">
        <f t="shared" ref="B453:H453" si="55">(B444+B443)/B442*100%</f>
        <v>0.11538461538461539</v>
      </c>
      <c r="C453" s="31">
        <f t="shared" si="55"/>
        <v>9.4339622641509441E-2</v>
      </c>
      <c r="D453" s="31">
        <f t="shared" si="55"/>
        <v>7.8431372549019607E-2</v>
      </c>
      <c r="E453" s="31">
        <f t="shared" si="55"/>
        <v>0.15384615384615385</v>
      </c>
      <c r="F453" s="31">
        <f t="shared" si="55"/>
        <v>0.19230769230769232</v>
      </c>
      <c r="G453" s="31">
        <f t="shared" si="55"/>
        <v>0.43636363636363634</v>
      </c>
      <c r="H453" s="31">
        <f t="shared" si="55"/>
        <v>0.87037037037037035</v>
      </c>
      <c r="I453" s="32">
        <f>(B453+C453+D453+E453+F453+G453+H453)/7</f>
        <v>0.27729192335185676</v>
      </c>
      <c r="J453" s="52"/>
      <c r="K453" s="52"/>
    </row>
    <row r="454" spans="1:12" x14ac:dyDescent="0.3">
      <c r="A454" s="33" t="s">
        <v>16</v>
      </c>
      <c r="B454" s="16"/>
      <c r="C454" s="17"/>
      <c r="D454" s="16"/>
      <c r="E454" s="18"/>
      <c r="F454" s="16"/>
      <c r="G454" s="16"/>
      <c r="H454" s="16"/>
      <c r="I454" s="16"/>
      <c r="J454" s="16"/>
      <c r="K454" s="16"/>
    </row>
    <row r="455" spans="1:12" x14ac:dyDescent="0.3">
      <c r="A455" s="15" t="s">
        <v>17</v>
      </c>
      <c r="B455" s="28">
        <v>16192.320000000002</v>
      </c>
      <c r="C455" s="28">
        <v>5598.1440000000002</v>
      </c>
      <c r="D455" s="28">
        <v>7355.7040000000006</v>
      </c>
      <c r="E455" s="28">
        <v>14548.652000000002</v>
      </c>
      <c r="F455" s="28">
        <v>15297.256000000001</v>
      </c>
      <c r="G455" s="28">
        <v>53843.485000000001</v>
      </c>
      <c r="H455" s="28">
        <v>45875.8995</v>
      </c>
      <c r="I455" s="19">
        <f>SUM(B455:H455)</f>
        <v>158711.46050000002</v>
      </c>
      <c r="J455" s="19"/>
      <c r="K455" s="19"/>
      <c r="L455" s="39"/>
    </row>
    <row r="456" spans="1:12" x14ac:dyDescent="0.3">
      <c r="A456" s="15" t="s">
        <v>18</v>
      </c>
      <c r="B456" s="28">
        <v>11318.374000000002</v>
      </c>
      <c r="C456" s="28">
        <v>6927.2793000000011</v>
      </c>
      <c r="D456" s="28">
        <v>9180.3973000000005</v>
      </c>
      <c r="E456" s="28">
        <v>15136.544400000002</v>
      </c>
      <c r="F456" s="28">
        <v>18568.2317</v>
      </c>
      <c r="G456" s="28">
        <v>89697.974900000016</v>
      </c>
      <c r="H456" s="28">
        <v>49739.966100000012</v>
      </c>
      <c r="I456" s="19">
        <f>SUM(B456:H456)</f>
        <v>200568.76770000003</v>
      </c>
      <c r="J456" s="19"/>
      <c r="K456" s="19"/>
      <c r="L456" s="39"/>
    </row>
    <row r="457" spans="1:12" x14ac:dyDescent="0.3">
      <c r="A457" s="15" t="s">
        <v>19</v>
      </c>
      <c r="B457" s="28">
        <v>8576.2610000000004</v>
      </c>
      <c r="C457" s="28">
        <v>4061.4987000000001</v>
      </c>
      <c r="D457" s="28">
        <v>5042.8236999999999</v>
      </c>
      <c r="E457" s="28">
        <v>9766.1905999999999</v>
      </c>
      <c r="F457" s="28">
        <v>12717.9283</v>
      </c>
      <c r="G457" s="28">
        <v>46262.416899999997</v>
      </c>
      <c r="H457" s="28">
        <v>44437.467800000006</v>
      </c>
      <c r="I457" s="19">
        <f>SUM(B457:H457)</f>
        <v>130864.587</v>
      </c>
      <c r="J457" s="19"/>
      <c r="K457" s="19"/>
      <c r="L457" s="39"/>
    </row>
    <row r="458" spans="1:12" x14ac:dyDescent="0.3">
      <c r="A458" s="15" t="s">
        <v>21</v>
      </c>
      <c r="B458" s="28">
        <v>0</v>
      </c>
      <c r="C458" s="28">
        <v>0</v>
      </c>
      <c r="D458" s="28">
        <v>0</v>
      </c>
      <c r="E458" s="28">
        <v>0</v>
      </c>
      <c r="F458" s="28">
        <v>0</v>
      </c>
      <c r="G458" s="28">
        <v>7932.7152000000006</v>
      </c>
      <c r="H458" s="28">
        <v>9872.1736000000019</v>
      </c>
      <c r="I458" s="19">
        <f>SUM(B458:H458)</f>
        <v>17804.888800000001</v>
      </c>
      <c r="J458" s="19"/>
      <c r="K458" s="19"/>
      <c r="L458" s="39"/>
    </row>
    <row r="459" spans="1:12" ht="19.5" thickBot="1" x14ac:dyDescent="0.35">
      <c r="A459" s="15" t="s">
        <v>22</v>
      </c>
      <c r="B459" s="28">
        <v>0</v>
      </c>
      <c r="C459" s="28">
        <v>0</v>
      </c>
      <c r="D459" s="28">
        <v>0</v>
      </c>
      <c r="E459" s="28">
        <v>0</v>
      </c>
      <c r="F459" s="28">
        <v>0</v>
      </c>
      <c r="G459" s="28">
        <v>0</v>
      </c>
      <c r="H459" s="28">
        <v>0</v>
      </c>
      <c r="I459" s="19">
        <f>SUM(B459:H459)</f>
        <v>0</v>
      </c>
      <c r="J459" s="19"/>
      <c r="K459" s="19"/>
      <c r="L459" s="39"/>
    </row>
    <row r="460" spans="1:12" ht="19.5" thickBot="1" x14ac:dyDescent="0.35">
      <c r="A460" s="20" t="s">
        <v>7</v>
      </c>
      <c r="B460" s="21">
        <f>SUM(B455:B459)</f>
        <v>36086.955000000002</v>
      </c>
      <c r="C460" s="21">
        <f t="shared" ref="C460:H460" si="56">SUM(C455:C459)</f>
        <v>16586.922000000002</v>
      </c>
      <c r="D460" s="21">
        <f t="shared" si="56"/>
        <v>21578.925000000003</v>
      </c>
      <c r="E460" s="21">
        <f t="shared" si="56"/>
        <v>39451.387000000002</v>
      </c>
      <c r="F460" s="21">
        <f t="shared" si="56"/>
        <v>46583.415999999997</v>
      </c>
      <c r="G460" s="21">
        <f t="shared" si="56"/>
        <v>197736.59200000003</v>
      </c>
      <c r="H460" s="21">
        <f t="shared" si="56"/>
        <v>149925.50700000004</v>
      </c>
      <c r="I460" s="21">
        <f>SUM(I455:I459)</f>
        <v>507949.70400000003</v>
      </c>
      <c r="J460" s="53"/>
      <c r="K460" s="53"/>
      <c r="L460" s="39"/>
    </row>
    <row r="461" spans="1:12" ht="19.5" thickTop="1" x14ac:dyDescent="0.3">
      <c r="A461" s="22" t="s">
        <v>20</v>
      </c>
      <c r="B461" s="23"/>
      <c r="C461" s="23">
        <f>6550.13*0.6</f>
        <v>3930.078</v>
      </c>
      <c r="D461" s="23">
        <f>10537.21*0.6</f>
        <v>6322.3259999999991</v>
      </c>
      <c r="E461" s="23">
        <f>11920*0.6</f>
        <v>7152</v>
      </c>
      <c r="F461" s="23">
        <f>16110.85*0.6</f>
        <v>9666.51</v>
      </c>
      <c r="G461" s="23">
        <f>106946.85*0.6</f>
        <v>64168.11</v>
      </c>
      <c r="H461" s="23">
        <f>14483.49*0.6</f>
        <v>8690.0939999999991</v>
      </c>
      <c r="I461" s="23">
        <f>SUM(B461:H461)</f>
        <v>99929.118000000002</v>
      </c>
      <c r="J461" s="23"/>
      <c r="K461" s="23"/>
      <c r="L461" s="39"/>
    </row>
    <row r="462" spans="1:12" x14ac:dyDescent="0.3">
      <c r="A462" s="24" t="s">
        <v>25</v>
      </c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39"/>
    </row>
    <row r="463" spans="1:12" x14ac:dyDescent="0.3">
      <c r="A463" s="26" t="s">
        <v>23</v>
      </c>
      <c r="B463" s="25">
        <f>10000/1.229</f>
        <v>8136.6965012205037</v>
      </c>
      <c r="C463" s="25">
        <f>16000/1.229</f>
        <v>13018.714401952806</v>
      </c>
      <c r="D463" s="25">
        <f>6000/1.229</f>
        <v>4882.0179007323022</v>
      </c>
      <c r="E463" s="25">
        <f>10000/1.229</f>
        <v>8136.6965012205037</v>
      </c>
      <c r="F463" s="25">
        <f>10000/1.229</f>
        <v>8136.6965012205037</v>
      </c>
      <c r="G463" s="25">
        <f>40000/1.229</f>
        <v>32546.786004882015</v>
      </c>
      <c r="H463" s="25">
        <f>40000/1.229</f>
        <v>32546.786004882015</v>
      </c>
      <c r="I463" s="25">
        <f>SUM(B463:H463)</f>
        <v>107404.39381611065</v>
      </c>
      <c r="J463" s="25"/>
      <c r="K463" s="25"/>
      <c r="L463" s="39"/>
    </row>
    <row r="464" spans="1:12" ht="19.5" thickBot="1" x14ac:dyDescent="0.35">
      <c r="A464" s="27" t="s">
        <v>24</v>
      </c>
      <c r="B464" s="25">
        <v>0</v>
      </c>
      <c r="C464" s="25">
        <v>0</v>
      </c>
      <c r="D464" s="25">
        <v>0</v>
      </c>
      <c r="E464" s="25">
        <v>0</v>
      </c>
      <c r="F464" s="25">
        <f>6000/1.229</f>
        <v>4882.0179007323022</v>
      </c>
      <c r="G464" s="25">
        <v>0</v>
      </c>
      <c r="H464" s="25">
        <v>0</v>
      </c>
      <c r="I464" s="25">
        <f>SUM(B464:H464)</f>
        <v>4882.0179007323022</v>
      </c>
      <c r="J464" s="25"/>
      <c r="K464" s="25"/>
      <c r="L464" s="39"/>
    </row>
    <row r="468" spans="1:13" x14ac:dyDescent="0.3">
      <c r="A468" s="4" t="s">
        <v>55</v>
      </c>
      <c r="B468" s="5" t="s">
        <v>0</v>
      </c>
      <c r="C468" s="5" t="s">
        <v>1</v>
      </c>
      <c r="D468" s="5" t="s">
        <v>2</v>
      </c>
      <c r="E468" s="6" t="s">
        <v>3</v>
      </c>
      <c r="F468" s="5" t="s">
        <v>4</v>
      </c>
      <c r="G468" s="5" t="s">
        <v>5</v>
      </c>
      <c r="H468" s="5" t="s">
        <v>6</v>
      </c>
      <c r="I468" s="5" t="s">
        <v>7</v>
      </c>
      <c r="J468" s="11"/>
      <c r="K468" s="11"/>
    </row>
    <row r="469" spans="1:13" x14ac:dyDescent="0.3">
      <c r="A469" s="7"/>
      <c r="B469" s="8">
        <v>45404</v>
      </c>
      <c r="C469" s="8">
        <v>45405</v>
      </c>
      <c r="D469" s="8">
        <v>45406</v>
      </c>
      <c r="E469" s="8">
        <v>45407</v>
      </c>
      <c r="F469" s="8">
        <v>45408</v>
      </c>
      <c r="G469" s="8">
        <v>45409</v>
      </c>
      <c r="H469" s="8">
        <v>45410</v>
      </c>
      <c r="I469" s="9"/>
      <c r="J469" s="11"/>
      <c r="K469" s="11"/>
    </row>
    <row r="470" spans="1:13" ht="19.5" thickBot="1" x14ac:dyDescent="0.35">
      <c r="A470" s="10" t="s">
        <v>8</v>
      </c>
      <c r="B470" s="11" t="s">
        <v>9</v>
      </c>
      <c r="C470" s="11" t="s">
        <v>9</v>
      </c>
      <c r="D470" s="11" t="s">
        <v>9</v>
      </c>
      <c r="E470" s="11" t="s">
        <v>9</v>
      </c>
      <c r="F470" s="11" t="s">
        <v>9</v>
      </c>
      <c r="G470" s="11" t="s">
        <v>9</v>
      </c>
      <c r="H470" s="11" t="s">
        <v>9</v>
      </c>
      <c r="I470" s="12" t="s">
        <v>9</v>
      </c>
      <c r="J470" s="11"/>
      <c r="K470" s="11"/>
    </row>
    <row r="471" spans="1:13" x14ac:dyDescent="0.3">
      <c r="A471" s="13" t="s">
        <v>10</v>
      </c>
      <c r="B471" s="14">
        <v>55</v>
      </c>
      <c r="C471" s="14">
        <v>55</v>
      </c>
      <c r="D471" s="14">
        <v>55</v>
      </c>
      <c r="E471" s="14">
        <v>55</v>
      </c>
      <c r="F471" s="14">
        <f>55-1</f>
        <v>54</v>
      </c>
      <c r="G471" s="14">
        <f>55-1</f>
        <v>54</v>
      </c>
      <c r="H471" s="14">
        <f>55-1</f>
        <v>54</v>
      </c>
      <c r="I471" s="14"/>
      <c r="J471" s="16"/>
      <c r="K471" s="16"/>
    </row>
    <row r="472" spans="1:13" x14ac:dyDescent="0.3">
      <c r="A472" s="15" t="s">
        <v>11</v>
      </c>
      <c r="B472" s="16">
        <v>1</v>
      </c>
      <c r="C472" s="16">
        <v>1</v>
      </c>
      <c r="D472" s="16">
        <v>2</v>
      </c>
      <c r="E472" s="16">
        <v>2</v>
      </c>
      <c r="F472" s="16">
        <v>3</v>
      </c>
      <c r="G472" s="16">
        <v>3</v>
      </c>
      <c r="H472" s="16">
        <v>5</v>
      </c>
      <c r="I472" s="16">
        <f>SUM(B472:H472)</f>
        <v>17</v>
      </c>
      <c r="J472" s="16"/>
      <c r="K472" s="16"/>
      <c r="M472" s="29">
        <f t="shared" ref="M472:M488" si="57">B499+C499+I472+I443+I414+I385</f>
        <v>57</v>
      </c>
    </row>
    <row r="473" spans="1:13" x14ac:dyDescent="0.3">
      <c r="A473" s="15" t="s">
        <v>12</v>
      </c>
      <c r="B473" s="16">
        <v>47</v>
      </c>
      <c r="C473" s="16">
        <v>52</v>
      </c>
      <c r="D473" s="16">
        <v>47</v>
      </c>
      <c r="E473" s="16">
        <v>44</v>
      </c>
      <c r="F473" s="16">
        <v>32</v>
      </c>
      <c r="G473" s="16">
        <v>33</v>
      </c>
      <c r="H473" s="16">
        <v>5</v>
      </c>
      <c r="I473" s="16">
        <f>SUM(B473:H473)</f>
        <v>260</v>
      </c>
      <c r="J473" s="16"/>
      <c r="K473" s="16"/>
      <c r="M473" s="29">
        <f t="shared" si="57"/>
        <v>508</v>
      </c>
    </row>
    <row r="474" spans="1:13" x14ac:dyDescent="0.3">
      <c r="A474" s="15" t="s">
        <v>30</v>
      </c>
      <c r="B474" s="16">
        <v>0</v>
      </c>
      <c r="C474" s="16">
        <v>0</v>
      </c>
      <c r="D474" s="16">
        <v>0</v>
      </c>
      <c r="E474" s="16">
        <v>0</v>
      </c>
      <c r="F474" s="16">
        <v>0</v>
      </c>
      <c r="G474" s="16">
        <v>0</v>
      </c>
      <c r="H474" s="16">
        <v>0</v>
      </c>
      <c r="I474" s="16">
        <f>SUM(B474:H474)</f>
        <v>0</v>
      </c>
      <c r="J474" s="16"/>
      <c r="K474" s="16"/>
      <c r="M474" s="29">
        <f t="shared" si="57"/>
        <v>11</v>
      </c>
    </row>
    <row r="475" spans="1:13" x14ac:dyDescent="0.3">
      <c r="A475" s="15" t="s">
        <v>28</v>
      </c>
      <c r="B475" s="16">
        <v>18</v>
      </c>
      <c r="C475" s="16">
        <v>16</v>
      </c>
      <c r="D475" s="16">
        <v>27</v>
      </c>
      <c r="E475" s="16">
        <v>18</v>
      </c>
      <c r="F475" s="16">
        <v>11</v>
      </c>
      <c r="G475" s="16">
        <v>139</v>
      </c>
      <c r="H475" s="16">
        <v>12</v>
      </c>
      <c r="I475" s="16">
        <f t="shared" ref="I475:I481" si="58">B475+C475+D475+E475+F475+G475+H475</f>
        <v>241</v>
      </c>
      <c r="J475" s="16"/>
      <c r="K475" s="16"/>
      <c r="M475" s="29">
        <f t="shared" si="57"/>
        <v>1464</v>
      </c>
    </row>
    <row r="476" spans="1:13" x14ac:dyDescent="0.3">
      <c r="A476" s="15" t="s">
        <v>29</v>
      </c>
      <c r="B476" s="16">
        <v>2</v>
      </c>
      <c r="C476" s="16">
        <v>100</v>
      </c>
      <c r="D476" s="16">
        <v>3</v>
      </c>
      <c r="E476" s="16">
        <v>6</v>
      </c>
      <c r="F476" s="16">
        <v>0</v>
      </c>
      <c r="G476" s="16">
        <v>65</v>
      </c>
      <c r="H476" s="16">
        <v>5</v>
      </c>
      <c r="I476" s="16">
        <f t="shared" si="58"/>
        <v>181</v>
      </c>
      <c r="J476" s="16"/>
      <c r="K476" s="16"/>
      <c r="M476" s="29">
        <f t="shared" si="57"/>
        <v>442</v>
      </c>
    </row>
    <row r="477" spans="1:13" x14ac:dyDescent="0.3">
      <c r="A477" s="15" t="s">
        <v>31</v>
      </c>
      <c r="B477" s="16">
        <v>1</v>
      </c>
      <c r="C477" s="16">
        <v>1</v>
      </c>
      <c r="D477" s="16">
        <v>1</v>
      </c>
      <c r="E477" s="16">
        <v>3</v>
      </c>
      <c r="F477" s="16">
        <v>0</v>
      </c>
      <c r="G477" s="16">
        <v>17</v>
      </c>
      <c r="H477" s="16">
        <v>0</v>
      </c>
      <c r="I477" s="16">
        <f t="shared" si="58"/>
        <v>23</v>
      </c>
      <c r="J477" s="16"/>
      <c r="K477" s="16"/>
      <c r="M477" s="29">
        <f t="shared" si="57"/>
        <v>128</v>
      </c>
    </row>
    <row r="478" spans="1:13" x14ac:dyDescent="0.3">
      <c r="A478" s="15" t="s">
        <v>13</v>
      </c>
      <c r="B478" s="16">
        <v>0</v>
      </c>
      <c r="C478" s="16">
        <v>0</v>
      </c>
      <c r="D478" s="16">
        <v>3</v>
      </c>
      <c r="E478" s="16">
        <v>0</v>
      </c>
      <c r="F478" s="16">
        <v>0</v>
      </c>
      <c r="G478" s="16">
        <v>1</v>
      </c>
      <c r="H478" s="16">
        <v>3</v>
      </c>
      <c r="I478" s="16">
        <f t="shared" si="58"/>
        <v>7</v>
      </c>
      <c r="J478" s="16"/>
      <c r="K478" s="16"/>
      <c r="M478" s="29">
        <f t="shared" si="57"/>
        <v>24</v>
      </c>
    </row>
    <row r="479" spans="1:13" x14ac:dyDescent="0.3">
      <c r="A479" s="15" t="s">
        <v>14</v>
      </c>
      <c r="B479" s="16">
        <v>0</v>
      </c>
      <c r="C479" s="16">
        <v>0</v>
      </c>
      <c r="D479" s="16">
        <v>0</v>
      </c>
      <c r="E479" s="16">
        <v>0</v>
      </c>
      <c r="F479" s="16">
        <v>0</v>
      </c>
      <c r="G479" s="16">
        <v>0</v>
      </c>
      <c r="H479" s="16">
        <v>0</v>
      </c>
      <c r="I479" s="16">
        <f t="shared" si="58"/>
        <v>0</v>
      </c>
      <c r="J479" s="16"/>
      <c r="K479" s="16"/>
      <c r="M479" s="29">
        <f t="shared" si="57"/>
        <v>0</v>
      </c>
    </row>
    <row r="480" spans="1:13" x14ac:dyDescent="0.3">
      <c r="A480" s="15" t="s">
        <v>32</v>
      </c>
      <c r="B480" s="16">
        <v>0</v>
      </c>
      <c r="C480" s="16">
        <v>0</v>
      </c>
      <c r="D480" s="16">
        <v>0</v>
      </c>
      <c r="E480" s="16">
        <v>0</v>
      </c>
      <c r="F480" s="16">
        <v>0</v>
      </c>
      <c r="G480" s="16">
        <v>0</v>
      </c>
      <c r="H480" s="16">
        <v>0</v>
      </c>
      <c r="I480" s="16">
        <f t="shared" si="58"/>
        <v>0</v>
      </c>
      <c r="J480" s="16"/>
      <c r="K480" s="16"/>
      <c r="M480" s="29">
        <f t="shared" si="57"/>
        <v>1</v>
      </c>
    </row>
    <row r="481" spans="1:13" x14ac:dyDescent="0.3">
      <c r="A481" s="15" t="s">
        <v>33</v>
      </c>
      <c r="B481" s="16">
        <v>0</v>
      </c>
      <c r="C481" s="16">
        <v>0</v>
      </c>
      <c r="D481" s="16">
        <v>0</v>
      </c>
      <c r="E481" s="16">
        <v>0</v>
      </c>
      <c r="F481" s="16">
        <v>0</v>
      </c>
      <c r="G481" s="16">
        <v>106</v>
      </c>
      <c r="H481" s="16">
        <v>0</v>
      </c>
      <c r="I481" s="16">
        <f t="shared" si="58"/>
        <v>106</v>
      </c>
      <c r="J481" s="16"/>
      <c r="K481" s="16"/>
      <c r="M481" s="29">
        <f t="shared" si="57"/>
        <v>106</v>
      </c>
    </row>
    <row r="482" spans="1:13" ht="19.5" thickBot="1" x14ac:dyDescent="0.35">
      <c r="A482" s="30" t="s">
        <v>15</v>
      </c>
      <c r="B482" s="31">
        <f t="shared" ref="B482:H482" si="59">(B473+B472)/B471*100%</f>
        <v>0.87272727272727268</v>
      </c>
      <c r="C482" s="31">
        <f t="shared" si="59"/>
        <v>0.96363636363636362</v>
      </c>
      <c r="D482" s="31">
        <f t="shared" si="59"/>
        <v>0.89090909090909087</v>
      </c>
      <c r="E482" s="31">
        <f t="shared" si="59"/>
        <v>0.83636363636363631</v>
      </c>
      <c r="F482" s="31">
        <f t="shared" si="59"/>
        <v>0.64814814814814814</v>
      </c>
      <c r="G482" s="31">
        <f t="shared" si="59"/>
        <v>0.66666666666666663</v>
      </c>
      <c r="H482" s="31">
        <f t="shared" si="59"/>
        <v>0.18518518518518517</v>
      </c>
      <c r="I482" s="32">
        <f>(B482+C482+D482+E482+F482+G482+H482)/7</f>
        <v>0.72337662337662345</v>
      </c>
      <c r="J482" s="52"/>
      <c r="K482" s="52"/>
      <c r="M482" s="29">
        <f t="shared" si="57"/>
        <v>1.8659026621306627</v>
      </c>
    </row>
    <row r="483" spans="1:13" x14ac:dyDescent="0.3">
      <c r="A483" s="33" t="s">
        <v>16</v>
      </c>
      <c r="B483" s="16"/>
      <c r="C483" s="17"/>
      <c r="D483" s="16"/>
      <c r="E483" s="18"/>
      <c r="F483" s="16"/>
      <c r="G483" s="16"/>
      <c r="H483" s="16"/>
      <c r="I483" s="16"/>
      <c r="J483" s="16"/>
      <c r="K483" s="16"/>
      <c r="M483" s="29">
        <f t="shared" si="57"/>
        <v>0</v>
      </c>
    </row>
    <row r="484" spans="1:13" x14ac:dyDescent="0.3">
      <c r="A484" s="15" t="s">
        <v>17</v>
      </c>
      <c r="B484" s="28">
        <v>63371.505000000005</v>
      </c>
      <c r="C484" s="28">
        <v>65180.760999999999</v>
      </c>
      <c r="D484" s="28">
        <v>63704.676999999996</v>
      </c>
      <c r="E484" s="28">
        <v>54032.810999999994</v>
      </c>
      <c r="F484" s="28">
        <v>46664.269499999995</v>
      </c>
      <c r="G484" s="28">
        <v>58899.912499999991</v>
      </c>
      <c r="H484" s="28">
        <v>11627.564000000002</v>
      </c>
      <c r="I484" s="19">
        <f>SUM(B484:H484)</f>
        <v>363481.5</v>
      </c>
      <c r="J484" s="19"/>
      <c r="K484" s="19"/>
      <c r="L484" s="39"/>
      <c r="M484" s="29">
        <f t="shared" si="57"/>
        <v>887896.7080000001</v>
      </c>
    </row>
    <row r="485" spans="1:13" x14ac:dyDescent="0.3">
      <c r="A485" s="15" t="s">
        <v>18</v>
      </c>
      <c r="B485" s="28">
        <v>54718.847000000009</v>
      </c>
      <c r="C485" s="28">
        <v>63818.950300000011</v>
      </c>
      <c r="D485" s="28">
        <v>59873.616900000001</v>
      </c>
      <c r="E485" s="28">
        <v>48399.264299999995</v>
      </c>
      <c r="F485" s="28">
        <v>39172.384599999998</v>
      </c>
      <c r="G485" s="28">
        <v>110659.20390000001</v>
      </c>
      <c r="H485" s="28">
        <v>10901.320300000001</v>
      </c>
      <c r="I485" s="19">
        <f>SUM(B485:H485)</f>
        <v>387543.58730000007</v>
      </c>
      <c r="J485" s="19"/>
      <c r="K485" s="19"/>
      <c r="L485" s="39"/>
      <c r="M485" s="29">
        <f t="shared" si="57"/>
        <v>1100047.9902000001</v>
      </c>
    </row>
    <row r="486" spans="1:13" x14ac:dyDescent="0.3">
      <c r="A486" s="15" t="s">
        <v>19</v>
      </c>
      <c r="B486" s="28">
        <v>71329.465000000011</v>
      </c>
      <c r="C486" s="28">
        <v>75128.965899999996</v>
      </c>
      <c r="D486" s="28">
        <v>40761.346100000002</v>
      </c>
      <c r="E486" s="28">
        <v>31430.765899999999</v>
      </c>
      <c r="F486" s="28">
        <v>25902.494299999998</v>
      </c>
      <c r="G486" s="28">
        <v>63725.873400000004</v>
      </c>
      <c r="H486" s="28">
        <v>11324.466699999999</v>
      </c>
      <c r="I486" s="19">
        <f>SUM(B486:H486)</f>
        <v>319603.37729999999</v>
      </c>
      <c r="J486" s="19"/>
      <c r="K486" s="19"/>
      <c r="L486" s="39"/>
      <c r="M486" s="29">
        <f t="shared" si="57"/>
        <v>754313.80599999998</v>
      </c>
    </row>
    <row r="487" spans="1:13" x14ac:dyDescent="0.3">
      <c r="A487" s="15" t="s">
        <v>21</v>
      </c>
      <c r="B487" s="28">
        <v>12848.248000000001</v>
      </c>
      <c r="C487" s="28">
        <v>14005.7328</v>
      </c>
      <c r="D487" s="28">
        <v>12775.608</v>
      </c>
      <c r="E487" s="28">
        <v>12350.3568</v>
      </c>
      <c r="F487" s="28">
        <v>7969.3415999999997</v>
      </c>
      <c r="G487" s="28">
        <v>152788.92720000001</v>
      </c>
      <c r="H487" s="28">
        <v>0</v>
      </c>
      <c r="I487" s="19">
        <f>SUM(B487:H487)</f>
        <v>212738.2144</v>
      </c>
      <c r="J487" s="19"/>
      <c r="K487" s="19"/>
      <c r="L487" s="39"/>
      <c r="M487" s="29">
        <f t="shared" si="57"/>
        <v>240694.46079999997</v>
      </c>
    </row>
    <row r="488" spans="1:13" ht="19.5" thickBot="1" x14ac:dyDescent="0.35">
      <c r="A488" s="15" t="s">
        <v>22</v>
      </c>
      <c r="B488" s="28">
        <v>0</v>
      </c>
      <c r="C488" s="28">
        <v>0</v>
      </c>
      <c r="D488" s="28">
        <v>0</v>
      </c>
      <c r="E488" s="28">
        <v>0</v>
      </c>
      <c r="F488" s="28">
        <v>0</v>
      </c>
      <c r="G488" s="28">
        <v>0</v>
      </c>
      <c r="H488" s="28">
        <v>0</v>
      </c>
      <c r="I488" s="19">
        <f>SUM(B488:H488)</f>
        <v>0</v>
      </c>
      <c r="J488" s="19"/>
      <c r="K488" s="19"/>
      <c r="L488" s="39"/>
      <c r="M488" s="29">
        <f t="shared" si="57"/>
        <v>813.68</v>
      </c>
    </row>
    <row r="489" spans="1:13" ht="19.5" thickBot="1" x14ac:dyDescent="0.35">
      <c r="A489" s="20" t="s">
        <v>7</v>
      </c>
      <c r="B489" s="21">
        <f>SUM(B484:B488)</f>
        <v>202268.06500000003</v>
      </c>
      <c r="C489" s="21">
        <f t="shared" ref="C489:H489" si="60">SUM(C484:C488)</f>
        <v>218134.41</v>
      </c>
      <c r="D489" s="21">
        <f t="shared" si="60"/>
        <v>177115.24799999999</v>
      </c>
      <c r="E489" s="21">
        <f t="shared" si="60"/>
        <v>146213.198</v>
      </c>
      <c r="F489" s="21">
        <f t="shared" si="60"/>
        <v>119708.48999999998</v>
      </c>
      <c r="G489" s="21">
        <f t="shared" si="60"/>
        <v>386073.91700000002</v>
      </c>
      <c r="H489" s="21">
        <f t="shared" si="60"/>
        <v>33853.351000000002</v>
      </c>
      <c r="I489" s="21">
        <f>SUM(I484:I488)</f>
        <v>1283366.679</v>
      </c>
      <c r="J489" s="53"/>
      <c r="K489" s="53"/>
      <c r="L489" s="39"/>
      <c r="M489" s="29">
        <f>B516+C516+I489+I460+I431+I402</f>
        <v>2983766.645</v>
      </c>
    </row>
    <row r="490" spans="1:13" ht="19.5" thickTop="1" x14ac:dyDescent="0.3">
      <c r="A490" s="22" t="s">
        <v>20</v>
      </c>
      <c r="B490" s="23">
        <f>10211.7*0.6</f>
        <v>6127.02</v>
      </c>
      <c r="C490" s="23">
        <f>26810.91*0.6</f>
        <v>16086.545999999998</v>
      </c>
      <c r="D490" s="23">
        <f>16111.01*0.6</f>
        <v>9666.6059999999998</v>
      </c>
      <c r="E490" s="23">
        <f>11359.99*0.6</f>
        <v>6815.9939999999997</v>
      </c>
      <c r="F490" s="23">
        <f>5817.82</f>
        <v>5817.82</v>
      </c>
      <c r="G490" s="23">
        <v>0</v>
      </c>
      <c r="H490" s="23">
        <v>0</v>
      </c>
      <c r="I490" s="23">
        <f>SUM(B490:H490)</f>
        <v>44513.985999999997</v>
      </c>
      <c r="J490" s="23"/>
      <c r="K490" s="23"/>
      <c r="L490" s="39"/>
      <c r="M490" s="29">
        <f t="shared" ref="M490:M493" si="61">B517+C517+I490+I461+I432+I403</f>
        <v>457751.79399999999</v>
      </c>
    </row>
    <row r="491" spans="1:13" x14ac:dyDescent="0.3">
      <c r="A491" s="24" t="s">
        <v>25</v>
      </c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39"/>
      <c r="M491" s="29">
        <f t="shared" si="61"/>
        <v>0</v>
      </c>
    </row>
    <row r="492" spans="1:13" x14ac:dyDescent="0.3">
      <c r="A492" s="26" t="s">
        <v>23</v>
      </c>
      <c r="B492" s="25">
        <f>10000/1.229</f>
        <v>8136.6965012205037</v>
      </c>
      <c r="C492" s="25">
        <f>10000/1.229</f>
        <v>8136.6965012205037</v>
      </c>
      <c r="D492" s="25">
        <f>20000/1.229</f>
        <v>16273.393002441007</v>
      </c>
      <c r="E492" s="25">
        <f>16000/1.229</f>
        <v>13018.714401952806</v>
      </c>
      <c r="F492" s="25">
        <f>16000/1.229</f>
        <v>13018.714401952806</v>
      </c>
      <c r="G492" s="25">
        <f>16000/1.229</f>
        <v>13018.714401952806</v>
      </c>
      <c r="H492" s="25">
        <f>16000/1.229</f>
        <v>13018.714401952806</v>
      </c>
      <c r="I492" s="25">
        <f>SUM(B492:H492)</f>
        <v>84621.643612693239</v>
      </c>
      <c r="J492" s="25"/>
      <c r="K492" s="25"/>
      <c r="L492" s="39"/>
      <c r="M492" s="29">
        <f t="shared" si="61"/>
        <v>258746.948738812</v>
      </c>
    </row>
    <row r="493" spans="1:13" ht="19.5" thickBot="1" x14ac:dyDescent="0.35">
      <c r="A493" s="27" t="s">
        <v>24</v>
      </c>
      <c r="B493" s="25">
        <v>0</v>
      </c>
      <c r="C493" s="25">
        <v>0</v>
      </c>
      <c r="D493" s="25">
        <v>0</v>
      </c>
      <c r="E493" s="25">
        <v>0</v>
      </c>
      <c r="F493" s="25">
        <f>6000/1.229</f>
        <v>4882.0179007323022</v>
      </c>
      <c r="G493" s="25">
        <f>6000/1.229</f>
        <v>4882.0179007323022</v>
      </c>
      <c r="H493" s="25">
        <v>24410.09</v>
      </c>
      <c r="I493" s="25">
        <f>SUM(B493:H493)</f>
        <v>34174.125801464601</v>
      </c>
      <c r="J493" s="25"/>
      <c r="K493" s="25"/>
      <c r="L493" s="39"/>
      <c r="M493" s="29">
        <f t="shared" si="61"/>
        <v>263628.96713588282</v>
      </c>
    </row>
    <row r="495" spans="1:13" x14ac:dyDescent="0.3">
      <c r="A495" s="4" t="s">
        <v>56</v>
      </c>
      <c r="B495" s="5" t="s">
        <v>0</v>
      </c>
      <c r="C495" s="5" t="s">
        <v>1</v>
      </c>
      <c r="D495" s="5" t="s">
        <v>2</v>
      </c>
      <c r="E495" s="6" t="s">
        <v>3</v>
      </c>
      <c r="F495" s="5" t="s">
        <v>4</v>
      </c>
      <c r="G495" s="5" t="s">
        <v>5</v>
      </c>
      <c r="H495" s="5" t="s">
        <v>6</v>
      </c>
      <c r="I495" s="5" t="s">
        <v>7</v>
      </c>
      <c r="J495" s="11"/>
      <c r="K495" s="11"/>
    </row>
    <row r="496" spans="1:13" x14ac:dyDescent="0.3">
      <c r="A496" s="7"/>
      <c r="B496" s="8">
        <v>45411</v>
      </c>
      <c r="C496" s="8">
        <v>45412</v>
      </c>
      <c r="D496" s="8">
        <v>45413</v>
      </c>
      <c r="E496" s="8">
        <v>45414</v>
      </c>
      <c r="F496" s="8">
        <v>45415</v>
      </c>
      <c r="G496" s="8">
        <v>45416</v>
      </c>
      <c r="H496" s="8">
        <v>45417</v>
      </c>
      <c r="I496" s="9"/>
      <c r="J496" s="11"/>
      <c r="K496" s="11"/>
    </row>
    <row r="497" spans="1:11" ht="19.5" thickBot="1" x14ac:dyDescent="0.35">
      <c r="A497" s="10" t="s">
        <v>8</v>
      </c>
      <c r="B497" s="11" t="s">
        <v>9</v>
      </c>
      <c r="C497" s="11" t="s">
        <v>9</v>
      </c>
      <c r="D497" s="11" t="s">
        <v>9</v>
      </c>
      <c r="E497" s="11" t="s">
        <v>9</v>
      </c>
      <c r="F497" s="11" t="s">
        <v>9</v>
      </c>
      <c r="G497" s="11" t="s">
        <v>9</v>
      </c>
      <c r="H497" s="11" t="s">
        <v>9</v>
      </c>
      <c r="I497" s="12" t="s">
        <v>9</v>
      </c>
      <c r="J497" s="11"/>
      <c r="K497" s="11"/>
    </row>
    <row r="498" spans="1:11" x14ac:dyDescent="0.3">
      <c r="A498" s="13" t="s">
        <v>10</v>
      </c>
      <c r="B498" s="14">
        <v>54</v>
      </c>
      <c r="C498" s="14">
        <v>55</v>
      </c>
      <c r="D498" s="14">
        <f>55-2</f>
        <v>53</v>
      </c>
      <c r="E498" s="14">
        <f>55-2</f>
        <v>53</v>
      </c>
      <c r="F498" s="14">
        <f>55-1</f>
        <v>54</v>
      </c>
      <c r="G498" s="14">
        <v>55</v>
      </c>
      <c r="H498" s="14">
        <v>55</v>
      </c>
      <c r="I498" s="14"/>
      <c r="J498" s="16"/>
      <c r="K498" s="16"/>
    </row>
    <row r="499" spans="1:11" x14ac:dyDescent="0.3">
      <c r="A499" s="15" t="s">
        <v>11</v>
      </c>
      <c r="B499" s="16">
        <v>2</v>
      </c>
      <c r="C499" s="16">
        <v>2</v>
      </c>
      <c r="D499" s="16">
        <v>1</v>
      </c>
      <c r="E499" s="16">
        <v>2</v>
      </c>
      <c r="F499" s="16">
        <v>2</v>
      </c>
      <c r="G499" s="16">
        <v>2</v>
      </c>
      <c r="H499" s="16">
        <v>1</v>
      </c>
      <c r="I499" s="16">
        <f>SUM(B499:H499)</f>
        <v>12</v>
      </c>
      <c r="J499" s="16"/>
      <c r="K499" s="16"/>
    </row>
    <row r="500" spans="1:11" x14ac:dyDescent="0.3">
      <c r="A500" s="15" t="s">
        <v>12</v>
      </c>
      <c r="B500" s="16">
        <v>6</v>
      </c>
      <c r="C500" s="16">
        <v>6</v>
      </c>
      <c r="D500" s="16">
        <v>5</v>
      </c>
      <c r="E500" s="16">
        <v>39</v>
      </c>
      <c r="F500" s="16">
        <v>43</v>
      </c>
      <c r="G500" s="16">
        <v>34</v>
      </c>
      <c r="H500" s="16">
        <v>11</v>
      </c>
      <c r="I500" s="16">
        <f>SUM(B500:H500)</f>
        <v>144</v>
      </c>
      <c r="J500" s="16"/>
      <c r="K500" s="16"/>
    </row>
    <row r="501" spans="1:11" x14ac:dyDescent="0.3">
      <c r="A501" s="15" t="s">
        <v>30</v>
      </c>
      <c r="B501" s="16">
        <v>0</v>
      </c>
      <c r="C501" s="16">
        <v>0</v>
      </c>
      <c r="D501" s="16">
        <v>0</v>
      </c>
      <c r="E501" s="16">
        <v>0</v>
      </c>
      <c r="F501" s="16">
        <v>0</v>
      </c>
      <c r="G501" s="16">
        <v>0</v>
      </c>
      <c r="H501" s="16">
        <v>0</v>
      </c>
      <c r="I501" s="16">
        <f>SUM(B501:H501)</f>
        <v>0</v>
      </c>
      <c r="J501" s="16"/>
      <c r="K501" s="16"/>
    </row>
    <row r="502" spans="1:11" x14ac:dyDescent="0.3">
      <c r="A502" s="15" t="s">
        <v>28</v>
      </c>
      <c r="B502" s="16">
        <v>12</v>
      </c>
      <c r="C502" s="16">
        <v>22</v>
      </c>
      <c r="D502" s="16">
        <v>105</v>
      </c>
      <c r="E502" s="16">
        <v>31</v>
      </c>
      <c r="F502" s="16">
        <v>14</v>
      </c>
      <c r="G502" s="16">
        <v>210</v>
      </c>
      <c r="H502" s="16">
        <v>43</v>
      </c>
      <c r="I502" s="16">
        <f t="shared" ref="I502:I508" si="62">B502+C502+D502+E502+F502+G502+H502</f>
        <v>437</v>
      </c>
      <c r="J502" s="16"/>
      <c r="K502" s="16"/>
    </row>
    <row r="503" spans="1:11" x14ac:dyDescent="0.3">
      <c r="A503" s="15" t="s">
        <v>29</v>
      </c>
      <c r="B503" s="16">
        <v>1</v>
      </c>
      <c r="C503" s="16">
        <v>1</v>
      </c>
      <c r="D503" s="16">
        <v>21</v>
      </c>
      <c r="E503" s="16">
        <v>5</v>
      </c>
      <c r="F503" s="16">
        <v>46</v>
      </c>
      <c r="G503" s="16">
        <v>15</v>
      </c>
      <c r="H503" s="16">
        <v>4</v>
      </c>
      <c r="I503" s="16">
        <f t="shared" si="62"/>
        <v>93</v>
      </c>
      <c r="J503" s="16"/>
      <c r="K503" s="16"/>
    </row>
    <row r="504" spans="1:11" x14ac:dyDescent="0.3">
      <c r="A504" s="15" t="s">
        <v>31</v>
      </c>
      <c r="B504" s="16">
        <v>2</v>
      </c>
      <c r="C504" s="16">
        <v>1</v>
      </c>
      <c r="D504" s="16">
        <v>7</v>
      </c>
      <c r="E504" s="16">
        <v>0</v>
      </c>
      <c r="F504" s="16">
        <v>0</v>
      </c>
      <c r="G504" s="16">
        <v>12</v>
      </c>
      <c r="H504" s="16">
        <v>1</v>
      </c>
      <c r="I504" s="16">
        <f t="shared" si="62"/>
        <v>23</v>
      </c>
      <c r="J504" s="16"/>
      <c r="K504" s="16"/>
    </row>
    <row r="505" spans="1:11" x14ac:dyDescent="0.3">
      <c r="A505" s="15" t="s">
        <v>13</v>
      </c>
      <c r="B505" s="16">
        <v>0</v>
      </c>
      <c r="C505" s="16">
        <v>0</v>
      </c>
      <c r="D505" s="16">
        <v>1</v>
      </c>
      <c r="E505" s="16">
        <v>0</v>
      </c>
      <c r="F505" s="16">
        <v>1</v>
      </c>
      <c r="G505" s="16">
        <v>0</v>
      </c>
      <c r="H505" s="16">
        <v>0</v>
      </c>
      <c r="I505" s="16">
        <f t="shared" si="62"/>
        <v>2</v>
      </c>
      <c r="J505" s="16"/>
      <c r="K505" s="16"/>
    </row>
    <row r="506" spans="1:11" x14ac:dyDescent="0.3">
      <c r="A506" s="15" t="s">
        <v>14</v>
      </c>
      <c r="B506" s="16">
        <v>0</v>
      </c>
      <c r="C506" s="16">
        <v>0</v>
      </c>
      <c r="D506" s="16">
        <v>0</v>
      </c>
      <c r="E506" s="16">
        <v>0</v>
      </c>
      <c r="F506" s="16">
        <v>0</v>
      </c>
      <c r="G506" s="16">
        <v>0</v>
      </c>
      <c r="H506" s="16">
        <v>0</v>
      </c>
      <c r="I506" s="16">
        <f t="shared" si="62"/>
        <v>0</v>
      </c>
      <c r="J506" s="16"/>
      <c r="K506" s="16"/>
    </row>
    <row r="507" spans="1:11" x14ac:dyDescent="0.3">
      <c r="A507" s="15" t="s">
        <v>32</v>
      </c>
      <c r="B507" s="16">
        <v>0</v>
      </c>
      <c r="C507" s="16">
        <v>0</v>
      </c>
      <c r="D507" s="16">
        <v>0</v>
      </c>
      <c r="E507" s="16">
        <v>0</v>
      </c>
      <c r="F507" s="16">
        <v>0</v>
      </c>
      <c r="G507" s="16">
        <v>0</v>
      </c>
      <c r="H507" s="16">
        <v>0</v>
      </c>
      <c r="I507" s="16">
        <f t="shared" si="62"/>
        <v>0</v>
      </c>
      <c r="J507" s="16"/>
      <c r="K507" s="16"/>
    </row>
    <row r="508" spans="1:11" x14ac:dyDescent="0.3">
      <c r="A508" s="15" t="s">
        <v>33</v>
      </c>
      <c r="B508" s="16">
        <v>0</v>
      </c>
      <c r="C508" s="16">
        <v>0</v>
      </c>
      <c r="D508" s="16">
        <v>0</v>
      </c>
      <c r="E508" s="16">
        <v>0</v>
      </c>
      <c r="F508" s="16">
        <v>1</v>
      </c>
      <c r="G508" s="16">
        <v>1</v>
      </c>
      <c r="H508" s="16">
        <v>0</v>
      </c>
      <c r="I508" s="16">
        <f t="shared" si="62"/>
        <v>2</v>
      </c>
      <c r="J508" s="16"/>
      <c r="K508" s="16"/>
    </row>
    <row r="509" spans="1:11" ht="19.5" thickBot="1" x14ac:dyDescent="0.35">
      <c r="A509" s="30" t="s">
        <v>15</v>
      </c>
      <c r="B509" s="31">
        <f t="shared" ref="B509:H509" si="63">(B500+B499)/B498*100%</f>
        <v>0.14814814814814814</v>
      </c>
      <c r="C509" s="31">
        <f t="shared" si="63"/>
        <v>0.14545454545454545</v>
      </c>
      <c r="D509" s="31">
        <f t="shared" si="63"/>
        <v>0.11320754716981132</v>
      </c>
      <c r="E509" s="31">
        <f t="shared" si="63"/>
        <v>0.77358490566037741</v>
      </c>
      <c r="F509" s="31">
        <f t="shared" si="63"/>
        <v>0.83333333333333337</v>
      </c>
      <c r="G509" s="31">
        <f t="shared" si="63"/>
        <v>0.65454545454545454</v>
      </c>
      <c r="H509" s="31">
        <f t="shared" si="63"/>
        <v>0.21818181818181817</v>
      </c>
      <c r="I509" s="32">
        <f>(B509+C509+D509+E509+F509+G509+H509)/7</f>
        <v>0.41235082178478405</v>
      </c>
      <c r="J509" s="52"/>
      <c r="K509" s="52"/>
    </row>
    <row r="510" spans="1:11" x14ac:dyDescent="0.3">
      <c r="A510" s="33" t="s">
        <v>16</v>
      </c>
      <c r="B510" s="16"/>
      <c r="C510" s="17"/>
      <c r="D510" s="16"/>
      <c r="E510" s="18"/>
      <c r="F510" s="16"/>
      <c r="G510" s="16"/>
      <c r="H510" s="16"/>
      <c r="I510" s="16"/>
      <c r="J510" s="16"/>
      <c r="K510" s="16"/>
    </row>
    <row r="511" spans="1:11" x14ac:dyDescent="0.3">
      <c r="A511" s="15" t="s">
        <v>17</v>
      </c>
      <c r="B511" s="28">
        <v>12145.367</v>
      </c>
      <c r="C511" s="28">
        <v>19973.012999999999</v>
      </c>
      <c r="D511" s="28">
        <v>12364.403499999999</v>
      </c>
      <c r="E511" s="28">
        <v>61315.427999999978</v>
      </c>
      <c r="F511" s="28">
        <v>71369.818999999989</v>
      </c>
      <c r="G511" s="28">
        <v>63288.222500000003</v>
      </c>
      <c r="H511" s="28">
        <v>13293.0885</v>
      </c>
      <c r="I511" s="19">
        <f>SUM(B511:H511)</f>
        <v>253749.34149999998</v>
      </c>
      <c r="J511" s="19"/>
      <c r="K511" s="19"/>
    </row>
    <row r="512" spans="1:11" x14ac:dyDescent="0.3">
      <c r="A512" s="15" t="s">
        <v>18</v>
      </c>
      <c r="B512" s="28">
        <v>13591.462299999999</v>
      </c>
      <c r="C512" s="28">
        <v>19974.800999999999</v>
      </c>
      <c r="D512" s="28">
        <v>35816.543300000005</v>
      </c>
      <c r="E512" s="28">
        <v>57043.684399999991</v>
      </c>
      <c r="F512" s="28">
        <v>65059.916700000002</v>
      </c>
      <c r="G512" s="28">
        <v>103446.34790000001</v>
      </c>
      <c r="H512" s="28">
        <v>28376.792300000005</v>
      </c>
      <c r="I512" s="19">
        <f>SUM(B512:H512)</f>
        <v>323309.54790000006</v>
      </c>
      <c r="J512" s="19"/>
      <c r="K512" s="19"/>
    </row>
    <row r="513" spans="1:11" x14ac:dyDescent="0.3">
      <c r="A513" s="15" t="s">
        <v>19</v>
      </c>
      <c r="B513" s="28">
        <v>9044.9164999999994</v>
      </c>
      <c r="C513" s="28">
        <v>12084.096800000001</v>
      </c>
      <c r="D513" s="28">
        <v>17173.884399999999</v>
      </c>
      <c r="E513" s="28">
        <v>38613.008199999997</v>
      </c>
      <c r="F513" s="28">
        <v>46268.825100000002</v>
      </c>
      <c r="G513" s="28">
        <v>51542.707400000007</v>
      </c>
      <c r="H513" s="28">
        <v>11152.2554</v>
      </c>
      <c r="I513" s="19">
        <f>SUM(B513:H513)</f>
        <v>185879.69380000001</v>
      </c>
      <c r="J513" s="19"/>
      <c r="K513" s="19"/>
    </row>
    <row r="514" spans="1:11" x14ac:dyDescent="0.3">
      <c r="A514" s="15" t="s">
        <v>21</v>
      </c>
      <c r="B514" s="28">
        <v>1065.0192</v>
      </c>
      <c r="C514" s="28">
        <v>1065.0192</v>
      </c>
      <c r="D514" s="28">
        <v>2082.2087999999999</v>
      </c>
      <c r="E514" s="28">
        <v>13271.014399999998</v>
      </c>
      <c r="F514" s="28">
        <v>15829.017199999998</v>
      </c>
      <c r="G514" s="28">
        <v>7840.1492000000007</v>
      </c>
      <c r="H514" s="28">
        <v>2592.0567999999998</v>
      </c>
      <c r="I514" s="19">
        <f>SUM(B514:H514)</f>
        <v>43744.484799999998</v>
      </c>
      <c r="J514" s="19"/>
      <c r="K514" s="19"/>
    </row>
    <row r="515" spans="1:11" ht="19.5" thickBot="1" x14ac:dyDescent="0.35">
      <c r="A515" s="15" t="s">
        <v>22</v>
      </c>
      <c r="B515" s="28">
        <v>813.68</v>
      </c>
      <c r="C515" s="28">
        <v>0</v>
      </c>
      <c r="D515" s="28">
        <v>0</v>
      </c>
      <c r="E515" s="28">
        <v>0</v>
      </c>
      <c r="F515" s="28">
        <v>0</v>
      </c>
      <c r="G515" s="28">
        <v>0</v>
      </c>
      <c r="H515" s="28">
        <v>0</v>
      </c>
      <c r="I515" s="19">
        <f>SUM(B515:H515)</f>
        <v>813.68</v>
      </c>
      <c r="J515" s="19"/>
      <c r="K515" s="19"/>
    </row>
    <row r="516" spans="1:11" ht="19.5" thickBot="1" x14ac:dyDescent="0.35">
      <c r="A516" s="20" t="s">
        <v>7</v>
      </c>
      <c r="B516" s="21">
        <f>SUM(B511:B515)</f>
        <v>36660.445</v>
      </c>
      <c r="C516" s="21">
        <f t="shared" ref="C516:H516" si="64">SUM(C511:C515)</f>
        <v>53096.93</v>
      </c>
      <c r="D516" s="21">
        <f t="shared" si="64"/>
        <v>67437.039999999994</v>
      </c>
      <c r="E516" s="21">
        <f t="shared" si="64"/>
        <v>170243.13499999995</v>
      </c>
      <c r="F516" s="21">
        <f t="shared" si="64"/>
        <v>198527.57799999998</v>
      </c>
      <c r="G516" s="21">
        <f t="shared" si="64"/>
        <v>226117.42700000005</v>
      </c>
      <c r="H516" s="21">
        <f t="shared" si="64"/>
        <v>55414.193000000007</v>
      </c>
      <c r="I516" s="21">
        <f>SUM(I511:I515)</f>
        <v>807496.74800000002</v>
      </c>
      <c r="J516" s="53"/>
      <c r="K516" s="53"/>
    </row>
    <row r="517" spans="1:11" ht="19.5" thickTop="1" x14ac:dyDescent="0.3">
      <c r="A517" s="22" t="s">
        <v>20</v>
      </c>
      <c r="B517" s="23">
        <f>7119.7*0.6</f>
        <v>4271.82</v>
      </c>
      <c r="C517" s="23">
        <f>11757.7*0.6</f>
        <v>7054.62</v>
      </c>
      <c r="D517" s="23">
        <f>58063.21*0.6</f>
        <v>34837.925999999999</v>
      </c>
      <c r="E517" s="23">
        <f>14503.88*0.6</f>
        <v>8702.3279999999995</v>
      </c>
      <c r="F517" s="23">
        <f>14849.69*0.6</f>
        <v>8909.8140000000003</v>
      </c>
      <c r="G517" s="23">
        <f>102690.95*0.6</f>
        <v>61614.569999999992</v>
      </c>
      <c r="H517" s="23">
        <f>22864.39*0.6</f>
        <v>13718.634</v>
      </c>
      <c r="I517" s="23">
        <f>SUM(B517:H517)</f>
        <v>139109.71199999997</v>
      </c>
      <c r="J517" s="23"/>
      <c r="K517" s="23"/>
    </row>
    <row r="518" spans="1:11" x14ac:dyDescent="0.3">
      <c r="A518" s="24" t="s">
        <v>25</v>
      </c>
      <c r="B518" s="23"/>
      <c r="C518" s="23"/>
      <c r="D518" s="23"/>
      <c r="E518" s="23"/>
      <c r="F518" s="23"/>
      <c r="G518" s="23"/>
      <c r="H518" s="23"/>
      <c r="I518" s="23"/>
      <c r="J518" s="23"/>
      <c r="K518" s="23"/>
    </row>
    <row r="519" spans="1:11" x14ac:dyDescent="0.3">
      <c r="A519" s="26" t="s">
        <v>23</v>
      </c>
      <c r="B519" s="23">
        <v>13018.714401952806</v>
      </c>
      <c r="C519" s="23">
        <v>13018.714401952806</v>
      </c>
      <c r="D519" s="23">
        <f>10000/1.229</f>
        <v>8136.6965012205037</v>
      </c>
      <c r="E519" s="23">
        <f>10000/1.229</f>
        <v>8136.6965012205037</v>
      </c>
      <c r="F519" s="23">
        <f>10000/1.229</f>
        <v>8136.6965012205037</v>
      </c>
      <c r="G519" s="23">
        <f>10000/1.229</f>
        <v>8136.6965012205037</v>
      </c>
      <c r="H519" s="23">
        <f>10000/1.229</f>
        <v>8136.6965012205037</v>
      </c>
      <c r="I519" s="23">
        <f>SUM(B519:H519)</f>
        <v>66720.91131000813</v>
      </c>
      <c r="J519" s="23"/>
      <c r="K519" s="23"/>
    </row>
    <row r="520" spans="1:11" ht="19.5" thickBot="1" x14ac:dyDescent="0.35">
      <c r="A520" s="27" t="s">
        <v>24</v>
      </c>
      <c r="B520" s="23">
        <v>0</v>
      </c>
      <c r="C520" s="23">
        <v>0</v>
      </c>
      <c r="D520" s="23">
        <v>0</v>
      </c>
      <c r="E520" s="23">
        <f>6000/1.229</f>
        <v>4882.0179007323022</v>
      </c>
      <c r="F520" s="23">
        <f>6000/1.229</f>
        <v>4882.0179007323022</v>
      </c>
      <c r="G520" s="23">
        <f>6000/1.229</f>
        <v>4882.0179007323022</v>
      </c>
      <c r="H520" s="23">
        <v>0</v>
      </c>
      <c r="I520" s="23">
        <f>SUM(B520:H520)</f>
        <v>14646.053702196907</v>
      </c>
      <c r="J520" s="23"/>
      <c r="K520" s="23"/>
    </row>
    <row r="523" spans="1:11" ht="17.45" customHeight="1" x14ac:dyDescent="0.3">
      <c r="A523" s="4" t="s">
        <v>57</v>
      </c>
      <c r="B523" s="5" t="s">
        <v>0</v>
      </c>
      <c r="C523" s="5" t="s">
        <v>1</v>
      </c>
      <c r="D523" s="5" t="s">
        <v>2</v>
      </c>
      <c r="E523" s="6" t="s">
        <v>3</v>
      </c>
      <c r="F523" s="5" t="s">
        <v>4</v>
      </c>
      <c r="G523" s="5" t="s">
        <v>5</v>
      </c>
      <c r="H523" s="5" t="s">
        <v>6</v>
      </c>
      <c r="I523" s="5" t="s">
        <v>7</v>
      </c>
      <c r="J523" s="11"/>
      <c r="K523" s="11"/>
    </row>
    <row r="524" spans="1:11" x14ac:dyDescent="0.3">
      <c r="A524" s="7"/>
      <c r="B524" s="8">
        <v>45418</v>
      </c>
      <c r="C524" s="8">
        <v>45419</v>
      </c>
      <c r="D524" s="8">
        <v>45420</v>
      </c>
      <c r="E524" s="8">
        <v>45421</v>
      </c>
      <c r="F524" s="8">
        <v>45422</v>
      </c>
      <c r="G524" s="8">
        <v>45423</v>
      </c>
      <c r="H524" s="8">
        <v>45424</v>
      </c>
      <c r="I524" s="9"/>
      <c r="J524" s="11"/>
      <c r="K524" s="11"/>
    </row>
    <row r="525" spans="1:11" ht="19.5" thickBot="1" x14ac:dyDescent="0.35">
      <c r="A525" s="10" t="s">
        <v>8</v>
      </c>
      <c r="B525" s="11" t="s">
        <v>9</v>
      </c>
      <c r="C525" s="11" t="s">
        <v>9</v>
      </c>
      <c r="D525" s="11" t="s">
        <v>9</v>
      </c>
      <c r="E525" s="11" t="s">
        <v>9</v>
      </c>
      <c r="F525" s="11" t="s">
        <v>9</v>
      </c>
      <c r="G525" s="11" t="s">
        <v>9</v>
      </c>
      <c r="H525" s="11" t="s">
        <v>9</v>
      </c>
      <c r="I525" s="12" t="s">
        <v>9</v>
      </c>
      <c r="J525" s="11"/>
      <c r="K525" s="11"/>
    </row>
    <row r="526" spans="1:11" x14ac:dyDescent="0.3">
      <c r="A526" s="13" t="s">
        <v>10</v>
      </c>
      <c r="B526" s="14">
        <f>55</f>
        <v>55</v>
      </c>
      <c r="C526" s="14">
        <f>55-2</f>
        <v>53</v>
      </c>
      <c r="D526" s="14">
        <f>55-2</f>
        <v>53</v>
      </c>
      <c r="E526" s="14">
        <v>55</v>
      </c>
      <c r="F526" s="14">
        <f>55</f>
        <v>55</v>
      </c>
      <c r="G526" s="14">
        <v>55</v>
      </c>
      <c r="H526" s="14">
        <v>55</v>
      </c>
      <c r="I526" s="14"/>
      <c r="J526" s="16"/>
      <c r="K526" s="16"/>
    </row>
    <row r="527" spans="1:11" x14ac:dyDescent="0.3">
      <c r="A527" s="15" t="s">
        <v>11</v>
      </c>
      <c r="B527" s="16">
        <v>1</v>
      </c>
      <c r="C527" s="16">
        <v>1</v>
      </c>
      <c r="D527" s="16">
        <v>2</v>
      </c>
      <c r="E527" s="16">
        <v>1</v>
      </c>
      <c r="F527" s="16">
        <v>3</v>
      </c>
      <c r="G527" s="16">
        <v>1</v>
      </c>
      <c r="H527" s="16">
        <v>1</v>
      </c>
      <c r="I527" s="16">
        <f>SUM(B527:H527)</f>
        <v>10</v>
      </c>
      <c r="J527" s="16"/>
      <c r="K527" s="16"/>
    </row>
    <row r="528" spans="1:11" x14ac:dyDescent="0.3">
      <c r="A528" s="15" t="s">
        <v>12</v>
      </c>
      <c r="B528" s="16">
        <v>11</v>
      </c>
      <c r="C528" s="16">
        <v>19</v>
      </c>
      <c r="D528" s="16">
        <v>22</v>
      </c>
      <c r="E528" s="16">
        <v>24</v>
      </c>
      <c r="F528" s="16">
        <v>14</v>
      </c>
      <c r="G528" s="16">
        <v>16</v>
      </c>
      <c r="H528" s="16">
        <v>10</v>
      </c>
      <c r="I528" s="16">
        <f>SUM(B528:H528)</f>
        <v>116</v>
      </c>
      <c r="J528" s="16"/>
      <c r="K528" s="16"/>
    </row>
    <row r="529" spans="1:11" x14ac:dyDescent="0.3">
      <c r="A529" s="15" t="s">
        <v>30</v>
      </c>
      <c r="B529" s="16">
        <v>0</v>
      </c>
      <c r="C529" s="16">
        <v>0</v>
      </c>
      <c r="D529" s="16">
        <v>0</v>
      </c>
      <c r="E529" s="16">
        <v>0</v>
      </c>
      <c r="F529" s="16">
        <v>0</v>
      </c>
      <c r="G529" s="16">
        <v>0</v>
      </c>
      <c r="H529" s="16">
        <v>0</v>
      </c>
      <c r="I529" s="16">
        <f>SUM(B529:H529)</f>
        <v>0</v>
      </c>
      <c r="J529" s="16"/>
      <c r="K529" s="16"/>
    </row>
    <row r="530" spans="1:11" x14ac:dyDescent="0.3">
      <c r="A530" s="15" t="s">
        <v>28</v>
      </c>
      <c r="B530" s="16">
        <v>17</v>
      </c>
      <c r="C530" s="16">
        <v>36</v>
      </c>
      <c r="D530" s="16">
        <v>23</v>
      </c>
      <c r="E530" s="16">
        <v>13</v>
      </c>
      <c r="F530" s="16">
        <v>15</v>
      </c>
      <c r="G530" s="16">
        <v>207</v>
      </c>
      <c r="H530" s="16">
        <v>79</v>
      </c>
      <c r="I530" s="16">
        <f t="shared" ref="I530:I536" si="65">B530+C530+D530+E530+F530+G530+H530</f>
        <v>390</v>
      </c>
      <c r="J530" s="16"/>
      <c r="K530" s="16"/>
    </row>
    <row r="531" spans="1:11" x14ac:dyDescent="0.3">
      <c r="A531" s="15" t="s">
        <v>29</v>
      </c>
      <c r="B531" s="16">
        <v>6</v>
      </c>
      <c r="C531" s="16">
        <v>0</v>
      </c>
      <c r="D531" s="16">
        <v>0</v>
      </c>
      <c r="E531" s="16">
        <v>0</v>
      </c>
      <c r="F531" s="16">
        <v>0</v>
      </c>
      <c r="G531" s="16">
        <v>28</v>
      </c>
      <c r="H531" s="16">
        <v>3</v>
      </c>
      <c r="I531" s="16">
        <f t="shared" si="65"/>
        <v>37</v>
      </c>
      <c r="J531" s="16"/>
      <c r="K531" s="16"/>
    </row>
    <row r="532" spans="1:11" x14ac:dyDescent="0.3">
      <c r="A532" s="15" t="s">
        <v>31</v>
      </c>
      <c r="B532" s="16">
        <v>1</v>
      </c>
      <c r="C532" s="16">
        <v>0</v>
      </c>
      <c r="D532" s="16">
        <v>1</v>
      </c>
      <c r="E532" s="16">
        <v>0</v>
      </c>
      <c r="F532" s="16">
        <v>0</v>
      </c>
      <c r="G532" s="16">
        <v>2</v>
      </c>
      <c r="H532" s="16">
        <v>16</v>
      </c>
      <c r="I532" s="16">
        <f t="shared" si="65"/>
        <v>20</v>
      </c>
      <c r="J532" s="16"/>
      <c r="K532" s="16"/>
    </row>
    <row r="533" spans="1:11" x14ac:dyDescent="0.3">
      <c r="A533" s="15" t="s">
        <v>13</v>
      </c>
      <c r="B533" s="16">
        <v>0</v>
      </c>
      <c r="C533" s="16">
        <v>0</v>
      </c>
      <c r="D533" s="16">
        <v>0</v>
      </c>
      <c r="E533" s="16">
        <v>0</v>
      </c>
      <c r="F533" s="16">
        <v>3</v>
      </c>
      <c r="G533" s="16">
        <v>0</v>
      </c>
      <c r="H533" s="16">
        <v>1</v>
      </c>
      <c r="I533" s="16">
        <f t="shared" si="65"/>
        <v>4</v>
      </c>
      <c r="J533" s="16"/>
      <c r="K533" s="16"/>
    </row>
    <row r="534" spans="1:11" x14ac:dyDescent="0.3">
      <c r="A534" s="15" t="s">
        <v>14</v>
      </c>
      <c r="B534" s="16">
        <v>0</v>
      </c>
      <c r="C534" s="16">
        <v>0</v>
      </c>
      <c r="D534" s="16">
        <v>0</v>
      </c>
      <c r="E534" s="16">
        <v>0</v>
      </c>
      <c r="F534" s="16">
        <v>0</v>
      </c>
      <c r="G534" s="16">
        <v>0</v>
      </c>
      <c r="H534" s="16">
        <v>0</v>
      </c>
      <c r="I534" s="16">
        <f t="shared" si="65"/>
        <v>0</v>
      </c>
      <c r="J534" s="16"/>
      <c r="K534" s="16"/>
    </row>
    <row r="535" spans="1:11" x14ac:dyDescent="0.3">
      <c r="A535" s="15" t="s">
        <v>32</v>
      </c>
      <c r="B535" s="16">
        <v>0</v>
      </c>
      <c r="C535" s="16">
        <v>0</v>
      </c>
      <c r="D535" s="16">
        <v>0</v>
      </c>
      <c r="E535" s="16">
        <v>2</v>
      </c>
      <c r="F535" s="16">
        <v>0</v>
      </c>
      <c r="G535" s="16">
        <v>0</v>
      </c>
      <c r="H535" s="16">
        <v>0</v>
      </c>
      <c r="I535" s="16">
        <f t="shared" si="65"/>
        <v>2</v>
      </c>
      <c r="J535" s="16"/>
      <c r="K535" s="16"/>
    </row>
    <row r="536" spans="1:11" x14ac:dyDescent="0.3">
      <c r="A536" s="15" t="s">
        <v>33</v>
      </c>
      <c r="B536" s="16">
        <v>0</v>
      </c>
      <c r="C536" s="16">
        <v>0</v>
      </c>
      <c r="D536" s="16">
        <v>0</v>
      </c>
      <c r="E536" s="16">
        <v>0</v>
      </c>
      <c r="F536" s="16">
        <v>0</v>
      </c>
      <c r="G536" s="16">
        <v>0</v>
      </c>
      <c r="H536" s="16">
        <v>0</v>
      </c>
      <c r="I536" s="16">
        <f t="shared" si="65"/>
        <v>0</v>
      </c>
      <c r="J536" s="16"/>
      <c r="K536" s="16"/>
    </row>
    <row r="537" spans="1:11" ht="19.5" thickBot="1" x14ac:dyDescent="0.35">
      <c r="A537" s="30" t="s">
        <v>15</v>
      </c>
      <c r="B537" s="31">
        <f t="shared" ref="B537:H537" si="66">(B528+B527)/B526*100%</f>
        <v>0.21818181818181817</v>
      </c>
      <c r="C537" s="31">
        <f t="shared" si="66"/>
        <v>0.37735849056603776</v>
      </c>
      <c r="D537" s="31">
        <f t="shared" si="66"/>
        <v>0.45283018867924529</v>
      </c>
      <c r="E537" s="31">
        <f t="shared" si="66"/>
        <v>0.45454545454545453</v>
      </c>
      <c r="F537" s="31">
        <f t="shared" si="66"/>
        <v>0.30909090909090908</v>
      </c>
      <c r="G537" s="31">
        <f t="shared" si="66"/>
        <v>0.30909090909090908</v>
      </c>
      <c r="H537" s="31">
        <f t="shared" si="66"/>
        <v>0.2</v>
      </c>
      <c r="I537" s="32">
        <f>(B537+C537+D537+E537+F537+G537+H537)/7</f>
        <v>0.33158539573633916</v>
      </c>
      <c r="J537" s="52"/>
      <c r="K537" s="52"/>
    </row>
    <row r="538" spans="1:11" x14ac:dyDescent="0.3">
      <c r="A538" s="33" t="s">
        <v>16</v>
      </c>
      <c r="B538" s="16"/>
      <c r="C538" s="17"/>
      <c r="D538" s="16"/>
      <c r="E538" s="18"/>
      <c r="F538" s="16"/>
      <c r="G538" s="16"/>
      <c r="H538" s="16"/>
      <c r="I538" s="16"/>
      <c r="J538" s="16"/>
      <c r="K538" s="16"/>
    </row>
    <row r="539" spans="1:11" x14ac:dyDescent="0.3">
      <c r="A539" s="15" t="s">
        <v>17</v>
      </c>
      <c r="B539" s="28">
        <v>13293.0885</v>
      </c>
      <c r="C539" s="28">
        <v>31252.8315</v>
      </c>
      <c r="D539" s="28">
        <v>31418.233</v>
      </c>
      <c r="E539" s="28">
        <v>43643.610500000003</v>
      </c>
      <c r="F539" s="28">
        <v>31636.618999999999</v>
      </c>
      <c r="G539" s="28">
        <v>35319.301999999996</v>
      </c>
      <c r="H539" s="28">
        <v>16912.4375</v>
      </c>
      <c r="I539" s="19">
        <f>SUM(B539:H539)</f>
        <v>203476.122</v>
      </c>
      <c r="J539" s="19"/>
      <c r="K539" s="19"/>
    </row>
    <row r="540" spans="1:11" x14ac:dyDescent="0.3">
      <c r="A540" s="15" t="s">
        <v>18</v>
      </c>
      <c r="B540" s="28">
        <v>15162.6253</v>
      </c>
      <c r="C540" s="28">
        <v>34323.011700000003</v>
      </c>
      <c r="D540" s="28">
        <v>29610.857900000003</v>
      </c>
      <c r="E540" s="28">
        <v>31372.02120000001</v>
      </c>
      <c r="F540" s="28">
        <v>32270.368699999999</v>
      </c>
      <c r="G540" s="28">
        <v>56868.149399999995</v>
      </c>
      <c r="H540" s="28">
        <v>33905.869900000005</v>
      </c>
      <c r="I540" s="19">
        <f>SUM(B540:H540)</f>
        <v>233512.90409999999</v>
      </c>
      <c r="J540" s="19"/>
      <c r="K540" s="19"/>
    </row>
    <row r="541" spans="1:11" x14ac:dyDescent="0.3">
      <c r="A541" s="15" t="s">
        <v>19</v>
      </c>
      <c r="B541" s="28">
        <v>9276.536399999999</v>
      </c>
      <c r="C541" s="28">
        <v>21809.050600000002</v>
      </c>
      <c r="D541" s="28">
        <v>28192.292699999998</v>
      </c>
      <c r="E541" s="28">
        <v>46433.874500000005</v>
      </c>
      <c r="F541" s="28">
        <v>22013.8681</v>
      </c>
      <c r="G541" s="28">
        <v>32453.061599999994</v>
      </c>
      <c r="H541" s="28">
        <v>20960.813399999999</v>
      </c>
      <c r="I541" s="19">
        <f>SUM(B541:H541)</f>
        <v>181139.49729999999</v>
      </c>
      <c r="J541" s="19"/>
      <c r="K541" s="19"/>
    </row>
    <row r="542" spans="1:11" x14ac:dyDescent="0.3">
      <c r="A542" s="15" t="s">
        <v>21</v>
      </c>
      <c r="B542" s="28">
        <v>2592.0567999999998</v>
      </c>
      <c r="C542" s="28">
        <v>5655.6232000000009</v>
      </c>
      <c r="D542" s="28">
        <v>7181.3104000000003</v>
      </c>
      <c r="E542" s="28">
        <v>7610.488800000001</v>
      </c>
      <c r="F542" s="28">
        <v>13918.555199999999</v>
      </c>
      <c r="G542" s="28">
        <v>0</v>
      </c>
      <c r="H542" s="28">
        <v>3690.8712</v>
      </c>
      <c r="I542" s="19">
        <f>SUM(B542:H542)</f>
        <v>40648.905600000006</v>
      </c>
      <c r="J542" s="19"/>
      <c r="K542" s="19"/>
    </row>
    <row r="543" spans="1:11" ht="19.5" thickBot="1" x14ac:dyDescent="0.35">
      <c r="A543" s="15" t="s">
        <v>22</v>
      </c>
      <c r="B543" s="28">
        <v>0</v>
      </c>
      <c r="C543" s="28">
        <v>0</v>
      </c>
      <c r="D543" s="28">
        <v>0</v>
      </c>
      <c r="E543" s="28">
        <v>7500</v>
      </c>
      <c r="F543" s="28">
        <v>0</v>
      </c>
      <c r="G543" s="28">
        <v>0</v>
      </c>
      <c r="H543" s="28">
        <v>0</v>
      </c>
      <c r="I543" s="19">
        <f>SUM(B543:H543)</f>
        <v>7500</v>
      </c>
      <c r="J543" s="19"/>
      <c r="K543" s="19"/>
    </row>
    <row r="544" spans="1:11" ht="19.5" thickBot="1" x14ac:dyDescent="0.35">
      <c r="A544" s="20" t="s">
        <v>7</v>
      </c>
      <c r="B544" s="21">
        <f>SUM(B539:B543)</f>
        <v>40324.306999999993</v>
      </c>
      <c r="C544" s="21">
        <f>SUM(C539:C543)</f>
        <v>93040.517000000007</v>
      </c>
      <c r="D544" s="21">
        <f t="shared" ref="D544:H544" si="67">SUM(D539:D543)</f>
        <v>96402.694000000003</v>
      </c>
      <c r="E544" s="21">
        <f t="shared" si="67"/>
        <v>136559.99500000002</v>
      </c>
      <c r="F544" s="21">
        <f t="shared" si="67"/>
        <v>99839.410999999993</v>
      </c>
      <c r="G544" s="21">
        <f t="shared" si="67"/>
        <v>124640.51299999998</v>
      </c>
      <c r="H544" s="21">
        <f t="shared" si="67"/>
        <v>75469.991999999998</v>
      </c>
      <c r="I544" s="21">
        <f>SUM(I539:I543)</f>
        <v>666277.42900000012</v>
      </c>
      <c r="J544" s="53"/>
      <c r="K544" s="53"/>
    </row>
    <row r="545" spans="1:11" ht="19.5" thickTop="1" x14ac:dyDescent="0.3">
      <c r="A545" s="22" t="s">
        <v>20</v>
      </c>
      <c r="B545" s="23">
        <f>10496.53*0.6</f>
        <v>6297.9180000000006</v>
      </c>
      <c r="C545" s="23">
        <f>19040.21*0.6</f>
        <v>11424.125999999998</v>
      </c>
      <c r="D545" s="23">
        <f>9947.27*0.6</f>
        <v>5968.3620000000001</v>
      </c>
      <c r="E545" s="23">
        <f>6875.64*0.6</f>
        <v>4125.384</v>
      </c>
      <c r="F545" s="23">
        <f>8787.75*0.6</f>
        <v>5272.65</v>
      </c>
      <c r="G545" s="23">
        <f>72126.86*0.6</f>
        <v>43276.116000000002</v>
      </c>
      <c r="H545" s="23">
        <f>41703.35*0.6</f>
        <v>25022.01</v>
      </c>
      <c r="I545" s="23">
        <f>SUM(B545:H545)</f>
        <v>101386.56600000001</v>
      </c>
      <c r="J545" s="23"/>
      <c r="K545" s="23"/>
    </row>
    <row r="546" spans="1:11" x14ac:dyDescent="0.3">
      <c r="A546" s="24" t="s">
        <v>25</v>
      </c>
      <c r="B546" s="25"/>
      <c r="C546" s="25"/>
      <c r="D546" s="25"/>
      <c r="E546" s="25"/>
      <c r="F546" s="25"/>
      <c r="G546" s="25"/>
      <c r="H546" s="25"/>
      <c r="I546" s="25"/>
      <c r="J546" s="25"/>
      <c r="K546" s="25"/>
    </row>
    <row r="547" spans="1:11" x14ac:dyDescent="0.3">
      <c r="A547" s="26" t="s">
        <v>23</v>
      </c>
      <c r="B547" s="25">
        <f t="shared" ref="B547:H547" si="68">10000/1.229</f>
        <v>8136.6965012205037</v>
      </c>
      <c r="C547" s="25">
        <f t="shared" si="68"/>
        <v>8136.6965012205037</v>
      </c>
      <c r="D547" s="25">
        <f t="shared" si="68"/>
        <v>8136.6965012205037</v>
      </c>
      <c r="E547" s="25">
        <f t="shared" si="68"/>
        <v>8136.6965012205037</v>
      </c>
      <c r="F547" s="25">
        <f t="shared" si="68"/>
        <v>8136.6965012205037</v>
      </c>
      <c r="G547" s="25">
        <f t="shared" si="68"/>
        <v>8136.6965012205037</v>
      </c>
      <c r="H547" s="25">
        <f t="shared" si="68"/>
        <v>8136.6965012205037</v>
      </c>
      <c r="I547" s="25">
        <f>SUM(B547:H547)</f>
        <v>56956.875508543526</v>
      </c>
      <c r="J547" s="25"/>
      <c r="K547" s="25"/>
    </row>
    <row r="548" spans="1:11" ht="19.5" thickBot="1" x14ac:dyDescent="0.35">
      <c r="A548" s="27" t="s">
        <v>24</v>
      </c>
      <c r="B548" s="25">
        <v>0</v>
      </c>
      <c r="C548" s="25">
        <v>0</v>
      </c>
      <c r="D548" s="25">
        <f>6000/1.229</f>
        <v>4882.0179007323022</v>
      </c>
      <c r="E548" s="25">
        <v>0</v>
      </c>
      <c r="F548" s="25">
        <f>16000/1.22</f>
        <v>13114.754098360656</v>
      </c>
      <c r="G548" s="25">
        <v>0</v>
      </c>
      <c r="H548" s="25">
        <v>0</v>
      </c>
      <c r="I548" s="25">
        <f>SUM(B548:H548)</f>
        <v>17996.771999092958</v>
      </c>
      <c r="J548" s="25"/>
      <c r="K548" s="25"/>
    </row>
    <row r="552" spans="1:11" ht="17.45" customHeight="1" x14ac:dyDescent="0.3">
      <c r="A552" s="4" t="s">
        <v>58</v>
      </c>
      <c r="B552" s="5" t="s">
        <v>0</v>
      </c>
      <c r="C552" s="5" t="s">
        <v>1</v>
      </c>
      <c r="D552" s="5" t="s">
        <v>2</v>
      </c>
      <c r="E552" s="6" t="s">
        <v>3</v>
      </c>
      <c r="F552" s="5" t="s">
        <v>4</v>
      </c>
      <c r="G552" s="5" t="s">
        <v>5</v>
      </c>
      <c r="H552" s="5" t="s">
        <v>6</v>
      </c>
      <c r="I552" s="5" t="s">
        <v>7</v>
      </c>
      <c r="J552" s="11"/>
      <c r="K552" s="11"/>
    </row>
    <row r="553" spans="1:11" x14ac:dyDescent="0.3">
      <c r="A553" s="7"/>
      <c r="B553" s="8">
        <v>45425</v>
      </c>
      <c r="C553" s="8">
        <v>45426</v>
      </c>
      <c r="D553" s="8">
        <v>45427</v>
      </c>
      <c r="E553" s="8">
        <v>45428</v>
      </c>
      <c r="F553" s="8">
        <v>45429</v>
      </c>
      <c r="G553" s="8">
        <v>45430</v>
      </c>
      <c r="H553" s="8">
        <v>45431</v>
      </c>
      <c r="I553" s="9"/>
      <c r="J553" s="11"/>
      <c r="K553" s="11"/>
    </row>
    <row r="554" spans="1:11" ht="19.5" thickBot="1" x14ac:dyDescent="0.35">
      <c r="A554" s="10" t="s">
        <v>8</v>
      </c>
      <c r="B554" s="11" t="s">
        <v>9</v>
      </c>
      <c r="C554" s="11" t="s">
        <v>9</v>
      </c>
      <c r="D554" s="11" t="s">
        <v>9</v>
      </c>
      <c r="E554" s="11" t="s">
        <v>9</v>
      </c>
      <c r="F554" s="11" t="s">
        <v>9</v>
      </c>
      <c r="G554" s="11" t="s">
        <v>9</v>
      </c>
      <c r="H554" s="11" t="s">
        <v>9</v>
      </c>
      <c r="I554" s="12" t="s">
        <v>9</v>
      </c>
      <c r="J554" s="11"/>
      <c r="K554" s="11"/>
    </row>
    <row r="555" spans="1:11" x14ac:dyDescent="0.3">
      <c r="A555" s="13" t="s">
        <v>10</v>
      </c>
      <c r="B555" s="14">
        <f>55</f>
        <v>55</v>
      </c>
      <c r="C555" s="14">
        <f>55</f>
        <v>55</v>
      </c>
      <c r="D555" s="14">
        <v>55</v>
      </c>
      <c r="E555" s="14">
        <v>55</v>
      </c>
      <c r="F555" s="14">
        <f>55-1</f>
        <v>54</v>
      </c>
      <c r="G555" s="14">
        <v>54</v>
      </c>
      <c r="H555" s="14">
        <v>54</v>
      </c>
      <c r="I555" s="14"/>
      <c r="J555" s="16"/>
      <c r="K555" s="16"/>
    </row>
    <row r="556" spans="1:11" x14ac:dyDescent="0.3">
      <c r="A556" s="15" t="s">
        <v>11</v>
      </c>
      <c r="B556" s="16">
        <v>1</v>
      </c>
      <c r="C556" s="16">
        <v>1</v>
      </c>
      <c r="D556" s="16">
        <v>1</v>
      </c>
      <c r="E556" s="16">
        <v>2</v>
      </c>
      <c r="F556" s="16">
        <v>4</v>
      </c>
      <c r="G556" s="16">
        <v>3</v>
      </c>
      <c r="H556" s="16">
        <v>1</v>
      </c>
      <c r="I556" s="16">
        <f>SUM(B556:H556)</f>
        <v>13</v>
      </c>
      <c r="J556" s="16"/>
      <c r="K556" s="16"/>
    </row>
    <row r="557" spans="1:11" x14ac:dyDescent="0.3">
      <c r="A557" s="15" t="s">
        <v>12</v>
      </c>
      <c r="B557" s="16">
        <v>54</v>
      </c>
      <c r="C557" s="16">
        <v>51</v>
      </c>
      <c r="D557" s="16">
        <v>53</v>
      </c>
      <c r="E557" s="16">
        <v>51</v>
      </c>
      <c r="F557" s="16">
        <v>20</v>
      </c>
      <c r="G557" s="16">
        <v>25</v>
      </c>
      <c r="H557" s="16">
        <v>6</v>
      </c>
      <c r="I557" s="16">
        <f>SUM(B557:H557)</f>
        <v>260</v>
      </c>
      <c r="J557" s="16"/>
      <c r="K557" s="16"/>
    </row>
    <row r="558" spans="1:11" x14ac:dyDescent="0.3">
      <c r="A558" s="15" t="s">
        <v>30</v>
      </c>
      <c r="B558" s="16">
        <v>0</v>
      </c>
      <c r="C558" s="16">
        <v>0</v>
      </c>
      <c r="D558" s="16">
        <v>0</v>
      </c>
      <c r="E558" s="16">
        <v>0</v>
      </c>
      <c r="F558" s="16">
        <v>0</v>
      </c>
      <c r="G558" s="16">
        <v>0</v>
      </c>
      <c r="H558" s="16">
        <v>1</v>
      </c>
      <c r="I558" s="16">
        <f>SUM(B558:H558)</f>
        <v>1</v>
      </c>
      <c r="J558" s="16"/>
      <c r="K558" s="16"/>
    </row>
    <row r="559" spans="1:11" x14ac:dyDescent="0.3">
      <c r="A559" s="15" t="s">
        <v>28</v>
      </c>
      <c r="B559" s="16">
        <v>2</v>
      </c>
      <c r="C559" s="16">
        <v>4</v>
      </c>
      <c r="D559" s="16">
        <v>20</v>
      </c>
      <c r="E559" s="16">
        <v>9</v>
      </c>
      <c r="F559" s="16">
        <v>23</v>
      </c>
      <c r="G559" s="16">
        <v>205</v>
      </c>
      <c r="H559" s="16">
        <v>31</v>
      </c>
      <c r="I559" s="16">
        <f t="shared" ref="I559:I565" si="69">B559+C559+D559+E559+F559+G559+H559</f>
        <v>294</v>
      </c>
      <c r="J559" s="16"/>
      <c r="K559" s="16"/>
    </row>
    <row r="560" spans="1:11" x14ac:dyDescent="0.3">
      <c r="A560" s="15" t="s">
        <v>29</v>
      </c>
      <c r="B560" s="16">
        <v>0</v>
      </c>
      <c r="C560" s="16">
        <v>0</v>
      </c>
      <c r="D560" s="16">
        <v>0</v>
      </c>
      <c r="E560" s="16">
        <v>0</v>
      </c>
      <c r="F560" s="16">
        <v>0</v>
      </c>
      <c r="G560" s="16">
        <v>21</v>
      </c>
      <c r="H560" s="16">
        <v>7</v>
      </c>
      <c r="I560" s="16">
        <f t="shared" si="69"/>
        <v>28</v>
      </c>
      <c r="J560" s="16"/>
      <c r="K560" s="16"/>
    </row>
    <row r="561" spans="1:11" x14ac:dyDescent="0.3">
      <c r="A561" s="15" t="s">
        <v>31</v>
      </c>
      <c r="B561" s="16">
        <v>0</v>
      </c>
      <c r="C561" s="16">
        <v>0</v>
      </c>
      <c r="D561" s="16">
        <v>0</v>
      </c>
      <c r="E561" s="16">
        <v>0</v>
      </c>
      <c r="F561" s="16">
        <v>0</v>
      </c>
      <c r="G561" s="16">
        <v>0</v>
      </c>
      <c r="H561" s="16">
        <v>0</v>
      </c>
      <c r="I561" s="16">
        <f t="shared" si="69"/>
        <v>0</v>
      </c>
      <c r="J561" s="16"/>
      <c r="K561" s="16"/>
    </row>
    <row r="562" spans="1:11" x14ac:dyDescent="0.3">
      <c r="A562" s="15" t="s">
        <v>13</v>
      </c>
      <c r="B562" s="16">
        <v>0</v>
      </c>
      <c r="C562" s="16">
        <v>2</v>
      </c>
      <c r="D562" s="16">
        <v>0</v>
      </c>
      <c r="E562" s="16">
        <v>0</v>
      </c>
      <c r="F562" s="16">
        <v>0</v>
      </c>
      <c r="G562" s="16">
        <v>0</v>
      </c>
      <c r="H562" s="16">
        <v>0</v>
      </c>
      <c r="I562" s="16">
        <f t="shared" si="69"/>
        <v>2</v>
      </c>
      <c r="J562" s="16"/>
      <c r="K562" s="16"/>
    </row>
    <row r="563" spans="1:11" x14ac:dyDescent="0.3">
      <c r="A563" s="15" t="s">
        <v>14</v>
      </c>
      <c r="B563" s="16">
        <v>0</v>
      </c>
      <c r="C563" s="16">
        <v>0</v>
      </c>
      <c r="D563" s="16">
        <v>0</v>
      </c>
      <c r="E563" s="16">
        <v>0</v>
      </c>
      <c r="F563" s="16">
        <v>0</v>
      </c>
      <c r="G563" s="16">
        <v>0</v>
      </c>
      <c r="H563" s="16">
        <v>0</v>
      </c>
      <c r="I563" s="16">
        <f t="shared" si="69"/>
        <v>0</v>
      </c>
      <c r="J563" s="16"/>
      <c r="K563" s="16"/>
    </row>
    <row r="564" spans="1:11" x14ac:dyDescent="0.3">
      <c r="A564" s="15" t="s">
        <v>32</v>
      </c>
      <c r="B564" s="16">
        <v>0</v>
      </c>
      <c r="C564" s="16">
        <v>0</v>
      </c>
      <c r="D564" s="16">
        <v>0</v>
      </c>
      <c r="E564" s="16">
        <v>0</v>
      </c>
      <c r="F564" s="16">
        <v>0</v>
      </c>
      <c r="G564" s="16">
        <v>0</v>
      </c>
      <c r="H564" s="16">
        <v>0</v>
      </c>
      <c r="I564" s="16">
        <f t="shared" si="69"/>
        <v>0</v>
      </c>
      <c r="J564" s="16"/>
      <c r="K564" s="16"/>
    </row>
    <row r="565" spans="1:11" x14ac:dyDescent="0.3">
      <c r="A565" s="15" t="s">
        <v>33</v>
      </c>
      <c r="B565" s="16">
        <v>0</v>
      </c>
      <c r="C565" s="16">
        <v>0</v>
      </c>
      <c r="D565" s="16">
        <v>0</v>
      </c>
      <c r="E565" s="16">
        <v>0</v>
      </c>
      <c r="F565" s="16">
        <v>0</v>
      </c>
      <c r="G565" s="16">
        <v>0</v>
      </c>
      <c r="H565" s="16">
        <v>0</v>
      </c>
      <c r="I565" s="16">
        <f t="shared" si="69"/>
        <v>0</v>
      </c>
      <c r="J565" s="16"/>
      <c r="K565" s="16"/>
    </row>
    <row r="566" spans="1:11" ht="19.5" thickBot="1" x14ac:dyDescent="0.35">
      <c r="A566" s="30" t="s">
        <v>15</v>
      </c>
      <c r="B566" s="31">
        <f t="shared" ref="B566:H566" si="70">(B557+B556)/B555*100%</f>
        <v>1</v>
      </c>
      <c r="C566" s="31">
        <f t="shared" si="70"/>
        <v>0.94545454545454544</v>
      </c>
      <c r="D566" s="31">
        <f t="shared" si="70"/>
        <v>0.98181818181818181</v>
      </c>
      <c r="E566" s="31">
        <f t="shared" si="70"/>
        <v>0.96363636363636362</v>
      </c>
      <c r="F566" s="31">
        <f t="shared" si="70"/>
        <v>0.44444444444444442</v>
      </c>
      <c r="G566" s="31">
        <f t="shared" si="70"/>
        <v>0.51851851851851849</v>
      </c>
      <c r="H566" s="31">
        <f t="shared" si="70"/>
        <v>0.12962962962962962</v>
      </c>
      <c r="I566" s="32">
        <f>(B566+C566+D566+E566+F566+G566+H566)/7</f>
        <v>0.71192881192881186</v>
      </c>
      <c r="J566" s="52"/>
      <c r="K566" s="52"/>
    </row>
    <row r="567" spans="1:11" x14ac:dyDescent="0.3">
      <c r="A567" s="33" t="s">
        <v>16</v>
      </c>
      <c r="B567" s="16"/>
      <c r="C567" s="17"/>
      <c r="D567" s="16"/>
      <c r="E567" s="18"/>
      <c r="F567" s="16"/>
      <c r="G567" s="16"/>
      <c r="H567" s="16"/>
      <c r="I567" s="16"/>
      <c r="J567" s="16"/>
      <c r="K567" s="16"/>
    </row>
    <row r="568" spans="1:11" x14ac:dyDescent="0.3">
      <c r="A568" s="15" t="s">
        <v>17</v>
      </c>
      <c r="B568" s="28">
        <v>91596.711500000005</v>
      </c>
      <c r="C568" s="28">
        <v>104756.86900000001</v>
      </c>
      <c r="D568" s="28">
        <v>109688.73299999999</v>
      </c>
      <c r="E568" s="28">
        <v>105628.67699999998</v>
      </c>
      <c r="F568" s="28">
        <v>61222.96</v>
      </c>
      <c r="G568" s="28">
        <v>81514.146999999997</v>
      </c>
      <c r="H568" s="28">
        <v>39896.934499999996</v>
      </c>
      <c r="I568" s="19">
        <f>SUM(B568:H568)</f>
        <v>594305.03199999989</v>
      </c>
      <c r="J568" s="19"/>
      <c r="K568" s="19"/>
    </row>
    <row r="569" spans="1:11" x14ac:dyDescent="0.3">
      <c r="A569" s="15" t="s">
        <v>18</v>
      </c>
      <c r="B569" s="28">
        <v>73753.370200000019</v>
      </c>
      <c r="C569" s="28">
        <v>85013.794700000013</v>
      </c>
      <c r="D569" s="28">
        <v>92511.036900000006</v>
      </c>
      <c r="E569" s="28">
        <v>87710.040600000008</v>
      </c>
      <c r="F569" s="28">
        <v>53778.854300000006</v>
      </c>
      <c r="G569" s="28">
        <v>103807.95190000001</v>
      </c>
      <c r="H569" s="28">
        <v>33109.628600000004</v>
      </c>
      <c r="I569" s="19">
        <f>SUM(B569:H569)</f>
        <v>529684.67720000015</v>
      </c>
      <c r="J569" s="19"/>
      <c r="K569" s="19"/>
    </row>
    <row r="570" spans="1:11" x14ac:dyDescent="0.3">
      <c r="A570" s="15" t="s">
        <v>19</v>
      </c>
      <c r="B570" s="28">
        <v>65582.576100000006</v>
      </c>
      <c r="C570" s="28">
        <v>94788.931100000002</v>
      </c>
      <c r="D570" s="28">
        <v>72023.185700000002</v>
      </c>
      <c r="E570" s="28">
        <v>93398.506800000003</v>
      </c>
      <c r="F570" s="28">
        <v>35668.333299999998</v>
      </c>
      <c r="G570" s="28">
        <v>59979.0461</v>
      </c>
      <c r="H570" s="28">
        <v>23158.703300000001</v>
      </c>
      <c r="I570" s="19">
        <f>SUM(B570:H570)</f>
        <v>444599.28239999997</v>
      </c>
      <c r="J570" s="19"/>
      <c r="K570" s="19"/>
    </row>
    <row r="571" spans="1:11" x14ac:dyDescent="0.3">
      <c r="A571" s="15" t="s">
        <v>21</v>
      </c>
      <c r="B571" s="28">
        <v>20936.391200000002</v>
      </c>
      <c r="C571" s="28">
        <v>23944.427200000002</v>
      </c>
      <c r="D571" s="28">
        <v>25071.7104</v>
      </c>
      <c r="E571" s="28">
        <v>58249.889599999995</v>
      </c>
      <c r="F571" s="28">
        <v>8034.8543999999993</v>
      </c>
      <c r="G571" s="28">
        <v>7595.4319999999998</v>
      </c>
      <c r="H571" s="28">
        <v>439.38160000000005</v>
      </c>
      <c r="I571" s="19">
        <f>SUM(B571:H571)</f>
        <v>144272.0864</v>
      </c>
      <c r="J571" s="19"/>
      <c r="K571" s="19"/>
    </row>
    <row r="572" spans="1:11" ht="19.5" thickBot="1" x14ac:dyDescent="0.35">
      <c r="A572" s="15" t="s">
        <v>22</v>
      </c>
      <c r="B572" s="28">
        <v>0</v>
      </c>
      <c r="C572" s="28">
        <v>0</v>
      </c>
      <c r="D572" s="28">
        <v>0</v>
      </c>
      <c r="E572" s="28">
        <v>0</v>
      </c>
      <c r="F572" s="28">
        <v>2500</v>
      </c>
      <c r="G572" s="28">
        <v>0</v>
      </c>
      <c r="H572" s="28">
        <v>0</v>
      </c>
      <c r="I572" s="19">
        <f>SUM(B572:H572)</f>
        <v>2500</v>
      </c>
      <c r="J572" s="19"/>
      <c r="K572" s="19"/>
    </row>
    <row r="573" spans="1:11" ht="19.5" thickBot="1" x14ac:dyDescent="0.35">
      <c r="A573" s="20" t="s">
        <v>7</v>
      </c>
      <c r="B573" s="21">
        <f>SUM(B568:B572)</f>
        <v>251869.04900000006</v>
      </c>
      <c r="C573" s="21">
        <f>SUM(C568:C572)</f>
        <v>308504.022</v>
      </c>
      <c r="D573" s="21">
        <f t="shared" ref="D573:H573" si="71">SUM(D568:D572)</f>
        <v>299294.66599999997</v>
      </c>
      <c r="E573" s="21">
        <f t="shared" si="71"/>
        <v>344987.11399999994</v>
      </c>
      <c r="F573" s="21">
        <f t="shared" si="71"/>
        <v>161205.00200000001</v>
      </c>
      <c r="G573" s="21">
        <f t="shared" si="71"/>
        <v>252896.57700000002</v>
      </c>
      <c r="H573" s="21">
        <f t="shared" si="71"/>
        <v>96604.647999999986</v>
      </c>
      <c r="I573" s="21">
        <f>SUM(I568:I572)</f>
        <v>1715361.0779999997</v>
      </c>
      <c r="J573" s="53"/>
      <c r="K573" s="53"/>
    </row>
    <row r="574" spans="1:11" ht="19.5" thickTop="1" x14ac:dyDescent="0.3">
      <c r="A574" s="22" t="s">
        <v>20</v>
      </c>
      <c r="B574" s="23">
        <f>1057.78*0.6</f>
        <v>634.66800000000001</v>
      </c>
      <c r="C574" s="23">
        <f>2685.11*0.6</f>
        <v>1611.066</v>
      </c>
      <c r="D574" s="23">
        <f>10577.89*0.6</f>
        <v>6346.7339999999995</v>
      </c>
      <c r="E574" s="23">
        <f>4760.06*0.6</f>
        <v>2856.0360000000001</v>
      </c>
      <c r="F574" s="23">
        <f>11371.23*0.6</f>
        <v>6822.7379999999994</v>
      </c>
      <c r="G574" s="23">
        <f>92522.15*0.6</f>
        <v>55513.289999999994</v>
      </c>
      <c r="H574" s="23">
        <f>17819.7*0.6</f>
        <v>10691.82</v>
      </c>
      <c r="I574" s="23">
        <f>SUM(B574:H574)</f>
        <v>84476.351999999984</v>
      </c>
      <c r="J574" s="23"/>
      <c r="K574" s="23"/>
    </row>
    <row r="575" spans="1:11" x14ac:dyDescent="0.3">
      <c r="A575" s="24" t="s">
        <v>25</v>
      </c>
      <c r="B575" s="25"/>
      <c r="C575" s="25"/>
      <c r="D575" s="25"/>
      <c r="E575" s="25"/>
      <c r="F575" s="25"/>
      <c r="G575" s="25"/>
      <c r="H575" s="25"/>
      <c r="I575" s="25"/>
      <c r="J575" s="25"/>
      <c r="K575" s="25"/>
    </row>
    <row r="576" spans="1:11" x14ac:dyDescent="0.3">
      <c r="A576" s="26" t="s">
        <v>23</v>
      </c>
      <c r="B576" s="25">
        <f t="shared" ref="B576:H576" si="72">10000/1.229</f>
        <v>8136.6965012205037</v>
      </c>
      <c r="C576" s="25">
        <f t="shared" si="72"/>
        <v>8136.6965012205037</v>
      </c>
      <c r="D576" s="25">
        <f t="shared" si="72"/>
        <v>8136.6965012205037</v>
      </c>
      <c r="E576" s="25">
        <f t="shared" si="72"/>
        <v>8136.6965012205037</v>
      </c>
      <c r="F576" s="25">
        <f t="shared" si="72"/>
        <v>8136.6965012205037</v>
      </c>
      <c r="G576" s="25">
        <f t="shared" si="72"/>
        <v>8136.6965012205037</v>
      </c>
      <c r="H576" s="25">
        <f t="shared" si="72"/>
        <v>8136.6965012205037</v>
      </c>
      <c r="I576" s="25">
        <f>SUM(B576:H576)</f>
        <v>56956.875508543526</v>
      </c>
      <c r="J576" s="25"/>
      <c r="K576" s="25"/>
    </row>
    <row r="577" spans="1:11" ht="19.5" thickBot="1" x14ac:dyDescent="0.35">
      <c r="A577" s="27" t="s">
        <v>24</v>
      </c>
      <c r="B577" s="25">
        <v>0</v>
      </c>
      <c r="C577" s="25">
        <v>0</v>
      </c>
      <c r="D577" s="25">
        <v>0</v>
      </c>
      <c r="E577" s="25">
        <f>6000/1.229</f>
        <v>4882.0179007323022</v>
      </c>
      <c r="F577" s="25">
        <f>(10000+6000+6000)/1.229</f>
        <v>17900.732302685108</v>
      </c>
      <c r="G577" s="25">
        <v>9764.0400000000009</v>
      </c>
      <c r="H577" s="25">
        <v>0</v>
      </c>
      <c r="I577" s="25">
        <f>SUM(B577:H577)</f>
        <v>32546.790203417411</v>
      </c>
      <c r="J577" s="25"/>
      <c r="K577" s="25"/>
    </row>
    <row r="581" spans="1:11" ht="17.45" customHeight="1" x14ac:dyDescent="0.3">
      <c r="A581" s="4" t="s">
        <v>59</v>
      </c>
      <c r="B581" s="5" t="s">
        <v>0</v>
      </c>
      <c r="C581" s="5" t="s">
        <v>1</v>
      </c>
      <c r="D581" s="5" t="s">
        <v>2</v>
      </c>
      <c r="E581" s="6" t="s">
        <v>3</v>
      </c>
      <c r="F581" s="5" t="s">
        <v>4</v>
      </c>
      <c r="G581" s="5" t="s">
        <v>5</v>
      </c>
      <c r="H581" s="5" t="s">
        <v>6</v>
      </c>
      <c r="I581" s="5" t="s">
        <v>7</v>
      </c>
      <c r="J581" s="11"/>
      <c r="K581" s="11"/>
    </row>
    <row r="582" spans="1:11" x14ac:dyDescent="0.3">
      <c r="A582" s="7"/>
      <c r="B582" s="8">
        <v>45432</v>
      </c>
      <c r="C582" s="8">
        <v>45433</v>
      </c>
      <c r="D582" s="8">
        <v>45434</v>
      </c>
      <c r="E582" s="8">
        <v>45435</v>
      </c>
      <c r="F582" s="8">
        <v>45436</v>
      </c>
      <c r="G582" s="8">
        <v>45437</v>
      </c>
      <c r="H582" s="8">
        <v>45438</v>
      </c>
      <c r="I582" s="9"/>
      <c r="J582" s="11"/>
      <c r="K582" s="11"/>
    </row>
    <row r="583" spans="1:11" ht="19.5" thickBot="1" x14ac:dyDescent="0.35">
      <c r="A583" s="10" t="s">
        <v>8</v>
      </c>
      <c r="B583" s="11" t="s">
        <v>9</v>
      </c>
      <c r="C583" s="11" t="s">
        <v>9</v>
      </c>
      <c r="D583" s="11" t="s">
        <v>9</v>
      </c>
      <c r="E583" s="11" t="s">
        <v>9</v>
      </c>
      <c r="F583" s="11" t="s">
        <v>9</v>
      </c>
      <c r="G583" s="11" t="s">
        <v>9</v>
      </c>
      <c r="H583" s="11" t="s">
        <v>9</v>
      </c>
      <c r="I583" s="12" t="s">
        <v>9</v>
      </c>
      <c r="J583" s="11"/>
      <c r="K583" s="11"/>
    </row>
    <row r="584" spans="1:11" x14ac:dyDescent="0.3">
      <c r="A584" s="13" t="s">
        <v>10</v>
      </c>
      <c r="B584" s="14">
        <f>55-2</f>
        <v>53</v>
      </c>
      <c r="C584" s="14">
        <f>55-1</f>
        <v>54</v>
      </c>
      <c r="D584" s="14">
        <v>52</v>
      </c>
      <c r="E584" s="14">
        <v>52</v>
      </c>
      <c r="F584" s="14">
        <v>53</v>
      </c>
      <c r="G584" s="14">
        <f>55-3</f>
        <v>52</v>
      </c>
      <c r="H584" s="14">
        <v>52</v>
      </c>
      <c r="I584" s="14"/>
      <c r="J584" s="16"/>
      <c r="K584" s="16"/>
    </row>
    <row r="585" spans="1:11" x14ac:dyDescent="0.3">
      <c r="A585" s="15" t="s">
        <v>11</v>
      </c>
      <c r="B585" s="16">
        <v>3</v>
      </c>
      <c r="C585" s="16">
        <v>3</v>
      </c>
      <c r="D585" s="16">
        <v>3</v>
      </c>
      <c r="E585" s="16">
        <v>3</v>
      </c>
      <c r="F585" s="16">
        <v>7</v>
      </c>
      <c r="G585" s="16">
        <v>7</v>
      </c>
      <c r="H585" s="16">
        <v>3</v>
      </c>
      <c r="I585" s="16">
        <f>SUM(B585:H585)</f>
        <v>29</v>
      </c>
      <c r="J585" s="16"/>
      <c r="K585" s="16"/>
    </row>
    <row r="586" spans="1:11" x14ac:dyDescent="0.3">
      <c r="A586" s="15" t="s">
        <v>12</v>
      </c>
      <c r="B586" s="16">
        <v>3</v>
      </c>
      <c r="C586" s="16">
        <v>1</v>
      </c>
      <c r="D586" s="16">
        <v>3</v>
      </c>
      <c r="E586" s="16">
        <v>5</v>
      </c>
      <c r="F586" s="16">
        <v>7</v>
      </c>
      <c r="G586" s="16">
        <v>15</v>
      </c>
      <c r="H586" s="16">
        <v>8</v>
      </c>
      <c r="I586" s="16">
        <f>SUM(B586:H586)</f>
        <v>42</v>
      </c>
      <c r="J586" s="16"/>
      <c r="K586" s="16"/>
    </row>
    <row r="587" spans="1:11" x14ac:dyDescent="0.3">
      <c r="A587" s="15" t="s">
        <v>30</v>
      </c>
      <c r="B587" s="16">
        <v>0</v>
      </c>
      <c r="C587" s="16">
        <v>0</v>
      </c>
      <c r="D587" s="16">
        <v>0</v>
      </c>
      <c r="E587" s="16">
        <v>0</v>
      </c>
      <c r="F587" s="16">
        <v>0</v>
      </c>
      <c r="G587" s="16">
        <v>0</v>
      </c>
      <c r="H587" s="16">
        <v>0</v>
      </c>
      <c r="I587" s="16">
        <f>SUM(B587:H587)</f>
        <v>0</v>
      </c>
      <c r="J587" s="16"/>
      <c r="K587" s="16"/>
    </row>
    <row r="588" spans="1:11" x14ac:dyDescent="0.3">
      <c r="A588" s="15" t="s">
        <v>28</v>
      </c>
      <c r="B588" s="16">
        <v>7</v>
      </c>
      <c r="C588" s="16">
        <v>24</v>
      </c>
      <c r="D588" s="16">
        <v>2</v>
      </c>
      <c r="E588" s="16">
        <v>8</v>
      </c>
      <c r="F588" s="16">
        <v>79</v>
      </c>
      <c r="G588" s="16">
        <v>124</v>
      </c>
      <c r="H588" s="16">
        <v>46</v>
      </c>
      <c r="I588" s="16">
        <f t="shared" ref="I588:I594" si="73">B588+C588+D588+E588+F588+G588+H588</f>
        <v>290</v>
      </c>
      <c r="J588" s="16"/>
      <c r="K588" s="16"/>
    </row>
    <row r="589" spans="1:11" x14ac:dyDescent="0.3">
      <c r="A589" s="15" t="s">
        <v>29</v>
      </c>
      <c r="B589" s="16">
        <v>0</v>
      </c>
      <c r="C589" s="16">
        <v>0</v>
      </c>
      <c r="D589" s="16">
        <v>0</v>
      </c>
      <c r="E589" s="16">
        <v>0</v>
      </c>
      <c r="F589" s="16">
        <v>0</v>
      </c>
      <c r="G589" s="16">
        <v>15</v>
      </c>
      <c r="H589" s="16">
        <v>8</v>
      </c>
      <c r="I589" s="16">
        <f t="shared" si="73"/>
        <v>23</v>
      </c>
      <c r="J589" s="16"/>
      <c r="K589" s="16"/>
    </row>
    <row r="590" spans="1:11" x14ac:dyDescent="0.3">
      <c r="A590" s="15" t="s">
        <v>31</v>
      </c>
      <c r="B590" s="16">
        <v>0</v>
      </c>
      <c r="C590" s="16">
        <v>1</v>
      </c>
      <c r="D590" s="16">
        <v>1</v>
      </c>
      <c r="E590" s="16">
        <v>0</v>
      </c>
      <c r="F590" s="16">
        <v>0</v>
      </c>
      <c r="G590" s="16">
        <v>10</v>
      </c>
      <c r="H590" s="16">
        <v>0</v>
      </c>
      <c r="I590" s="16">
        <f t="shared" si="73"/>
        <v>12</v>
      </c>
      <c r="J590" s="16"/>
      <c r="K590" s="16"/>
    </row>
    <row r="591" spans="1:11" x14ac:dyDescent="0.3">
      <c r="A591" s="15" t="s">
        <v>13</v>
      </c>
      <c r="B591" s="16">
        <v>0</v>
      </c>
      <c r="C591" s="16">
        <v>0</v>
      </c>
      <c r="D591" s="16">
        <v>0</v>
      </c>
      <c r="E591" s="16">
        <v>0</v>
      </c>
      <c r="F591" s="16">
        <v>0</v>
      </c>
      <c r="G591" s="16">
        <v>2</v>
      </c>
      <c r="H591" s="16">
        <v>5</v>
      </c>
      <c r="I591" s="16">
        <f t="shared" si="73"/>
        <v>7</v>
      </c>
      <c r="J591" s="16"/>
      <c r="K591" s="16"/>
    </row>
    <row r="592" spans="1:11" x14ac:dyDescent="0.3">
      <c r="A592" s="15" t="s">
        <v>14</v>
      </c>
      <c r="B592" s="16">
        <v>0</v>
      </c>
      <c r="C592" s="16">
        <v>0</v>
      </c>
      <c r="D592" s="16">
        <v>0</v>
      </c>
      <c r="E592" s="16">
        <v>0</v>
      </c>
      <c r="F592" s="16">
        <v>0</v>
      </c>
      <c r="G592" s="16">
        <v>0</v>
      </c>
      <c r="H592" s="16">
        <v>0</v>
      </c>
      <c r="I592" s="16">
        <f t="shared" si="73"/>
        <v>0</v>
      </c>
      <c r="J592" s="16"/>
      <c r="K592" s="16"/>
    </row>
    <row r="593" spans="1:11" x14ac:dyDescent="0.3">
      <c r="A593" s="15" t="s">
        <v>32</v>
      </c>
      <c r="B593" s="16">
        <v>0</v>
      </c>
      <c r="C593" s="16">
        <v>0</v>
      </c>
      <c r="D593" s="16">
        <v>0</v>
      </c>
      <c r="E593" s="16">
        <v>0</v>
      </c>
      <c r="F593" s="16">
        <v>0</v>
      </c>
      <c r="G593" s="16">
        <v>0</v>
      </c>
      <c r="H593" s="16">
        <v>0</v>
      </c>
      <c r="I593" s="16">
        <f t="shared" si="73"/>
        <v>0</v>
      </c>
      <c r="J593" s="16"/>
      <c r="K593" s="16"/>
    </row>
    <row r="594" spans="1:11" x14ac:dyDescent="0.3">
      <c r="A594" s="15" t="s">
        <v>33</v>
      </c>
      <c r="B594" s="16">
        <v>0</v>
      </c>
      <c r="C594" s="16">
        <v>0</v>
      </c>
      <c r="D594" s="16">
        <v>0</v>
      </c>
      <c r="E594" s="16">
        <v>0</v>
      </c>
      <c r="F594" s="16">
        <v>0</v>
      </c>
      <c r="G594" s="16">
        <v>0</v>
      </c>
      <c r="H594" s="16">
        <v>0</v>
      </c>
      <c r="I594" s="16">
        <f t="shared" si="73"/>
        <v>0</v>
      </c>
      <c r="J594" s="16"/>
      <c r="K594" s="16"/>
    </row>
    <row r="595" spans="1:11" ht="19.5" thickBot="1" x14ac:dyDescent="0.35">
      <c r="A595" s="30" t="s">
        <v>15</v>
      </c>
      <c r="B595" s="31">
        <f t="shared" ref="B595:H595" si="74">(B586+B585)/B584*100%</f>
        <v>0.11320754716981132</v>
      </c>
      <c r="C595" s="31">
        <f t="shared" si="74"/>
        <v>7.407407407407407E-2</v>
      </c>
      <c r="D595" s="31">
        <f t="shared" si="74"/>
        <v>0.11538461538461539</v>
      </c>
      <c r="E595" s="31">
        <f t="shared" si="74"/>
        <v>0.15384615384615385</v>
      </c>
      <c r="F595" s="31">
        <f t="shared" si="74"/>
        <v>0.26415094339622641</v>
      </c>
      <c r="G595" s="31">
        <f t="shared" si="74"/>
        <v>0.42307692307692307</v>
      </c>
      <c r="H595" s="31">
        <f t="shared" si="74"/>
        <v>0.21153846153846154</v>
      </c>
      <c r="I595" s="32">
        <f>(B595+C595+D595+E595+F595+G595+H595)/7</f>
        <v>0.19361124549803793</v>
      </c>
      <c r="J595" s="52"/>
      <c r="K595" s="52"/>
    </row>
    <row r="596" spans="1:11" x14ac:dyDescent="0.3">
      <c r="A596" s="33" t="s">
        <v>16</v>
      </c>
      <c r="B596" s="16"/>
      <c r="C596" s="17"/>
      <c r="D596" s="16"/>
      <c r="E596" s="18"/>
      <c r="F596" s="16"/>
      <c r="G596" s="16"/>
      <c r="H596" s="16"/>
      <c r="I596" s="16"/>
      <c r="J596" s="16"/>
      <c r="K596" s="16"/>
    </row>
    <row r="597" spans="1:11" x14ac:dyDescent="0.3">
      <c r="A597" s="15" t="s">
        <v>17</v>
      </c>
      <c r="B597" s="28">
        <v>8136.848</v>
      </c>
      <c r="C597" s="28">
        <v>1952.8400000000001</v>
      </c>
      <c r="D597" s="28">
        <v>8478.59</v>
      </c>
      <c r="E597" s="28">
        <v>14483.606</v>
      </c>
      <c r="F597" s="28">
        <v>22148.484</v>
      </c>
      <c r="G597" s="28">
        <v>42946.270000000004</v>
      </c>
      <c r="H597" s="28">
        <v>19691.156000000003</v>
      </c>
      <c r="I597" s="19">
        <f>SUM(B597:H597)</f>
        <v>117837.79400000001</v>
      </c>
      <c r="J597" s="19"/>
      <c r="K597" s="19"/>
    </row>
    <row r="598" spans="1:11" x14ac:dyDescent="0.3">
      <c r="A598" s="15" t="s">
        <v>18</v>
      </c>
      <c r="B598" s="28">
        <v>7451.3296</v>
      </c>
      <c r="C598" s="28">
        <v>7925.7809999999999</v>
      </c>
      <c r="D598" s="28">
        <v>5539.6660000000002</v>
      </c>
      <c r="E598" s="28">
        <v>14511.581200000001</v>
      </c>
      <c r="F598" s="28">
        <v>46649.603300000002</v>
      </c>
      <c r="G598" s="28">
        <v>66058.511500000008</v>
      </c>
      <c r="H598" s="28">
        <v>31367.106200000002</v>
      </c>
      <c r="I598" s="19">
        <f>SUM(B598:H598)</f>
        <v>179503.57880000002</v>
      </c>
      <c r="J598" s="19"/>
      <c r="K598" s="19"/>
    </row>
    <row r="599" spans="1:11" x14ac:dyDescent="0.3">
      <c r="A599" s="15" t="s">
        <v>19</v>
      </c>
      <c r="B599" s="28">
        <v>5059.0983999999999</v>
      </c>
      <c r="C599" s="28">
        <v>3786.5529999999999</v>
      </c>
      <c r="D599" s="28">
        <v>4876.0550000000003</v>
      </c>
      <c r="E599" s="28">
        <v>8482.6898000000001</v>
      </c>
      <c r="F599" s="28">
        <v>18066.896699999998</v>
      </c>
      <c r="G599" s="28">
        <v>40103.965500000006</v>
      </c>
      <c r="H599" s="28">
        <v>15411.603800000001</v>
      </c>
      <c r="I599" s="19">
        <f>SUM(B599:H599)</f>
        <v>95786.862200000003</v>
      </c>
      <c r="J599" s="19"/>
      <c r="K599" s="19"/>
    </row>
    <row r="600" spans="1:11" x14ac:dyDescent="0.3">
      <c r="A600" s="15" t="s">
        <v>21</v>
      </c>
      <c r="B600" s="28">
        <v>0</v>
      </c>
      <c r="C600" s="28">
        <v>0</v>
      </c>
      <c r="D600" s="28">
        <v>0</v>
      </c>
      <c r="E600" s="28">
        <v>0</v>
      </c>
      <c r="F600" s="28">
        <v>0</v>
      </c>
      <c r="G600" s="28">
        <v>0</v>
      </c>
      <c r="H600" s="28">
        <v>0</v>
      </c>
      <c r="I600" s="19">
        <f>SUM(B600:H600)</f>
        <v>0</v>
      </c>
      <c r="J600" s="19"/>
      <c r="K600" s="19"/>
    </row>
    <row r="601" spans="1:11" ht="19.5" thickBot="1" x14ac:dyDescent="0.35">
      <c r="A601" s="15" t="s">
        <v>22</v>
      </c>
      <c r="B601" s="28">
        <v>0</v>
      </c>
      <c r="C601" s="28">
        <v>0</v>
      </c>
      <c r="D601" s="28">
        <v>0</v>
      </c>
      <c r="E601" s="28">
        <v>0</v>
      </c>
      <c r="F601" s="28">
        <v>0</v>
      </c>
      <c r="G601" s="28">
        <v>0</v>
      </c>
      <c r="H601" s="28">
        <v>0</v>
      </c>
      <c r="I601" s="19">
        <f>SUM(B601:H601)</f>
        <v>0</v>
      </c>
      <c r="J601" s="19"/>
      <c r="K601" s="19"/>
    </row>
    <row r="602" spans="1:11" ht="19.5" thickBot="1" x14ac:dyDescent="0.35">
      <c r="A602" s="20" t="s">
        <v>7</v>
      </c>
      <c r="B602" s="21">
        <f>SUM(B597:B601)</f>
        <v>20647.275999999998</v>
      </c>
      <c r="C602" s="21">
        <f>SUM(C597:C601)</f>
        <v>13665.173999999999</v>
      </c>
      <c r="D602" s="21">
        <f t="shared" ref="D602:H602" si="75">SUM(D597:D601)</f>
        <v>18894.311000000002</v>
      </c>
      <c r="E602" s="21">
        <f t="shared" si="75"/>
        <v>37477.877</v>
      </c>
      <c r="F602" s="21">
        <f t="shared" si="75"/>
        <v>86864.983999999997</v>
      </c>
      <c r="G602" s="21">
        <f t="shared" si="75"/>
        <v>149108.74700000003</v>
      </c>
      <c r="H602" s="21">
        <f t="shared" si="75"/>
        <v>66469.866000000009</v>
      </c>
      <c r="I602" s="21">
        <f>SUM(I597:I601)</f>
        <v>393128.23499999999</v>
      </c>
      <c r="J602" s="53"/>
      <c r="K602" s="53"/>
    </row>
    <row r="603" spans="1:11" ht="19.5" thickTop="1" x14ac:dyDescent="0.3">
      <c r="A603" s="22" t="s">
        <v>20</v>
      </c>
      <c r="B603" s="23">
        <f>3702.28*0.6</f>
        <v>2221.3679999999999</v>
      </c>
      <c r="C603" s="23">
        <f>12387.14*0.6</f>
        <v>7432.2839999999997</v>
      </c>
      <c r="D603" s="23">
        <f>1342.56*0.6</f>
        <v>805.53599999999994</v>
      </c>
      <c r="E603" s="23">
        <f>4231.16*0.6</f>
        <v>2538.6959999999999</v>
      </c>
      <c r="F603" s="23">
        <f>39402.65*0.6</f>
        <v>23641.59</v>
      </c>
      <c r="G603" s="23">
        <f>67934.47*0.6</f>
        <v>40760.682000000001</v>
      </c>
      <c r="H603" s="23">
        <f>35273.1*0.6</f>
        <v>21163.859999999997</v>
      </c>
      <c r="I603" s="23">
        <f>SUM(B603:H603)</f>
        <v>98564.016000000003</v>
      </c>
      <c r="J603" s="23"/>
      <c r="K603" s="23"/>
    </row>
    <row r="604" spans="1:11" x14ac:dyDescent="0.3">
      <c r="A604" s="24" t="s">
        <v>25</v>
      </c>
      <c r="B604" s="25"/>
      <c r="C604" s="25"/>
      <c r="D604" s="25"/>
      <c r="E604" s="25"/>
      <c r="F604" s="25"/>
      <c r="G604" s="25"/>
      <c r="H604" s="25"/>
      <c r="I604" s="25"/>
      <c r="J604" s="25"/>
      <c r="K604" s="25"/>
    </row>
    <row r="605" spans="1:11" x14ac:dyDescent="0.3">
      <c r="A605" s="26" t="s">
        <v>23</v>
      </c>
      <c r="B605" s="25"/>
      <c r="C605" s="25">
        <v>0</v>
      </c>
      <c r="D605" s="25">
        <v>0</v>
      </c>
      <c r="E605" s="25">
        <v>0</v>
      </c>
      <c r="F605" s="25">
        <v>0</v>
      </c>
      <c r="G605" s="25">
        <v>0</v>
      </c>
      <c r="H605" s="25">
        <v>0</v>
      </c>
      <c r="I605" s="25">
        <f>SUM(B605:H605)</f>
        <v>0</v>
      </c>
      <c r="J605" s="25"/>
      <c r="K605" s="25"/>
    </row>
    <row r="606" spans="1:11" ht="19.5" thickBot="1" x14ac:dyDescent="0.35">
      <c r="A606" s="27" t="s">
        <v>24</v>
      </c>
      <c r="B606" s="25">
        <f>(6000*3)/1.229</f>
        <v>14646.053702196907</v>
      </c>
      <c r="C606" s="25">
        <f>(6000*3)/1.229</f>
        <v>14646.053702196907</v>
      </c>
      <c r="D606" s="25">
        <f>(6000*3)/1.229</f>
        <v>14646.053702196907</v>
      </c>
      <c r="E606" s="25">
        <f>(7*6000)/1.229</f>
        <v>34174.125305126116</v>
      </c>
      <c r="F606" s="25">
        <f>(7*6000)/1.229</f>
        <v>34174.125305126116</v>
      </c>
      <c r="G606" s="25">
        <f>(7*6000)/1.229</f>
        <v>34174.125305126116</v>
      </c>
      <c r="H606" s="25">
        <f>(3*6000)/1.229</f>
        <v>14646.053702196907</v>
      </c>
      <c r="I606" s="25">
        <f>SUM(B606:H606)</f>
        <v>161106.59072416596</v>
      </c>
      <c r="J606" s="25"/>
      <c r="K606" s="25"/>
    </row>
    <row r="610" spans="1:13" ht="17.45" customHeight="1" x14ac:dyDescent="0.3">
      <c r="A610" s="4" t="s">
        <v>60</v>
      </c>
      <c r="B610" s="5" t="s">
        <v>0</v>
      </c>
      <c r="C610" s="5" t="s">
        <v>1</v>
      </c>
      <c r="D610" s="5" t="s">
        <v>2</v>
      </c>
      <c r="E610" s="6" t="s">
        <v>3</v>
      </c>
      <c r="F610" s="5" t="s">
        <v>4</v>
      </c>
      <c r="G610" s="5" t="s">
        <v>5</v>
      </c>
      <c r="H610" s="5" t="s">
        <v>6</v>
      </c>
      <c r="I610" s="5" t="s">
        <v>7</v>
      </c>
      <c r="J610" s="11"/>
      <c r="K610" s="11"/>
    </row>
    <row r="611" spans="1:13" x14ac:dyDescent="0.3">
      <c r="A611" s="7"/>
      <c r="B611" s="8">
        <v>45439</v>
      </c>
      <c r="C611" s="8">
        <v>45440</v>
      </c>
      <c r="D611" s="8">
        <v>45441</v>
      </c>
      <c r="E611" s="8">
        <v>45442</v>
      </c>
      <c r="F611" s="8">
        <v>45443</v>
      </c>
      <c r="G611" s="8">
        <v>45444</v>
      </c>
      <c r="H611" s="8">
        <v>45445</v>
      </c>
      <c r="I611" s="9"/>
      <c r="J611" s="11"/>
      <c r="K611" s="11"/>
    </row>
    <row r="612" spans="1:13" ht="19.5" thickBot="1" x14ac:dyDescent="0.35">
      <c r="A612" s="10" t="s">
        <v>8</v>
      </c>
      <c r="B612" s="11" t="s">
        <v>9</v>
      </c>
      <c r="C612" s="11" t="s">
        <v>9</v>
      </c>
      <c r="D612" s="11" t="s">
        <v>9</v>
      </c>
      <c r="E612" s="11" t="s">
        <v>9</v>
      </c>
      <c r="F612" s="11" t="s">
        <v>9</v>
      </c>
      <c r="G612" s="11" t="s">
        <v>9</v>
      </c>
      <c r="H612" s="11" t="s">
        <v>9</v>
      </c>
      <c r="I612" s="12" t="s">
        <v>9</v>
      </c>
      <c r="J612" s="11"/>
      <c r="K612" s="11"/>
    </row>
    <row r="613" spans="1:13" x14ac:dyDescent="0.3">
      <c r="A613" s="13" t="s">
        <v>10</v>
      </c>
      <c r="B613" s="14">
        <f>55-3</f>
        <v>52</v>
      </c>
      <c r="C613" s="14">
        <f>55-3</f>
        <v>52</v>
      </c>
      <c r="D613" s="14">
        <f>55-4</f>
        <v>51</v>
      </c>
      <c r="E613" s="14">
        <f>55-3</f>
        <v>52</v>
      </c>
      <c r="F613" s="14">
        <f>55-4</f>
        <v>51</v>
      </c>
      <c r="G613" s="14">
        <f>55-6</f>
        <v>49</v>
      </c>
      <c r="H613" s="14">
        <f>55-5</f>
        <v>50</v>
      </c>
      <c r="I613" s="14"/>
      <c r="J613" s="16"/>
      <c r="K613" s="16"/>
    </row>
    <row r="614" spans="1:13" x14ac:dyDescent="0.3">
      <c r="A614" s="15" t="s">
        <v>11</v>
      </c>
      <c r="B614" s="16">
        <v>4</v>
      </c>
      <c r="C614" s="16">
        <v>5</v>
      </c>
      <c r="D614" s="16">
        <v>8</v>
      </c>
      <c r="E614" s="16">
        <v>7</v>
      </c>
      <c r="F614" s="16">
        <v>5</v>
      </c>
      <c r="G614" s="16">
        <v>6</v>
      </c>
      <c r="H614" s="16">
        <v>3</v>
      </c>
      <c r="I614" s="16">
        <f>SUM(B614:H614)</f>
        <v>38</v>
      </c>
      <c r="J614" s="16"/>
      <c r="K614" s="16"/>
      <c r="M614" s="29">
        <f t="shared" ref="M614:M630" si="76">F614+E614+D614+C614+B614+I585+I556+I527+I499-C499-B499</f>
        <v>89</v>
      </c>
    </row>
    <row r="615" spans="1:13" x14ac:dyDescent="0.3">
      <c r="A615" s="15" t="s">
        <v>12</v>
      </c>
      <c r="B615" s="16">
        <v>2</v>
      </c>
      <c r="C615" s="16">
        <v>5</v>
      </c>
      <c r="D615" s="16">
        <v>5</v>
      </c>
      <c r="E615" s="16">
        <v>0</v>
      </c>
      <c r="F615" s="16">
        <v>10</v>
      </c>
      <c r="G615" s="16">
        <v>16</v>
      </c>
      <c r="H615" s="16">
        <v>2</v>
      </c>
      <c r="I615" s="16">
        <f>SUM(B615:H615)</f>
        <v>40</v>
      </c>
      <c r="J615" s="16"/>
      <c r="K615" s="16"/>
      <c r="M615" s="29">
        <f t="shared" si="76"/>
        <v>572</v>
      </c>
    </row>
    <row r="616" spans="1:13" x14ac:dyDescent="0.3">
      <c r="A616" s="15" t="s">
        <v>30</v>
      </c>
      <c r="B616" s="16">
        <v>0</v>
      </c>
      <c r="C616" s="16">
        <v>0</v>
      </c>
      <c r="D616" s="16">
        <v>0</v>
      </c>
      <c r="E616" s="16">
        <v>0</v>
      </c>
      <c r="F616" s="16">
        <v>0</v>
      </c>
      <c r="G616" s="16">
        <v>0</v>
      </c>
      <c r="H616" s="16">
        <v>0</v>
      </c>
      <c r="I616" s="16">
        <f>SUM(B616:H616)</f>
        <v>0</v>
      </c>
      <c r="J616" s="16"/>
      <c r="K616" s="16"/>
      <c r="M616" s="29">
        <f t="shared" si="76"/>
        <v>1</v>
      </c>
    </row>
    <row r="617" spans="1:13" x14ac:dyDescent="0.3">
      <c r="A617" s="15" t="s">
        <v>28</v>
      </c>
      <c r="B617" s="16">
        <v>14</v>
      </c>
      <c r="C617" s="16">
        <v>14</v>
      </c>
      <c r="D617" s="16">
        <v>21</v>
      </c>
      <c r="E617" s="16">
        <v>291</v>
      </c>
      <c r="F617" s="16">
        <v>13</v>
      </c>
      <c r="G617" s="16">
        <v>79</v>
      </c>
      <c r="H617" s="16">
        <v>27</v>
      </c>
      <c r="I617" s="16">
        <f t="shared" ref="I617:I623" si="77">B617+C617+D617+E617+F617+G617+H617</f>
        <v>459</v>
      </c>
      <c r="J617" s="16"/>
      <c r="K617" s="16"/>
      <c r="M617" s="29">
        <f t="shared" si="76"/>
        <v>1730</v>
      </c>
    </row>
    <row r="618" spans="1:13" x14ac:dyDescent="0.3">
      <c r="A618" s="15" t="s">
        <v>29</v>
      </c>
      <c r="B618" s="16">
        <v>1</v>
      </c>
      <c r="C618" s="16">
        <v>0</v>
      </c>
      <c r="D618" s="16">
        <v>0</v>
      </c>
      <c r="E618" s="16">
        <v>3</v>
      </c>
      <c r="F618" s="16">
        <v>1</v>
      </c>
      <c r="G618" s="16">
        <v>10</v>
      </c>
      <c r="H618" s="16">
        <v>4</v>
      </c>
      <c r="I618" s="16">
        <f t="shared" si="77"/>
        <v>19</v>
      </c>
      <c r="J618" s="16"/>
      <c r="K618" s="16"/>
      <c r="M618" s="29">
        <f t="shared" si="76"/>
        <v>184</v>
      </c>
    </row>
    <row r="619" spans="1:13" x14ac:dyDescent="0.3">
      <c r="A619" s="15" t="s">
        <v>31</v>
      </c>
      <c r="B619" s="16">
        <v>3</v>
      </c>
      <c r="C619" s="16">
        <v>3</v>
      </c>
      <c r="D619" s="16">
        <v>0</v>
      </c>
      <c r="E619" s="16">
        <v>1</v>
      </c>
      <c r="F619" s="16">
        <v>2</v>
      </c>
      <c r="G619" s="16">
        <v>3</v>
      </c>
      <c r="H619" s="16">
        <v>3</v>
      </c>
      <c r="I619" s="16">
        <f t="shared" si="77"/>
        <v>15</v>
      </c>
      <c r="J619" s="16"/>
      <c r="K619" s="16"/>
      <c r="M619" s="29">
        <f t="shared" si="76"/>
        <v>61</v>
      </c>
    </row>
    <row r="620" spans="1:13" x14ac:dyDescent="0.3">
      <c r="A620" s="15" t="s">
        <v>13</v>
      </c>
      <c r="B620" s="16">
        <v>0</v>
      </c>
      <c r="C620" s="16">
        <v>0</v>
      </c>
      <c r="D620" s="16">
        <v>1</v>
      </c>
      <c r="E620" s="16">
        <v>0</v>
      </c>
      <c r="F620" s="16">
        <v>0</v>
      </c>
      <c r="G620" s="16">
        <v>0</v>
      </c>
      <c r="H620" s="16">
        <v>0</v>
      </c>
      <c r="I620" s="16">
        <f t="shared" si="77"/>
        <v>1</v>
      </c>
      <c r="J620" s="16"/>
      <c r="K620" s="16"/>
      <c r="M620" s="29">
        <f t="shared" si="76"/>
        <v>16</v>
      </c>
    </row>
    <row r="621" spans="1:13" x14ac:dyDescent="0.3">
      <c r="A621" s="15" t="s">
        <v>14</v>
      </c>
      <c r="B621" s="16">
        <v>0</v>
      </c>
      <c r="C621" s="16">
        <v>0</v>
      </c>
      <c r="D621" s="16">
        <v>0</v>
      </c>
      <c r="E621" s="16">
        <v>0</v>
      </c>
      <c r="F621" s="16">
        <v>0</v>
      </c>
      <c r="G621" s="16">
        <v>0</v>
      </c>
      <c r="H621" s="16">
        <v>0</v>
      </c>
      <c r="I621" s="16">
        <f t="shared" si="77"/>
        <v>0</v>
      </c>
      <c r="J621" s="16"/>
      <c r="K621" s="16"/>
      <c r="M621" s="29">
        <f t="shared" si="76"/>
        <v>0</v>
      </c>
    </row>
    <row r="622" spans="1:13" x14ac:dyDescent="0.3">
      <c r="A622" s="15" t="s">
        <v>32</v>
      </c>
      <c r="B622" s="16">
        <v>0</v>
      </c>
      <c r="C622" s="16">
        <v>0</v>
      </c>
      <c r="D622" s="16">
        <v>0</v>
      </c>
      <c r="E622" s="16">
        <v>0</v>
      </c>
      <c r="F622" s="16">
        <v>0</v>
      </c>
      <c r="G622" s="16">
        <v>0</v>
      </c>
      <c r="H622" s="16">
        <v>0</v>
      </c>
      <c r="I622" s="16">
        <f t="shared" si="77"/>
        <v>0</v>
      </c>
      <c r="J622" s="16"/>
      <c r="K622" s="16"/>
      <c r="M622" s="29">
        <f t="shared" si="76"/>
        <v>2</v>
      </c>
    </row>
    <row r="623" spans="1:13" x14ac:dyDescent="0.3">
      <c r="A623" s="15" t="s">
        <v>33</v>
      </c>
      <c r="B623" s="16">
        <v>0</v>
      </c>
      <c r="C623" s="16">
        <v>0</v>
      </c>
      <c r="D623" s="16">
        <v>0</v>
      </c>
      <c r="E623" s="16">
        <v>0</v>
      </c>
      <c r="F623" s="16">
        <v>0</v>
      </c>
      <c r="G623" s="16">
        <v>0</v>
      </c>
      <c r="H623" s="16">
        <v>0</v>
      </c>
      <c r="I623" s="16">
        <f t="shared" si="77"/>
        <v>0</v>
      </c>
      <c r="J623" s="16"/>
      <c r="K623" s="16"/>
      <c r="M623" s="29">
        <f t="shared" si="76"/>
        <v>2</v>
      </c>
    </row>
    <row r="624" spans="1:13" ht="19.5" thickBot="1" x14ac:dyDescent="0.35">
      <c r="A624" s="30" t="s">
        <v>15</v>
      </c>
      <c r="B624" s="31">
        <f t="shared" ref="B624:H624" si="78">(B615+B614)/B613*100%</f>
        <v>0.11538461538461539</v>
      </c>
      <c r="C624" s="31">
        <f t="shared" si="78"/>
        <v>0.19230769230769232</v>
      </c>
      <c r="D624" s="31">
        <f t="shared" si="78"/>
        <v>0.25490196078431371</v>
      </c>
      <c r="E624" s="31">
        <f t="shared" si="78"/>
        <v>0.13461538461538461</v>
      </c>
      <c r="F624" s="31">
        <f t="shared" si="78"/>
        <v>0.29411764705882354</v>
      </c>
      <c r="G624" s="31">
        <f t="shared" si="78"/>
        <v>0.44897959183673469</v>
      </c>
      <c r="H624" s="31">
        <f t="shared" si="78"/>
        <v>0.1</v>
      </c>
      <c r="I624" s="32">
        <f>(B624+C624+D624+E624+F624+G624+H624)/7</f>
        <v>0.22004384171250921</v>
      </c>
      <c r="J624" s="52"/>
      <c r="K624" s="52"/>
      <c r="M624" s="29">
        <f t="shared" si="76"/>
        <v>2.3472008814961089</v>
      </c>
    </row>
    <row r="625" spans="1:13" x14ac:dyDescent="0.3">
      <c r="A625" s="33" t="s">
        <v>16</v>
      </c>
      <c r="B625" s="16"/>
      <c r="C625" s="17"/>
      <c r="D625" s="16"/>
      <c r="E625" s="18"/>
      <c r="F625" s="16"/>
      <c r="G625" s="16"/>
      <c r="H625" s="16"/>
      <c r="I625" s="16"/>
      <c r="J625" s="16"/>
      <c r="K625" s="16"/>
      <c r="M625" s="29">
        <f t="shared" si="76"/>
        <v>0</v>
      </c>
    </row>
    <row r="626" spans="1:13" x14ac:dyDescent="0.3">
      <c r="A626" s="15" t="s">
        <v>17</v>
      </c>
      <c r="B626" s="28">
        <v>3580.2080000000005</v>
      </c>
      <c r="C626" s="28">
        <v>11180.356</v>
      </c>
      <c r="D626" s="28">
        <v>12465.626</v>
      </c>
      <c r="E626" s="28">
        <v>0</v>
      </c>
      <c r="F626" s="28">
        <v>19691.135999999999</v>
      </c>
      <c r="G626" s="28">
        <v>32384.628000000004</v>
      </c>
      <c r="H626" s="28">
        <v>8120.58</v>
      </c>
      <c r="I626" s="19">
        <f>SUM(B626:H626)</f>
        <v>87422.534</v>
      </c>
      <c r="J626" s="19"/>
      <c r="K626" s="19"/>
      <c r="M626" s="29">
        <f t="shared" si="76"/>
        <v>1184167.2354999997</v>
      </c>
    </row>
    <row r="627" spans="1:13" x14ac:dyDescent="0.3">
      <c r="A627" s="15" t="s">
        <v>18</v>
      </c>
      <c r="B627" s="28">
        <v>9522.1421000000009</v>
      </c>
      <c r="C627" s="28">
        <v>14093.235199999999</v>
      </c>
      <c r="D627" s="28">
        <v>15319.652700000001</v>
      </c>
      <c r="E627" s="28">
        <v>61245.238499999999</v>
      </c>
      <c r="F627" s="28">
        <v>20653.6662</v>
      </c>
      <c r="G627" s="28">
        <v>43806.585599999999</v>
      </c>
      <c r="H627" s="28">
        <v>13342.978999999999</v>
      </c>
      <c r="I627" s="19">
        <f t="shared" ref="I627:I630" si="79">SUM(B627:H627)</f>
        <v>177983.4993</v>
      </c>
      <c r="J627" s="19"/>
      <c r="K627" s="19"/>
      <c r="M627" s="29">
        <f t="shared" si="76"/>
        <v>1353278.3794000002</v>
      </c>
    </row>
    <row r="628" spans="1:13" x14ac:dyDescent="0.3">
      <c r="A628" s="15" t="s">
        <v>19</v>
      </c>
      <c r="B628" s="28">
        <v>3439.8599000000004</v>
      </c>
      <c r="C628" s="28">
        <v>8106.3977999999997</v>
      </c>
      <c r="D628" s="28">
        <v>9269.1203000000005</v>
      </c>
      <c r="E628" s="28">
        <v>20156.539499999999</v>
      </c>
      <c r="F628" s="28">
        <v>12290.721799999999</v>
      </c>
      <c r="G628" s="28">
        <v>25883.347399999999</v>
      </c>
      <c r="H628" s="28">
        <v>6924.4450000000006</v>
      </c>
      <c r="I628" s="19">
        <f t="shared" si="79"/>
        <v>86070.431700000001</v>
      </c>
      <c r="J628" s="19"/>
      <c r="K628" s="19"/>
      <c r="M628" s="29">
        <f t="shared" si="76"/>
        <v>939538.96169999975</v>
      </c>
    </row>
    <row r="629" spans="1:13" x14ac:dyDescent="0.3">
      <c r="A629" s="15" t="s">
        <v>21</v>
      </c>
      <c r="B629" s="28">
        <v>0</v>
      </c>
      <c r="C629" s="28">
        <v>0</v>
      </c>
      <c r="D629" s="28">
        <v>0</v>
      </c>
      <c r="E629" s="28">
        <v>0</v>
      </c>
      <c r="F629" s="28">
        <v>0</v>
      </c>
      <c r="G629" s="28">
        <v>0</v>
      </c>
      <c r="H629" s="28">
        <v>0</v>
      </c>
      <c r="I629" s="19">
        <f t="shared" si="79"/>
        <v>0</v>
      </c>
      <c r="J629" s="19"/>
      <c r="K629" s="19"/>
      <c r="M629" s="29">
        <f t="shared" si="76"/>
        <v>226535.43839999998</v>
      </c>
    </row>
    <row r="630" spans="1:13" ht="19.5" thickBot="1" x14ac:dyDescent="0.35">
      <c r="A630" s="15" t="s">
        <v>22</v>
      </c>
      <c r="B630" s="28">
        <v>0</v>
      </c>
      <c r="C630" s="28">
        <v>0</v>
      </c>
      <c r="D630" s="28">
        <v>0</v>
      </c>
      <c r="E630" s="28">
        <v>0</v>
      </c>
      <c r="F630" s="28">
        <v>0</v>
      </c>
      <c r="G630" s="28">
        <v>0</v>
      </c>
      <c r="H630" s="28">
        <v>0</v>
      </c>
      <c r="I630" s="19">
        <f t="shared" si="79"/>
        <v>0</v>
      </c>
      <c r="J630" s="19"/>
      <c r="K630" s="19"/>
      <c r="M630" s="29">
        <f t="shared" si="76"/>
        <v>10000</v>
      </c>
    </row>
    <row r="631" spans="1:13" ht="19.5" thickBot="1" x14ac:dyDescent="0.35">
      <c r="A631" s="20" t="s">
        <v>7</v>
      </c>
      <c r="B631" s="21">
        <f>SUM(B626:B630)</f>
        <v>16542.210000000003</v>
      </c>
      <c r="C631" s="21">
        <f>SUM(C626:C630)</f>
        <v>33379.989000000001</v>
      </c>
      <c r="D631" s="21">
        <f t="shared" ref="D631:H631" si="80">SUM(D626:D630)</f>
        <v>37054.399000000005</v>
      </c>
      <c r="E631" s="21">
        <f t="shared" si="80"/>
        <v>81401.777999999991</v>
      </c>
      <c r="F631" s="21">
        <f t="shared" si="80"/>
        <v>52635.523999999998</v>
      </c>
      <c r="G631" s="21">
        <f t="shared" si="80"/>
        <v>102074.561</v>
      </c>
      <c r="H631" s="21">
        <f t="shared" si="80"/>
        <v>28388.004000000001</v>
      </c>
      <c r="I631" s="21">
        <f>SUM(I626:I630)</f>
        <v>351476.46500000003</v>
      </c>
      <c r="J631" s="53"/>
      <c r="K631" s="53"/>
      <c r="M631" s="46">
        <f>F631+E631+D631+C631+B631+I602+I573+I544+I516-C516-B516</f>
        <v>3713520.0149999997</v>
      </c>
    </row>
    <row r="632" spans="1:13" ht="19.5" thickTop="1" x14ac:dyDescent="0.3">
      <c r="A632" s="22" t="s">
        <v>20</v>
      </c>
      <c r="B632" s="23">
        <f>8462.37*0.6</f>
        <v>5077.4220000000005</v>
      </c>
      <c r="C632" s="23">
        <f>8258.88*0.6</f>
        <v>4955.3279999999995</v>
      </c>
      <c r="D632" s="23">
        <f>10016.43*0.6</f>
        <v>6009.8580000000002</v>
      </c>
      <c r="E632" s="23">
        <f>125811.93*0.6</f>
        <v>75487.157999999996</v>
      </c>
      <c r="F632" s="23">
        <f>7648.58*0.6</f>
        <v>4589.1480000000001</v>
      </c>
      <c r="G632" s="23">
        <f>43694.68*0.6</f>
        <v>26216.808000000001</v>
      </c>
      <c r="H632" s="23">
        <f>15948.14*0.6</f>
        <v>9568.884</v>
      </c>
      <c r="I632" s="23">
        <f>SUM(B632:H632)</f>
        <v>131904.606</v>
      </c>
      <c r="J632" s="23"/>
      <c r="K632" s="23"/>
      <c r="M632" s="29">
        <f t="shared" ref="M632:M635" si="81">F632+E632+D632+C632+B632+I603+I574+I545+I517-C517-B517</f>
        <v>508329.11999999994</v>
      </c>
    </row>
    <row r="633" spans="1:13" x14ac:dyDescent="0.3">
      <c r="A633" s="24" t="s">
        <v>25</v>
      </c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M633" s="29">
        <f t="shared" si="81"/>
        <v>0</v>
      </c>
    </row>
    <row r="634" spans="1:13" x14ac:dyDescent="0.3">
      <c r="A634" s="26" t="s">
        <v>23</v>
      </c>
      <c r="B634" s="25"/>
      <c r="C634" s="25">
        <v>0</v>
      </c>
      <c r="D634" s="25">
        <v>0</v>
      </c>
      <c r="E634" s="25">
        <f>30000/1.229</f>
        <v>24410.089503661511</v>
      </c>
      <c r="F634" s="25">
        <f>30000/1.229</f>
        <v>24410.089503661511</v>
      </c>
      <c r="G634" s="25">
        <f>30000/1.229</f>
        <v>24410.089503661511</v>
      </c>
      <c r="H634" s="25"/>
      <c r="I634" s="25">
        <f>SUM(B634:H634)</f>
        <v>73230.268510984533</v>
      </c>
      <c r="J634" s="25"/>
      <c r="K634" s="25"/>
      <c r="M634" s="29">
        <f t="shared" si="81"/>
        <v>203417.41253051261</v>
      </c>
    </row>
    <row r="635" spans="1:13" ht="19.5" thickBot="1" x14ac:dyDescent="0.35">
      <c r="A635" s="27" t="s">
        <v>24</v>
      </c>
      <c r="B635" s="25">
        <f>28000/1.229</f>
        <v>22782.75020341741</v>
      </c>
      <c r="C635" s="25">
        <f>38000/1.229</f>
        <v>30919.446704637914</v>
      </c>
      <c r="D635" s="25">
        <f>64000/1.229</f>
        <v>52074.857607811224</v>
      </c>
      <c r="E635" s="25">
        <f>44000/1.229</f>
        <v>35801.464605370216</v>
      </c>
      <c r="F635" s="25">
        <f>24000/1.229</f>
        <v>19528.071602929209</v>
      </c>
      <c r="G635" s="25">
        <f>54000/1.229</f>
        <v>43938.16110659072</v>
      </c>
      <c r="H635" s="25">
        <f>18000/1.229</f>
        <v>14646.053702196907</v>
      </c>
      <c r="I635" s="25">
        <f>SUM(B635:H635)</f>
        <v>219690.80553295359</v>
      </c>
      <c r="J635" s="25"/>
      <c r="K635" s="25"/>
      <c r="M635" s="29">
        <f t="shared" si="81"/>
        <v>387402.7973530392</v>
      </c>
    </row>
    <row r="636" spans="1:13" x14ac:dyDescent="0.3">
      <c r="I636" s="29"/>
      <c r="J636" s="29"/>
      <c r="K636" s="29"/>
    </row>
    <row r="637" spans="1:13" x14ac:dyDescent="0.3">
      <c r="I637" s="29"/>
      <c r="J637" s="29"/>
      <c r="K637" s="29"/>
    </row>
    <row r="639" spans="1:13" ht="17.45" customHeight="1" x14ac:dyDescent="0.3">
      <c r="A639" s="4" t="s">
        <v>61</v>
      </c>
      <c r="B639" s="5" t="s">
        <v>0</v>
      </c>
      <c r="C639" s="5" t="s">
        <v>1</v>
      </c>
      <c r="D639" s="5" t="s">
        <v>2</v>
      </c>
      <c r="E639" s="6" t="s">
        <v>3</v>
      </c>
      <c r="F639" s="5" t="s">
        <v>4</v>
      </c>
      <c r="G639" s="5" t="s">
        <v>5</v>
      </c>
      <c r="H639" s="5" t="s">
        <v>6</v>
      </c>
      <c r="I639" s="5" t="s">
        <v>7</v>
      </c>
      <c r="J639" s="11"/>
      <c r="K639" s="11"/>
    </row>
    <row r="640" spans="1:13" x14ac:dyDescent="0.3">
      <c r="A640" s="7"/>
      <c r="B640" s="8">
        <v>45446</v>
      </c>
      <c r="C640" s="8">
        <v>45447</v>
      </c>
      <c r="D640" s="8">
        <v>45448</v>
      </c>
      <c r="E640" s="8">
        <v>45449</v>
      </c>
      <c r="F640" s="8">
        <v>45450</v>
      </c>
      <c r="G640" s="8">
        <v>45451</v>
      </c>
      <c r="H640" s="8">
        <v>45452</v>
      </c>
      <c r="I640" s="9"/>
      <c r="J640" s="11"/>
      <c r="K640" s="11"/>
    </row>
    <row r="641" spans="1:13" ht="19.5" thickBot="1" x14ac:dyDescent="0.35">
      <c r="A641" s="10" t="s">
        <v>8</v>
      </c>
      <c r="B641" s="11" t="s">
        <v>9</v>
      </c>
      <c r="C641" s="11" t="s">
        <v>9</v>
      </c>
      <c r="D641" s="11" t="s">
        <v>9</v>
      </c>
      <c r="E641" s="11" t="s">
        <v>9</v>
      </c>
      <c r="F641" s="11" t="s">
        <v>9</v>
      </c>
      <c r="G641" s="11" t="s">
        <v>9</v>
      </c>
      <c r="H641" s="11" t="s">
        <v>9</v>
      </c>
      <c r="I641" s="12" t="s">
        <v>9</v>
      </c>
      <c r="J641" s="11"/>
      <c r="K641" s="11"/>
    </row>
    <row r="642" spans="1:13" x14ac:dyDescent="0.3">
      <c r="A642" s="13" t="s">
        <v>10</v>
      </c>
      <c r="B642" s="14">
        <f>55-4</f>
        <v>51</v>
      </c>
      <c r="C642" s="14">
        <f>55-4</f>
        <v>51</v>
      </c>
      <c r="D642" s="14">
        <f>55-4</f>
        <v>51</v>
      </c>
      <c r="E642" s="14">
        <f>55-4</f>
        <v>51</v>
      </c>
      <c r="F642" s="14">
        <f>55-3</f>
        <v>52</v>
      </c>
      <c r="G642" s="14">
        <f>55-3</f>
        <v>52</v>
      </c>
      <c r="H642" s="14">
        <f>55-3</f>
        <v>52</v>
      </c>
      <c r="I642" s="14"/>
      <c r="J642" s="16"/>
      <c r="K642" s="16"/>
      <c r="M642" s="29">
        <f>M631+'ECO PARK'!K501</f>
        <v>4361409.2339999992</v>
      </c>
    </row>
    <row r="643" spans="1:13" x14ac:dyDescent="0.3">
      <c r="A643" s="15" t="s">
        <v>11</v>
      </c>
      <c r="B643" s="16">
        <v>3</v>
      </c>
      <c r="C643" s="16">
        <v>3</v>
      </c>
      <c r="D643" s="16">
        <v>3</v>
      </c>
      <c r="E643" s="16">
        <v>3</v>
      </c>
      <c r="F643" s="16">
        <v>3</v>
      </c>
      <c r="G643" s="16">
        <v>3</v>
      </c>
      <c r="H643" s="16">
        <v>4</v>
      </c>
      <c r="I643" s="16">
        <f>SUM(B643:H643)</f>
        <v>22</v>
      </c>
      <c r="J643" s="16"/>
      <c r="K643" s="16"/>
      <c r="M643" s="1">
        <v>4359870.63</v>
      </c>
    </row>
    <row r="644" spans="1:13" x14ac:dyDescent="0.3">
      <c r="A644" s="15" t="s">
        <v>12</v>
      </c>
      <c r="B644" s="16">
        <v>4</v>
      </c>
      <c r="C644" s="16">
        <v>8</v>
      </c>
      <c r="D644" s="16">
        <v>4</v>
      </c>
      <c r="E644" s="16">
        <v>2</v>
      </c>
      <c r="F644" s="16">
        <v>5</v>
      </c>
      <c r="G644" s="16">
        <v>7</v>
      </c>
      <c r="H644" s="16">
        <v>0</v>
      </c>
      <c r="I644" s="16">
        <f>SUM(B644:H644)</f>
        <v>30</v>
      </c>
      <c r="J644" s="16"/>
      <c r="K644" s="16"/>
      <c r="M644" s="29">
        <f>M642-M643</f>
        <v>1538.6039999993518</v>
      </c>
    </row>
    <row r="645" spans="1:13" x14ac:dyDescent="0.3">
      <c r="A645" s="15" t="s">
        <v>30</v>
      </c>
      <c r="B645" s="16">
        <v>0</v>
      </c>
      <c r="C645" s="16">
        <v>0</v>
      </c>
      <c r="D645" s="16">
        <v>0</v>
      </c>
      <c r="E645" s="16">
        <v>0</v>
      </c>
      <c r="F645" s="16">
        <v>0</v>
      </c>
      <c r="G645" s="16">
        <v>0</v>
      </c>
      <c r="H645" s="16">
        <v>0</v>
      </c>
      <c r="I645" s="16">
        <f>SUM(B645:H645)</f>
        <v>0</v>
      </c>
      <c r="J645" s="16"/>
      <c r="K645" s="16"/>
    </row>
    <row r="646" spans="1:13" x14ac:dyDescent="0.3">
      <c r="A646" s="15" t="s">
        <v>28</v>
      </c>
      <c r="B646" s="16">
        <v>12</v>
      </c>
      <c r="C646" s="16">
        <v>22</v>
      </c>
      <c r="D646" s="16">
        <v>11</v>
      </c>
      <c r="E646" s="16">
        <v>10</v>
      </c>
      <c r="F646" s="16">
        <v>62</v>
      </c>
      <c r="G646" s="16">
        <v>104</v>
      </c>
      <c r="H646" s="16">
        <v>22</v>
      </c>
      <c r="I646" s="16">
        <f t="shared" ref="I646:I652" si="82">B646+C646+D646+E646+F646+G646+H646</f>
        <v>243</v>
      </c>
      <c r="J646" s="16"/>
      <c r="K646" s="16"/>
    </row>
    <row r="647" spans="1:13" x14ac:dyDescent="0.3">
      <c r="A647" s="15" t="s">
        <v>29</v>
      </c>
      <c r="B647" s="16">
        <v>1</v>
      </c>
      <c r="C647" s="16">
        <v>0</v>
      </c>
      <c r="D647" s="16">
        <v>2</v>
      </c>
      <c r="E647" s="16">
        <v>0</v>
      </c>
      <c r="F647" s="16">
        <v>68</v>
      </c>
      <c r="G647" s="16">
        <v>13</v>
      </c>
      <c r="H647" s="16">
        <v>13</v>
      </c>
      <c r="I647" s="16">
        <f t="shared" si="82"/>
        <v>97</v>
      </c>
      <c r="J647" s="16"/>
      <c r="K647" s="16"/>
    </row>
    <row r="648" spans="1:13" x14ac:dyDescent="0.3">
      <c r="A648" s="15" t="s">
        <v>31</v>
      </c>
      <c r="B648" s="16">
        <v>2</v>
      </c>
      <c r="C648" s="16">
        <v>0</v>
      </c>
      <c r="D648" s="16">
        <v>0</v>
      </c>
      <c r="E648" s="16">
        <v>8</v>
      </c>
      <c r="F648" s="16">
        <v>18</v>
      </c>
      <c r="G648" s="16">
        <v>5</v>
      </c>
      <c r="H648" s="16">
        <v>4</v>
      </c>
      <c r="I648" s="16">
        <f t="shared" si="82"/>
        <v>37</v>
      </c>
      <c r="J648" s="16"/>
      <c r="K648" s="16"/>
    </row>
    <row r="649" spans="1:13" x14ac:dyDescent="0.3">
      <c r="A649" s="15" t="s">
        <v>13</v>
      </c>
      <c r="B649" s="16">
        <v>0</v>
      </c>
      <c r="C649" s="16">
        <v>0</v>
      </c>
      <c r="D649" s="16">
        <v>1</v>
      </c>
      <c r="E649" s="16">
        <v>0</v>
      </c>
      <c r="F649" s="16">
        <v>0</v>
      </c>
      <c r="G649" s="16">
        <v>0</v>
      </c>
      <c r="H649" s="16">
        <v>0</v>
      </c>
      <c r="I649" s="16">
        <f t="shared" si="82"/>
        <v>1</v>
      </c>
      <c r="J649" s="16"/>
      <c r="K649" s="16"/>
    </row>
    <row r="650" spans="1:13" x14ac:dyDescent="0.3">
      <c r="A650" s="15" t="s">
        <v>14</v>
      </c>
      <c r="B650" s="16">
        <v>0</v>
      </c>
      <c r="C650" s="16">
        <v>0</v>
      </c>
      <c r="D650" s="16">
        <v>0</v>
      </c>
      <c r="E650" s="16">
        <v>0</v>
      </c>
      <c r="F650" s="16">
        <v>0</v>
      </c>
      <c r="G650" s="16">
        <v>0</v>
      </c>
      <c r="H650" s="16">
        <v>0</v>
      </c>
      <c r="I650" s="16">
        <f t="shared" si="82"/>
        <v>0</v>
      </c>
      <c r="J650" s="16"/>
      <c r="K650" s="16"/>
    </row>
    <row r="651" spans="1:13" x14ac:dyDescent="0.3">
      <c r="A651" s="15" t="s">
        <v>32</v>
      </c>
      <c r="B651" s="16">
        <v>0</v>
      </c>
      <c r="C651" s="16">
        <v>0</v>
      </c>
      <c r="D651" s="16">
        <v>2</v>
      </c>
      <c r="E651" s="16">
        <v>0</v>
      </c>
      <c r="F651" s="16">
        <v>9</v>
      </c>
      <c r="G651" s="16">
        <v>0</v>
      </c>
      <c r="H651" s="16">
        <v>0</v>
      </c>
      <c r="I651" s="16">
        <f t="shared" si="82"/>
        <v>11</v>
      </c>
      <c r="J651" s="16"/>
      <c r="K651" s="16"/>
    </row>
    <row r="652" spans="1:13" x14ac:dyDescent="0.3">
      <c r="A652" s="15" t="s">
        <v>33</v>
      </c>
      <c r="B652" s="16">
        <v>0</v>
      </c>
      <c r="C652" s="16">
        <v>0</v>
      </c>
      <c r="D652" s="16">
        <v>0</v>
      </c>
      <c r="E652" s="16">
        <v>0</v>
      </c>
      <c r="F652" s="16">
        <v>0</v>
      </c>
      <c r="G652" s="16">
        <v>0</v>
      </c>
      <c r="H652" s="16">
        <v>0</v>
      </c>
      <c r="I652" s="16">
        <f t="shared" si="82"/>
        <v>0</v>
      </c>
      <c r="J652" s="16"/>
      <c r="K652" s="16"/>
    </row>
    <row r="653" spans="1:13" ht="19.5" thickBot="1" x14ac:dyDescent="0.35">
      <c r="A653" s="30" t="s">
        <v>15</v>
      </c>
      <c r="B653" s="31">
        <f t="shared" ref="B653:H653" si="83">(B644+B643)/B642*100%</f>
        <v>0.13725490196078433</v>
      </c>
      <c r="C653" s="31">
        <f t="shared" si="83"/>
        <v>0.21568627450980393</v>
      </c>
      <c r="D653" s="31">
        <f t="shared" si="83"/>
        <v>0.13725490196078433</v>
      </c>
      <c r="E653" s="31">
        <f t="shared" si="83"/>
        <v>9.8039215686274508E-2</v>
      </c>
      <c r="F653" s="31">
        <f t="shared" si="83"/>
        <v>0.15384615384615385</v>
      </c>
      <c r="G653" s="31">
        <f t="shared" si="83"/>
        <v>0.19230769230769232</v>
      </c>
      <c r="H653" s="31">
        <f t="shared" si="83"/>
        <v>7.6923076923076927E-2</v>
      </c>
      <c r="I653" s="32">
        <f>(B653+C653+D653+E653+F653+G653+H653)/7</f>
        <v>0.14447317388493858</v>
      </c>
      <c r="J653" s="52"/>
      <c r="K653" s="52"/>
    </row>
    <row r="654" spans="1:13" x14ac:dyDescent="0.3">
      <c r="A654" s="33" t="s">
        <v>16</v>
      </c>
      <c r="B654" s="16"/>
      <c r="C654" s="17"/>
      <c r="D654" s="16"/>
      <c r="E654" s="18"/>
      <c r="F654" s="16"/>
      <c r="G654" s="16"/>
      <c r="H654" s="16"/>
      <c r="I654" s="16"/>
      <c r="J654" s="16"/>
      <c r="K654" s="16"/>
    </row>
    <row r="655" spans="1:13" x14ac:dyDescent="0.3">
      <c r="A655" s="15" t="s">
        <v>17</v>
      </c>
      <c r="B655" s="28">
        <v>5600.098</v>
      </c>
      <c r="C655" s="28">
        <v>14000.231</v>
      </c>
      <c r="D655" s="28">
        <v>3872.864</v>
      </c>
      <c r="E655" s="28">
        <v>6509.4800000000005</v>
      </c>
      <c r="F655" s="28">
        <v>16273.7</v>
      </c>
      <c r="G655" s="28">
        <v>18633.364000000001</v>
      </c>
      <c r="H655" s="28">
        <v>0</v>
      </c>
      <c r="I655" s="19">
        <f>SUM(B655:H655)</f>
        <v>64889.737000000001</v>
      </c>
      <c r="J655" s="19"/>
      <c r="K655" s="19"/>
    </row>
    <row r="656" spans="1:13" x14ac:dyDescent="0.3">
      <c r="A656" s="15" t="s">
        <v>18</v>
      </c>
      <c r="B656" s="28">
        <v>7452.1479000000008</v>
      </c>
      <c r="C656" s="28">
        <v>16208.481800000001</v>
      </c>
      <c r="D656" s="28">
        <v>5827.4158000000007</v>
      </c>
      <c r="E656" s="28">
        <v>7717.8495000000003</v>
      </c>
      <c r="F656" s="28">
        <v>33693.323499999999</v>
      </c>
      <c r="G656" s="28">
        <v>41746.517300000007</v>
      </c>
      <c r="H656" s="28">
        <v>6999.6635000000006</v>
      </c>
      <c r="I656" s="19">
        <f t="shared" ref="I656:I659" si="84">SUM(B656:H656)</f>
        <v>119645.3993</v>
      </c>
      <c r="J656" s="19"/>
      <c r="K656" s="19"/>
    </row>
    <row r="657" spans="1:11" x14ac:dyDescent="0.3">
      <c r="A657" s="15" t="s">
        <v>19</v>
      </c>
      <c r="B657" s="28">
        <v>4608.4396999999999</v>
      </c>
      <c r="C657" s="28">
        <v>9573.3144000000011</v>
      </c>
      <c r="D657" s="28">
        <v>3611.0322000000001</v>
      </c>
      <c r="E657" s="28">
        <v>5374.3685000000005</v>
      </c>
      <c r="F657" s="28">
        <v>17447.709500000001</v>
      </c>
      <c r="G657" s="28">
        <v>19722.512699999999</v>
      </c>
      <c r="H657" s="28">
        <v>3089.9444999999996</v>
      </c>
      <c r="I657" s="19">
        <f t="shared" si="84"/>
        <v>63427.321499999998</v>
      </c>
      <c r="J657" s="19"/>
      <c r="K657" s="19"/>
    </row>
    <row r="658" spans="1:11" x14ac:dyDescent="0.3">
      <c r="A658" s="15" t="s">
        <v>21</v>
      </c>
      <c r="B658" s="28">
        <v>1280.0224000000001</v>
      </c>
      <c r="C658" s="28">
        <v>5071.5828000000001</v>
      </c>
      <c r="D658" s="28">
        <v>6183.97</v>
      </c>
      <c r="E658" s="28">
        <v>0</v>
      </c>
      <c r="F658" s="28">
        <v>0</v>
      </c>
      <c r="G658" s="28">
        <v>0</v>
      </c>
      <c r="H658" s="28">
        <v>0</v>
      </c>
      <c r="I658" s="19">
        <f t="shared" si="84"/>
        <v>12535.575199999999</v>
      </c>
      <c r="J658" s="19"/>
      <c r="K658" s="19"/>
    </row>
    <row r="659" spans="1:11" ht="19.5" thickBot="1" x14ac:dyDescent="0.35">
      <c r="A659" s="15" t="s">
        <v>22</v>
      </c>
      <c r="B659" s="28">
        <v>0</v>
      </c>
      <c r="C659" s="28">
        <v>0</v>
      </c>
      <c r="D659" s="28">
        <v>0</v>
      </c>
      <c r="E659" s="28">
        <v>0</v>
      </c>
      <c r="F659" s="28">
        <v>0</v>
      </c>
      <c r="G659" s="28">
        <v>0</v>
      </c>
      <c r="H659" s="28">
        <v>0</v>
      </c>
      <c r="I659" s="19">
        <f t="shared" si="84"/>
        <v>0</v>
      </c>
      <c r="J659" s="19"/>
      <c r="K659" s="19"/>
    </row>
    <row r="660" spans="1:11" ht="19.5" thickBot="1" x14ac:dyDescent="0.35">
      <c r="A660" s="20" t="s">
        <v>7</v>
      </c>
      <c r="B660" s="21">
        <f>SUM(B655:B659)</f>
        <v>18940.708000000002</v>
      </c>
      <c r="C660" s="21">
        <f>SUM(C655:C659)</f>
        <v>44853.61</v>
      </c>
      <c r="D660" s="21">
        <f t="shared" ref="D660:H660" si="85">SUM(D655:D659)</f>
        <v>19495.281999999999</v>
      </c>
      <c r="E660" s="21">
        <f t="shared" si="85"/>
        <v>19601.698</v>
      </c>
      <c r="F660" s="21">
        <f t="shared" si="85"/>
        <v>67414.732999999993</v>
      </c>
      <c r="G660" s="21">
        <f t="shared" si="85"/>
        <v>80102.394</v>
      </c>
      <c r="H660" s="21">
        <f t="shared" si="85"/>
        <v>10089.608</v>
      </c>
      <c r="I660" s="21">
        <f>SUM(I655:I659)</f>
        <v>260498.033</v>
      </c>
      <c r="J660" s="53"/>
      <c r="K660" s="53"/>
    </row>
    <row r="661" spans="1:11" ht="19.5" thickTop="1" x14ac:dyDescent="0.3">
      <c r="A661" s="22" t="s">
        <v>20</v>
      </c>
      <c r="B661" s="23">
        <f>7119.71*0.6</f>
        <v>4271.826</v>
      </c>
      <c r="C661" s="23">
        <f>11635.66*0.6</f>
        <v>6981.3959999999997</v>
      </c>
      <c r="D661" s="23">
        <f>7160.38*0.6</f>
        <v>4296.2280000000001</v>
      </c>
      <c r="E661" s="23">
        <f>7567.23*0.6</f>
        <v>4540.3379999999997</v>
      </c>
      <c r="F661" s="23">
        <f>48890.23*0.6</f>
        <v>29334.138000000003</v>
      </c>
      <c r="G661" s="23">
        <f>56054.65*0.6</f>
        <v>33632.79</v>
      </c>
      <c r="H661" s="23">
        <f>15419.23*0.6</f>
        <v>9251.5379999999986</v>
      </c>
      <c r="I661" s="23">
        <f>SUM(B661:H661)</f>
        <v>92308.254000000015</v>
      </c>
      <c r="J661" s="23"/>
      <c r="K661" s="23"/>
    </row>
    <row r="662" spans="1:11" x14ac:dyDescent="0.3">
      <c r="A662" s="24" t="s">
        <v>25</v>
      </c>
      <c r="B662" s="25"/>
      <c r="C662" s="25"/>
      <c r="D662" s="25"/>
      <c r="E662" s="25"/>
      <c r="F662" s="25"/>
      <c r="G662" s="25"/>
      <c r="H662" s="25"/>
      <c r="I662" s="25"/>
      <c r="J662" s="25"/>
      <c r="K662" s="25"/>
    </row>
    <row r="663" spans="1:11" x14ac:dyDescent="0.3">
      <c r="A663" s="26" t="s">
        <v>23</v>
      </c>
      <c r="B663" s="25">
        <v>0</v>
      </c>
      <c r="C663" s="25">
        <v>0</v>
      </c>
      <c r="D663" s="25">
        <v>0</v>
      </c>
      <c r="E663" s="25">
        <v>0</v>
      </c>
      <c r="F663" s="25">
        <v>0</v>
      </c>
      <c r="G663" s="25">
        <v>0</v>
      </c>
      <c r="H663" s="25">
        <v>0</v>
      </c>
      <c r="I663" s="25">
        <f>SUM(B663:H663)</f>
        <v>0</v>
      </c>
      <c r="J663" s="25"/>
      <c r="K663" s="25"/>
    </row>
    <row r="664" spans="1:11" ht="19.5" thickBot="1" x14ac:dyDescent="0.35">
      <c r="A664" s="27" t="s">
        <v>24</v>
      </c>
      <c r="B664" s="25">
        <f>18000/1.229</f>
        <v>14646.053702196907</v>
      </c>
      <c r="C664" s="25">
        <f t="shared" ref="C664:F664" si="86">18000/1.229</f>
        <v>14646.053702196907</v>
      </c>
      <c r="D664" s="25">
        <f t="shared" si="86"/>
        <v>14646.053702196907</v>
      </c>
      <c r="E664" s="25">
        <f t="shared" si="86"/>
        <v>14646.053702196907</v>
      </c>
      <c r="F664" s="25">
        <f t="shared" si="86"/>
        <v>14646.053702196907</v>
      </c>
      <c r="G664" s="25">
        <f>18000/1.229</f>
        <v>14646.053702196907</v>
      </c>
      <c r="H664" s="25">
        <f>24000/1.229</f>
        <v>19528.071602929209</v>
      </c>
      <c r="I664" s="25">
        <f>SUM(B664:H664)</f>
        <v>107404.39381611065</v>
      </c>
      <c r="J664" s="25"/>
      <c r="K664" s="25"/>
    </row>
    <row r="668" spans="1:11" ht="17.45" customHeight="1" x14ac:dyDescent="0.3">
      <c r="A668" s="4" t="s">
        <v>62</v>
      </c>
      <c r="B668" s="5" t="s">
        <v>0</v>
      </c>
      <c r="C668" s="5" t="s">
        <v>1</v>
      </c>
      <c r="D668" s="5" t="s">
        <v>2</v>
      </c>
      <c r="E668" s="6" t="s">
        <v>3</v>
      </c>
      <c r="F668" s="5" t="s">
        <v>4</v>
      </c>
      <c r="G668" s="5" t="s">
        <v>5</v>
      </c>
      <c r="H668" s="5" t="s">
        <v>6</v>
      </c>
      <c r="I668" s="5" t="s">
        <v>7</v>
      </c>
      <c r="J668" s="11"/>
      <c r="K668" s="11"/>
    </row>
    <row r="669" spans="1:11" x14ac:dyDescent="0.3">
      <c r="A669" s="7"/>
      <c r="B669" s="8">
        <v>45453</v>
      </c>
      <c r="C669" s="8">
        <v>45454</v>
      </c>
      <c r="D669" s="8">
        <v>45455</v>
      </c>
      <c r="E669" s="8">
        <v>45456</v>
      </c>
      <c r="F669" s="8">
        <v>45457</v>
      </c>
      <c r="G669" s="8">
        <v>45458</v>
      </c>
      <c r="H669" s="8">
        <v>45459</v>
      </c>
      <c r="I669" s="9"/>
      <c r="J669" s="11"/>
      <c r="K669" s="11"/>
    </row>
    <row r="670" spans="1:11" ht="19.5" thickBot="1" x14ac:dyDescent="0.35">
      <c r="A670" s="10" t="s">
        <v>8</v>
      </c>
      <c r="B670" s="11" t="s">
        <v>9</v>
      </c>
      <c r="C670" s="11" t="s">
        <v>9</v>
      </c>
      <c r="D670" s="11" t="s">
        <v>9</v>
      </c>
      <c r="E670" s="11" t="s">
        <v>9</v>
      </c>
      <c r="F670" s="11" t="s">
        <v>9</v>
      </c>
      <c r="G670" s="11" t="s">
        <v>9</v>
      </c>
      <c r="H670" s="11" t="s">
        <v>9</v>
      </c>
      <c r="I670" s="12" t="s">
        <v>9</v>
      </c>
      <c r="J670" s="11"/>
      <c r="K670" s="11"/>
    </row>
    <row r="671" spans="1:11" x14ac:dyDescent="0.3">
      <c r="A671" s="13" t="s">
        <v>10</v>
      </c>
      <c r="B671" s="14">
        <f>55-4</f>
        <v>51</v>
      </c>
      <c r="C671" s="14">
        <f>55-4</f>
        <v>51</v>
      </c>
      <c r="D671" s="14">
        <f>55-4</f>
        <v>51</v>
      </c>
      <c r="E671" s="14">
        <f>55-5</f>
        <v>50</v>
      </c>
      <c r="F671" s="14">
        <f>55-1</f>
        <v>54</v>
      </c>
      <c r="G671" s="14">
        <f>55-1</f>
        <v>54</v>
      </c>
      <c r="H671" s="14">
        <f>55-1</f>
        <v>54</v>
      </c>
      <c r="I671" s="14"/>
      <c r="J671" s="16"/>
      <c r="K671" s="16"/>
    </row>
    <row r="672" spans="1:11" x14ac:dyDescent="0.3">
      <c r="A672" s="15" t="s">
        <v>11</v>
      </c>
      <c r="B672" s="16">
        <v>3</v>
      </c>
      <c r="C672" s="16">
        <v>3</v>
      </c>
      <c r="D672" s="16">
        <v>3</v>
      </c>
      <c r="E672" s="16">
        <v>3</v>
      </c>
      <c r="F672" s="16">
        <v>3</v>
      </c>
      <c r="G672" s="16">
        <v>6</v>
      </c>
      <c r="H672" s="16">
        <v>6</v>
      </c>
      <c r="I672" s="16">
        <f>SUM(B672:H672)</f>
        <v>27</v>
      </c>
      <c r="J672" s="16"/>
      <c r="K672" s="16"/>
    </row>
    <row r="673" spans="1:11" x14ac:dyDescent="0.3">
      <c r="A673" s="15" t="s">
        <v>12</v>
      </c>
      <c r="B673" s="16">
        <v>15</v>
      </c>
      <c r="C673" s="16">
        <v>17</v>
      </c>
      <c r="D673" s="16">
        <v>16</v>
      </c>
      <c r="E673" s="16">
        <v>35</v>
      </c>
      <c r="F673" s="16">
        <v>51</v>
      </c>
      <c r="G673" s="16">
        <v>27</v>
      </c>
      <c r="H673" s="16">
        <v>13</v>
      </c>
      <c r="I673" s="16">
        <f>SUM(B673:H673)</f>
        <v>174</v>
      </c>
      <c r="J673" s="16"/>
      <c r="K673" s="16"/>
    </row>
    <row r="674" spans="1:11" x14ac:dyDescent="0.3">
      <c r="A674" s="15" t="s">
        <v>30</v>
      </c>
      <c r="B674" s="16">
        <v>0</v>
      </c>
      <c r="C674" s="16">
        <v>0</v>
      </c>
      <c r="D674" s="16">
        <v>0</v>
      </c>
      <c r="E674" s="16">
        <v>0</v>
      </c>
      <c r="F674" s="16">
        <v>0</v>
      </c>
      <c r="G674" s="16">
        <v>0</v>
      </c>
      <c r="H674" s="16">
        <v>0</v>
      </c>
      <c r="I674" s="16">
        <f>SUM(B674:H674)</f>
        <v>0</v>
      </c>
      <c r="J674" s="16"/>
      <c r="K674" s="16"/>
    </row>
    <row r="675" spans="1:11" x14ac:dyDescent="0.3">
      <c r="A675" s="15" t="s">
        <v>28</v>
      </c>
      <c r="B675" s="16">
        <v>13</v>
      </c>
      <c r="C675" s="16">
        <v>13</v>
      </c>
      <c r="D675" s="16">
        <v>10</v>
      </c>
      <c r="E675" s="16">
        <v>14</v>
      </c>
      <c r="F675" s="16">
        <v>55</v>
      </c>
      <c r="G675" s="16">
        <v>78</v>
      </c>
      <c r="H675" s="16">
        <v>110</v>
      </c>
      <c r="I675" s="16">
        <f t="shared" ref="I675:I681" si="87">B675+C675+D675+E675+F675+G675+H675</f>
        <v>293</v>
      </c>
      <c r="J675" s="16"/>
      <c r="K675" s="16"/>
    </row>
    <row r="676" spans="1:11" x14ac:dyDescent="0.3">
      <c r="A676" s="15" t="s">
        <v>29</v>
      </c>
      <c r="B676" s="16">
        <v>0</v>
      </c>
      <c r="C676" s="16">
        <v>0</v>
      </c>
      <c r="D676" s="16">
        <v>0</v>
      </c>
      <c r="E676" s="16">
        <v>26</v>
      </c>
      <c r="F676" s="16">
        <v>60</v>
      </c>
      <c r="G676" s="16">
        <v>17</v>
      </c>
      <c r="H676" s="16">
        <v>15</v>
      </c>
      <c r="I676" s="16">
        <f t="shared" si="87"/>
        <v>118</v>
      </c>
      <c r="J676" s="16"/>
      <c r="K676" s="16"/>
    </row>
    <row r="677" spans="1:11" x14ac:dyDescent="0.3">
      <c r="A677" s="15" t="s">
        <v>31</v>
      </c>
      <c r="B677" s="16">
        <v>1</v>
      </c>
      <c r="C677" s="16">
        <v>1</v>
      </c>
      <c r="D677" s="16">
        <v>9</v>
      </c>
      <c r="E677" s="16">
        <v>19</v>
      </c>
      <c r="F677" s="16">
        <v>128</v>
      </c>
      <c r="G677" s="16">
        <v>9</v>
      </c>
      <c r="H677" s="16">
        <v>10</v>
      </c>
      <c r="I677" s="16">
        <f t="shared" si="87"/>
        <v>177</v>
      </c>
      <c r="J677" s="16"/>
      <c r="K677" s="16"/>
    </row>
    <row r="678" spans="1:11" x14ac:dyDescent="0.3">
      <c r="A678" s="15" t="s">
        <v>13</v>
      </c>
      <c r="B678" s="16">
        <v>0</v>
      </c>
      <c r="C678" s="16">
        <v>0</v>
      </c>
      <c r="D678" s="16">
        <v>0</v>
      </c>
      <c r="E678" s="16">
        <v>0</v>
      </c>
      <c r="F678" s="16">
        <v>0</v>
      </c>
      <c r="G678" s="16">
        <v>1</v>
      </c>
      <c r="H678" s="16">
        <v>1</v>
      </c>
      <c r="I678" s="16">
        <f t="shared" si="87"/>
        <v>2</v>
      </c>
      <c r="J678" s="16"/>
      <c r="K678" s="16"/>
    </row>
    <row r="679" spans="1:11" x14ac:dyDescent="0.3">
      <c r="A679" s="15" t="s">
        <v>14</v>
      </c>
      <c r="B679" s="16">
        <v>0</v>
      </c>
      <c r="C679" s="16">
        <v>0</v>
      </c>
      <c r="D679" s="16">
        <v>0</v>
      </c>
      <c r="E679" s="16">
        <v>0</v>
      </c>
      <c r="F679" s="16">
        <v>0</v>
      </c>
      <c r="G679" s="16">
        <v>0</v>
      </c>
      <c r="H679" s="16">
        <v>0</v>
      </c>
      <c r="I679" s="16">
        <f t="shared" si="87"/>
        <v>0</v>
      </c>
      <c r="J679" s="16"/>
      <c r="K679" s="16"/>
    </row>
    <row r="680" spans="1:11" x14ac:dyDescent="0.3">
      <c r="A680" s="15" t="s">
        <v>32</v>
      </c>
      <c r="B680" s="16">
        <v>0</v>
      </c>
      <c r="C680" s="16">
        <v>0</v>
      </c>
      <c r="D680" s="16">
        <v>0</v>
      </c>
      <c r="E680" s="16">
        <v>0</v>
      </c>
      <c r="F680" s="16">
        <v>0</v>
      </c>
      <c r="G680" s="16">
        <v>0</v>
      </c>
      <c r="H680" s="16">
        <v>0</v>
      </c>
      <c r="I680" s="16">
        <f t="shared" si="87"/>
        <v>0</v>
      </c>
      <c r="J680" s="16"/>
      <c r="K680" s="16"/>
    </row>
    <row r="681" spans="1:11" x14ac:dyDescent="0.3">
      <c r="A681" s="15" t="s">
        <v>33</v>
      </c>
      <c r="B681" s="16">
        <v>0</v>
      </c>
      <c r="C681" s="16">
        <v>0</v>
      </c>
      <c r="D681" s="16">
        <v>0</v>
      </c>
      <c r="E681" s="16">
        <v>0</v>
      </c>
      <c r="F681" s="16">
        <v>0</v>
      </c>
      <c r="G681" s="16">
        <v>0</v>
      </c>
      <c r="H681" s="16">
        <v>0</v>
      </c>
      <c r="I681" s="16">
        <f t="shared" si="87"/>
        <v>0</v>
      </c>
      <c r="J681" s="16"/>
      <c r="K681" s="16"/>
    </row>
    <row r="682" spans="1:11" ht="19.5" thickBot="1" x14ac:dyDescent="0.35">
      <c r="A682" s="30" t="s">
        <v>15</v>
      </c>
      <c r="B682" s="31">
        <f t="shared" ref="B682:H682" si="88">(B673+B672)/B671*100%</f>
        <v>0.35294117647058826</v>
      </c>
      <c r="C682" s="31">
        <f t="shared" si="88"/>
        <v>0.39215686274509803</v>
      </c>
      <c r="D682" s="31">
        <f t="shared" si="88"/>
        <v>0.37254901960784315</v>
      </c>
      <c r="E682" s="31">
        <f t="shared" si="88"/>
        <v>0.76</v>
      </c>
      <c r="F682" s="31">
        <f t="shared" si="88"/>
        <v>1</v>
      </c>
      <c r="G682" s="31">
        <f t="shared" si="88"/>
        <v>0.61111111111111116</v>
      </c>
      <c r="H682" s="31">
        <f t="shared" si="88"/>
        <v>0.35185185185185186</v>
      </c>
      <c r="I682" s="32">
        <f>(B682+C682+D682+E682+F682+G682+H682)/7</f>
        <v>0.54865857454092748</v>
      </c>
      <c r="J682" s="52"/>
      <c r="K682" s="52"/>
    </row>
    <row r="683" spans="1:11" x14ac:dyDescent="0.3">
      <c r="A683" s="33" t="s">
        <v>16</v>
      </c>
      <c r="B683" s="16"/>
      <c r="C683" s="17"/>
      <c r="D683" s="16"/>
      <c r="E683" s="18"/>
      <c r="F683" s="16"/>
      <c r="G683" s="16"/>
      <c r="H683" s="16"/>
      <c r="I683" s="16"/>
      <c r="J683" s="16"/>
      <c r="K683" s="16"/>
    </row>
    <row r="684" spans="1:11" x14ac:dyDescent="0.3">
      <c r="A684" s="15" t="s">
        <v>17</v>
      </c>
      <c r="B684" s="28">
        <v>15750.314999999999</v>
      </c>
      <c r="C684" s="28">
        <v>22542.152499999997</v>
      </c>
      <c r="D684" s="28">
        <v>16905.762999999995</v>
      </c>
      <c r="E684" s="28">
        <v>57244.8125</v>
      </c>
      <c r="F684" s="28">
        <v>81752.960999999996</v>
      </c>
      <c r="G684" s="28">
        <v>51405.683000000005</v>
      </c>
      <c r="H684" s="28">
        <v>27654.208000000002</v>
      </c>
      <c r="I684" s="19">
        <f>SUM(B684:H684)</f>
        <v>273255.89499999996</v>
      </c>
      <c r="J684" s="19"/>
      <c r="K684" s="19"/>
    </row>
    <row r="685" spans="1:11" x14ac:dyDescent="0.3">
      <c r="A685" s="15" t="s">
        <v>18</v>
      </c>
      <c r="B685" s="28">
        <v>15700.471000000003</v>
      </c>
      <c r="C685" s="28">
        <v>21116.838000000003</v>
      </c>
      <c r="D685" s="28">
        <v>19234.308099999998</v>
      </c>
      <c r="E685" s="28">
        <v>52700.843700000005</v>
      </c>
      <c r="F685" s="28">
        <v>91168.597500000003</v>
      </c>
      <c r="G685" s="28">
        <v>63737.9427</v>
      </c>
      <c r="H685" s="28">
        <v>54996.459100000007</v>
      </c>
      <c r="I685" s="19">
        <f t="shared" ref="I685:I688" si="89">SUM(B685:H685)</f>
        <v>318655.46010000003</v>
      </c>
      <c r="J685" s="19"/>
      <c r="K685" s="19"/>
    </row>
    <row r="686" spans="1:11" x14ac:dyDescent="0.3">
      <c r="A686" s="15" t="s">
        <v>19</v>
      </c>
      <c r="B686" s="28">
        <v>9852.0440000000017</v>
      </c>
      <c r="C686" s="28">
        <v>15768.984499999999</v>
      </c>
      <c r="D686" s="28">
        <v>11725.2089</v>
      </c>
      <c r="E686" s="28">
        <v>33173.561199999996</v>
      </c>
      <c r="F686" s="28">
        <v>54636.960100000004</v>
      </c>
      <c r="G686" s="28">
        <v>37113.4185</v>
      </c>
      <c r="H686" s="28">
        <v>34135.692899999995</v>
      </c>
      <c r="I686" s="19">
        <f t="shared" si="89"/>
        <v>196405.8701</v>
      </c>
      <c r="J686" s="19"/>
      <c r="K686" s="19"/>
    </row>
    <row r="687" spans="1:11" x14ac:dyDescent="0.3">
      <c r="A687" s="15" t="s">
        <v>21</v>
      </c>
      <c r="B687" s="28">
        <v>3600.0720000000001</v>
      </c>
      <c r="C687" s="28">
        <v>4851.1959999999999</v>
      </c>
      <c r="D687" s="28">
        <v>3600.0719999999997</v>
      </c>
      <c r="E687" s="28">
        <v>12351.749599999999</v>
      </c>
      <c r="F687" s="28">
        <v>17377.054400000001</v>
      </c>
      <c r="G687" s="28">
        <v>5376.8207999999995</v>
      </c>
      <c r="H687" s="28">
        <v>0</v>
      </c>
      <c r="I687" s="19">
        <f t="shared" si="89"/>
        <v>47156.964800000002</v>
      </c>
      <c r="J687" s="19"/>
      <c r="K687" s="19"/>
    </row>
    <row r="688" spans="1:11" ht="19.5" thickBot="1" x14ac:dyDescent="0.35">
      <c r="A688" s="15" t="s">
        <v>22</v>
      </c>
      <c r="B688" s="28">
        <v>0</v>
      </c>
      <c r="C688" s="28">
        <v>0</v>
      </c>
      <c r="D688" s="28">
        <v>0</v>
      </c>
      <c r="E688" s="28">
        <v>0</v>
      </c>
      <c r="F688" s="28">
        <v>0</v>
      </c>
      <c r="G688" s="28">
        <v>0</v>
      </c>
      <c r="H688" s="28">
        <v>8000</v>
      </c>
      <c r="I688" s="19">
        <f t="shared" si="89"/>
        <v>8000</v>
      </c>
      <c r="J688" s="19"/>
      <c r="K688" s="19"/>
    </row>
    <row r="689" spans="1:11" ht="19.5" thickBot="1" x14ac:dyDescent="0.35">
      <c r="A689" s="20" t="s">
        <v>7</v>
      </c>
      <c r="B689" s="21">
        <f>SUM(B684:B688)</f>
        <v>44902.902000000002</v>
      </c>
      <c r="C689" s="21">
        <f>SUM(C684:C688)</f>
        <v>64279.171000000002</v>
      </c>
      <c r="D689" s="21">
        <f t="shared" ref="D689:H689" si="90">SUM(D684:D688)</f>
        <v>51465.351999999992</v>
      </c>
      <c r="E689" s="21">
        <f t="shared" si="90"/>
        <v>155470.967</v>
      </c>
      <c r="F689" s="21">
        <f t="shared" si="90"/>
        <v>244935.57299999997</v>
      </c>
      <c r="G689" s="21">
        <f t="shared" si="90"/>
        <v>157633.86499999999</v>
      </c>
      <c r="H689" s="21">
        <f t="shared" si="90"/>
        <v>124786.36</v>
      </c>
      <c r="I689" s="21">
        <f>SUM(I684:I688)</f>
        <v>843474.19</v>
      </c>
      <c r="J689" s="53"/>
      <c r="K689" s="53"/>
    </row>
    <row r="690" spans="1:11" ht="19.5" thickTop="1" x14ac:dyDescent="0.3">
      <c r="A690" s="22" t="s">
        <v>20</v>
      </c>
      <c r="B690" s="23">
        <f>7160.42*0.6</f>
        <v>4296.2519999999995</v>
      </c>
      <c r="C690" s="23">
        <f>7160.36*0.6</f>
        <v>4296.2159999999994</v>
      </c>
      <c r="D690" s="23">
        <f>11147.49*0.6</f>
        <v>6688.4939999999997</v>
      </c>
      <c r="E690" s="23">
        <f>16517.81*0.6</f>
        <v>9910.6859999999997</v>
      </c>
      <c r="F690" s="23">
        <f>58259.83*0.6</f>
        <v>34955.898000000001</v>
      </c>
      <c r="G690" s="23">
        <f>46900.59*0.6</f>
        <v>28140.353999999996</v>
      </c>
      <c r="H690" s="23">
        <f>63792.67*0.6</f>
        <v>38275.601999999999</v>
      </c>
      <c r="I690" s="23">
        <f>SUM(B690:H690)</f>
        <v>126563.50199999999</v>
      </c>
      <c r="J690" s="23"/>
      <c r="K690" s="23"/>
    </row>
    <row r="691" spans="1:11" x14ac:dyDescent="0.3">
      <c r="A691" s="24" t="s">
        <v>25</v>
      </c>
      <c r="B691" s="25"/>
      <c r="C691" s="25"/>
      <c r="D691" s="25"/>
      <c r="E691" s="25"/>
      <c r="F691" s="25"/>
      <c r="G691" s="25"/>
      <c r="H691" s="25"/>
      <c r="I691" s="25"/>
      <c r="J691" s="25"/>
      <c r="K691" s="25"/>
    </row>
    <row r="692" spans="1:11" x14ac:dyDescent="0.3">
      <c r="A692" s="26" t="s">
        <v>23</v>
      </c>
      <c r="B692" s="25">
        <v>0</v>
      </c>
      <c r="C692" s="25">
        <v>0</v>
      </c>
      <c r="D692" s="25">
        <v>0</v>
      </c>
      <c r="E692" s="25"/>
      <c r="F692" s="25">
        <v>0</v>
      </c>
      <c r="G692" s="25">
        <f>30000/1.229</f>
        <v>24410.089503661511</v>
      </c>
      <c r="H692" s="25">
        <f>30000/1.229</f>
        <v>24410.089503661511</v>
      </c>
      <c r="I692" s="25">
        <f>SUM(B692:H692)</f>
        <v>48820.179007323022</v>
      </c>
      <c r="J692" s="25"/>
      <c r="K692" s="25"/>
    </row>
    <row r="693" spans="1:11" ht="19.5" thickBot="1" x14ac:dyDescent="0.35">
      <c r="A693" s="27" t="s">
        <v>24</v>
      </c>
      <c r="B693" s="25">
        <f>18000/1.229</f>
        <v>14646.053702196907</v>
      </c>
      <c r="C693" s="25">
        <f>18000/1.229</f>
        <v>14646.053702196907</v>
      </c>
      <c r="D693" s="25">
        <f>18000/1.229</f>
        <v>14646.053702196907</v>
      </c>
      <c r="E693" s="25">
        <f>18000/1.229</f>
        <v>14646.053702196907</v>
      </c>
      <c r="F693" s="25">
        <f>30000/1.229</f>
        <v>24410.089503661511</v>
      </c>
      <c r="G693" s="25">
        <f>46000/1.229</f>
        <v>37428.803905614317</v>
      </c>
      <c r="H693" s="25">
        <f>46000/1.229</f>
        <v>37428.803905614317</v>
      </c>
      <c r="I693" s="25">
        <f>SUM(B693:H693)</f>
        <v>157851.91212367779</v>
      </c>
      <c r="J693" s="25"/>
      <c r="K693" s="25"/>
    </row>
    <row r="697" spans="1:11" ht="17.45" customHeight="1" x14ac:dyDescent="0.3">
      <c r="A697" s="4" t="s">
        <v>66</v>
      </c>
      <c r="B697" s="5" t="s">
        <v>0</v>
      </c>
      <c r="C697" s="5" t="s">
        <v>1</v>
      </c>
      <c r="D697" s="5" t="s">
        <v>2</v>
      </c>
      <c r="E697" s="6" t="s">
        <v>3</v>
      </c>
      <c r="F697" s="5" t="s">
        <v>4</v>
      </c>
      <c r="G697" s="5" t="s">
        <v>5</v>
      </c>
      <c r="H697" s="5" t="s">
        <v>6</v>
      </c>
      <c r="I697" s="5" t="s">
        <v>7</v>
      </c>
      <c r="J697" s="11"/>
      <c r="K697" s="11"/>
    </row>
    <row r="698" spans="1:11" x14ac:dyDescent="0.3">
      <c r="A698" s="7"/>
      <c r="B698" s="8">
        <v>45460</v>
      </c>
      <c r="C698" s="8">
        <v>45461</v>
      </c>
      <c r="D698" s="8">
        <v>45462</v>
      </c>
      <c r="E698" s="8">
        <v>45463</v>
      </c>
      <c r="F698" s="8">
        <v>45464</v>
      </c>
      <c r="G698" s="8">
        <v>45465</v>
      </c>
      <c r="H698" s="8">
        <v>45466</v>
      </c>
      <c r="I698" s="9"/>
      <c r="J698" s="11"/>
      <c r="K698" s="11"/>
    </row>
    <row r="699" spans="1:11" ht="19.5" thickBot="1" x14ac:dyDescent="0.35">
      <c r="A699" s="10" t="s">
        <v>8</v>
      </c>
      <c r="B699" s="11" t="s">
        <v>9</v>
      </c>
      <c r="C699" s="11" t="s">
        <v>9</v>
      </c>
      <c r="D699" s="11" t="s">
        <v>9</v>
      </c>
      <c r="E699" s="11" t="s">
        <v>9</v>
      </c>
      <c r="F699" s="11" t="s">
        <v>9</v>
      </c>
      <c r="G699" s="11" t="s">
        <v>9</v>
      </c>
      <c r="H699" s="11" t="s">
        <v>9</v>
      </c>
      <c r="I699" s="12" t="s">
        <v>9</v>
      </c>
      <c r="J699" s="11"/>
      <c r="K699" s="11"/>
    </row>
    <row r="700" spans="1:11" x14ac:dyDescent="0.3">
      <c r="A700" s="13" t="s">
        <v>10</v>
      </c>
      <c r="B700" s="14">
        <v>54</v>
      </c>
      <c r="C700" s="14">
        <v>51</v>
      </c>
      <c r="D700" s="14">
        <v>51</v>
      </c>
      <c r="E700" s="14">
        <v>50</v>
      </c>
      <c r="F700" s="14">
        <v>50</v>
      </c>
      <c r="G700" s="14">
        <v>52</v>
      </c>
      <c r="H700" s="14">
        <v>52</v>
      </c>
      <c r="I700" s="14"/>
      <c r="J700" s="16"/>
      <c r="K700" s="16"/>
    </row>
    <row r="701" spans="1:11" x14ac:dyDescent="0.3">
      <c r="A701" s="15" t="s">
        <v>11</v>
      </c>
      <c r="B701" s="16">
        <v>1</v>
      </c>
      <c r="C701" s="16">
        <v>1</v>
      </c>
      <c r="D701" s="16">
        <v>1</v>
      </c>
      <c r="E701" s="16">
        <v>1</v>
      </c>
      <c r="F701" s="16">
        <v>4</v>
      </c>
      <c r="G701" s="16">
        <v>4</v>
      </c>
      <c r="H701" s="16">
        <v>4</v>
      </c>
      <c r="I701" s="16">
        <f>SUM(B701:H701)</f>
        <v>16</v>
      </c>
      <c r="J701" s="16"/>
      <c r="K701" s="16"/>
    </row>
    <row r="702" spans="1:11" x14ac:dyDescent="0.3">
      <c r="A702" s="15" t="s">
        <v>12</v>
      </c>
      <c r="B702" s="16">
        <v>8</v>
      </c>
      <c r="C702" s="16">
        <v>27</v>
      </c>
      <c r="D702" s="16">
        <v>32</v>
      </c>
      <c r="E702" s="16">
        <v>32</v>
      </c>
      <c r="F702" s="16">
        <v>9</v>
      </c>
      <c r="G702" s="16">
        <v>14</v>
      </c>
      <c r="H702" s="16">
        <v>6</v>
      </c>
      <c r="I702" s="16">
        <f>SUM(B702:H702)</f>
        <v>128</v>
      </c>
      <c r="J702" s="16"/>
      <c r="K702" s="16"/>
    </row>
    <row r="703" spans="1:11" x14ac:dyDescent="0.3">
      <c r="A703" s="15" t="s">
        <v>30</v>
      </c>
      <c r="B703" s="16">
        <v>0</v>
      </c>
      <c r="C703" s="16">
        <v>0</v>
      </c>
      <c r="D703" s="16">
        <v>0</v>
      </c>
      <c r="E703" s="16">
        <v>0</v>
      </c>
      <c r="F703" s="16">
        <v>0</v>
      </c>
      <c r="G703" s="16">
        <v>0</v>
      </c>
      <c r="H703" s="16">
        <v>0</v>
      </c>
      <c r="I703" s="16">
        <f>SUM(B703:H703)</f>
        <v>0</v>
      </c>
      <c r="J703" s="16"/>
      <c r="K703" s="16"/>
    </row>
    <row r="704" spans="1:11" x14ac:dyDescent="0.3">
      <c r="A704" s="15" t="s">
        <v>28</v>
      </c>
      <c r="B704" s="16">
        <v>61</v>
      </c>
      <c r="C704" s="16">
        <v>18</v>
      </c>
      <c r="D704" s="16">
        <v>23</v>
      </c>
      <c r="E704" s="16">
        <v>51</v>
      </c>
      <c r="F704" s="16">
        <v>173</v>
      </c>
      <c r="G704" s="16">
        <v>84</v>
      </c>
      <c r="H704" s="16">
        <v>39</v>
      </c>
      <c r="I704" s="16">
        <f t="shared" ref="I704:I710" si="91">B704+C704+D704+E704+F704+G704+H704</f>
        <v>449</v>
      </c>
      <c r="J704" s="16"/>
      <c r="K704" s="16"/>
    </row>
    <row r="705" spans="1:11" x14ac:dyDescent="0.3">
      <c r="A705" s="15" t="s">
        <v>29</v>
      </c>
      <c r="B705" s="16">
        <v>17</v>
      </c>
      <c r="C705" s="16">
        <v>2</v>
      </c>
      <c r="D705" s="16">
        <v>6</v>
      </c>
      <c r="E705" s="16">
        <v>4</v>
      </c>
      <c r="F705" s="16">
        <v>155</v>
      </c>
      <c r="G705" s="16">
        <v>30</v>
      </c>
      <c r="H705" s="16">
        <v>5</v>
      </c>
      <c r="I705" s="16">
        <f t="shared" si="91"/>
        <v>219</v>
      </c>
      <c r="J705" s="16"/>
      <c r="K705" s="16"/>
    </row>
    <row r="706" spans="1:11" x14ac:dyDescent="0.3">
      <c r="A706" s="15" t="s">
        <v>31</v>
      </c>
      <c r="B706" s="16">
        <v>9</v>
      </c>
      <c r="C706" s="16">
        <v>0</v>
      </c>
      <c r="D706" s="16">
        <v>1</v>
      </c>
      <c r="E706" s="16">
        <v>4</v>
      </c>
      <c r="F706" s="16">
        <v>101</v>
      </c>
      <c r="G706" s="16">
        <v>17</v>
      </c>
      <c r="H706" s="16">
        <v>2</v>
      </c>
      <c r="I706" s="16">
        <f t="shared" si="91"/>
        <v>134</v>
      </c>
      <c r="J706" s="16"/>
      <c r="K706" s="16"/>
    </row>
    <row r="707" spans="1:11" x14ac:dyDescent="0.3">
      <c r="A707" s="15" t="s">
        <v>13</v>
      </c>
      <c r="B707" s="16">
        <v>0</v>
      </c>
      <c r="C707" s="16">
        <v>0</v>
      </c>
      <c r="D707" s="16">
        <v>0</v>
      </c>
      <c r="E707" s="16">
        <v>0</v>
      </c>
      <c r="F707" s="16">
        <v>9</v>
      </c>
      <c r="G707" s="16">
        <v>1</v>
      </c>
      <c r="H707" s="16">
        <v>0</v>
      </c>
      <c r="I707" s="16">
        <f t="shared" si="91"/>
        <v>10</v>
      </c>
      <c r="J707" s="16"/>
      <c r="K707" s="16"/>
    </row>
    <row r="708" spans="1:11" x14ac:dyDescent="0.3">
      <c r="A708" s="15" t="s">
        <v>14</v>
      </c>
      <c r="B708" s="16">
        <v>0</v>
      </c>
      <c r="C708" s="16">
        <v>0</v>
      </c>
      <c r="D708" s="16">
        <v>0</v>
      </c>
      <c r="E708" s="16">
        <v>0</v>
      </c>
      <c r="F708" s="16">
        <v>0</v>
      </c>
      <c r="G708" s="16">
        <v>0</v>
      </c>
      <c r="H708" s="16">
        <v>0</v>
      </c>
      <c r="I708" s="16">
        <f t="shared" si="91"/>
        <v>0</v>
      </c>
      <c r="J708" s="16"/>
      <c r="K708" s="16"/>
    </row>
    <row r="709" spans="1:11" x14ac:dyDescent="0.3">
      <c r="A709" s="15" t="s">
        <v>32</v>
      </c>
      <c r="B709" s="16">
        <v>0</v>
      </c>
      <c r="C709" s="16">
        <v>0</v>
      </c>
      <c r="D709" s="16">
        <v>0</v>
      </c>
      <c r="E709" s="16">
        <v>0</v>
      </c>
      <c r="F709" s="16">
        <v>0</v>
      </c>
      <c r="G709" s="16">
        <v>0</v>
      </c>
      <c r="H709" s="16">
        <v>0</v>
      </c>
      <c r="I709" s="16">
        <f t="shared" si="91"/>
        <v>0</v>
      </c>
      <c r="J709" s="16"/>
      <c r="K709" s="16"/>
    </row>
    <row r="710" spans="1:11" x14ac:dyDescent="0.3">
      <c r="A710" s="15" t="s">
        <v>33</v>
      </c>
      <c r="B710" s="16">
        <v>0</v>
      </c>
      <c r="C710" s="16">
        <v>0</v>
      </c>
      <c r="D710" s="16">
        <v>0</v>
      </c>
      <c r="E710" s="16">
        <v>0</v>
      </c>
      <c r="F710" s="16">
        <v>0</v>
      </c>
      <c r="G710" s="16">
        <v>0</v>
      </c>
      <c r="H710" s="16">
        <v>0</v>
      </c>
      <c r="I710" s="16">
        <f t="shared" si="91"/>
        <v>0</v>
      </c>
      <c r="J710" s="16"/>
      <c r="K710" s="16"/>
    </row>
    <row r="711" spans="1:11" ht="19.5" thickBot="1" x14ac:dyDescent="0.35">
      <c r="A711" s="30" t="s">
        <v>15</v>
      </c>
      <c r="B711" s="31">
        <f t="shared" ref="B711:H711" si="92">(B702+B701)/B700*100%</f>
        <v>0.16666666666666666</v>
      </c>
      <c r="C711" s="31">
        <f t="shared" si="92"/>
        <v>0.5490196078431373</v>
      </c>
      <c r="D711" s="31">
        <f t="shared" si="92"/>
        <v>0.6470588235294118</v>
      </c>
      <c r="E711" s="31">
        <f t="shared" si="92"/>
        <v>0.66</v>
      </c>
      <c r="F711" s="31">
        <f t="shared" si="92"/>
        <v>0.26</v>
      </c>
      <c r="G711" s="31">
        <f t="shared" si="92"/>
        <v>0.34615384615384615</v>
      </c>
      <c r="H711" s="31">
        <f t="shared" si="92"/>
        <v>0.19230769230769232</v>
      </c>
      <c r="I711" s="32">
        <f>(B711+C711+D711+E711+F711+G711+H711)/7</f>
        <v>0.40302951950010785</v>
      </c>
      <c r="J711" s="52"/>
      <c r="K711" s="52"/>
    </row>
    <row r="712" spans="1:11" x14ac:dyDescent="0.3">
      <c r="A712" s="33" t="s">
        <v>16</v>
      </c>
      <c r="B712" s="16"/>
      <c r="C712" s="17"/>
      <c r="D712" s="16"/>
      <c r="E712" s="18"/>
      <c r="F712" s="16"/>
      <c r="G712" s="16"/>
      <c r="H712" s="16"/>
      <c r="I712" s="16"/>
      <c r="J712" s="16"/>
      <c r="K712" s="16"/>
    </row>
    <row r="713" spans="1:11" x14ac:dyDescent="0.3">
      <c r="A713" s="15" t="s">
        <v>17</v>
      </c>
      <c r="B713" s="28">
        <v>12860.116</v>
      </c>
      <c r="C713" s="28">
        <v>35903.483999999997</v>
      </c>
      <c r="D713" s="28">
        <v>43550.811999999998</v>
      </c>
      <c r="E713" s="28">
        <v>43550.811999999998</v>
      </c>
      <c r="F713" s="28">
        <v>29687.2765</v>
      </c>
      <c r="G713" s="28">
        <v>39089.390000000007</v>
      </c>
      <c r="H713" s="28">
        <v>18844.947</v>
      </c>
      <c r="I713" s="19">
        <f>SUM(B713:H713)</f>
        <v>223486.83750000002</v>
      </c>
      <c r="J713" s="19"/>
      <c r="K713" s="19"/>
    </row>
    <row r="714" spans="1:11" x14ac:dyDescent="0.3">
      <c r="A714" s="15" t="s">
        <v>18</v>
      </c>
      <c r="B714" s="28">
        <v>28143.6057</v>
      </c>
      <c r="C714" s="28">
        <v>33965.792100000006</v>
      </c>
      <c r="D714" s="28">
        <v>39009.689200000001</v>
      </c>
      <c r="E714" s="28">
        <v>45777.520199999999</v>
      </c>
      <c r="F714" s="28">
        <v>81761.635699999999</v>
      </c>
      <c r="G714" s="28">
        <v>50320.2</v>
      </c>
      <c r="H714" s="28">
        <v>22851.467900000003</v>
      </c>
      <c r="I714" s="19">
        <f t="shared" ref="I714:I717" si="93">SUM(B714:H714)</f>
        <v>301829.91080000001</v>
      </c>
      <c r="J714" s="19"/>
      <c r="K714" s="19"/>
    </row>
    <row r="715" spans="1:11" x14ac:dyDescent="0.3">
      <c r="A715" s="15" t="s">
        <v>19</v>
      </c>
      <c r="B715" s="28">
        <v>15958.9933</v>
      </c>
      <c r="C715" s="28">
        <v>21919.672500000001</v>
      </c>
      <c r="D715" s="28">
        <v>27268.8554</v>
      </c>
      <c r="E715" s="28">
        <v>31949.702400000002</v>
      </c>
      <c r="F715" s="28">
        <v>38701.797599999991</v>
      </c>
      <c r="G715" s="28">
        <v>41294.898000000001</v>
      </c>
      <c r="H715" s="28">
        <v>13594.239099999999</v>
      </c>
      <c r="I715" s="19">
        <f t="shared" si="93"/>
        <v>190688.15830000001</v>
      </c>
      <c r="J715" s="19"/>
      <c r="K715" s="19"/>
    </row>
    <row r="716" spans="1:11" x14ac:dyDescent="0.3">
      <c r="A716" s="15" t="s">
        <v>21</v>
      </c>
      <c r="B716" s="28">
        <v>0</v>
      </c>
      <c r="C716" s="28">
        <v>5200.1023999999998</v>
      </c>
      <c r="D716" s="28">
        <v>5200.1023999999998</v>
      </c>
      <c r="E716" s="28">
        <v>11500.1024</v>
      </c>
      <c r="F716" s="28">
        <v>387.77519999999998</v>
      </c>
      <c r="G716" s="28">
        <v>0</v>
      </c>
      <c r="H716" s="28">
        <v>0</v>
      </c>
      <c r="I716" s="19">
        <f t="shared" si="93"/>
        <v>22288.082399999999</v>
      </c>
      <c r="J716" s="19"/>
      <c r="K716" s="19"/>
    </row>
    <row r="717" spans="1:11" ht="19.5" thickBot="1" x14ac:dyDescent="0.35">
      <c r="A717" s="15" t="s">
        <v>22</v>
      </c>
      <c r="B717" s="28">
        <v>0</v>
      </c>
      <c r="C717" s="28">
        <v>0</v>
      </c>
      <c r="D717" s="28">
        <v>0</v>
      </c>
      <c r="E717" s="28">
        <v>0</v>
      </c>
      <c r="F717" s="28">
        <v>0</v>
      </c>
      <c r="G717" s="28">
        <v>0</v>
      </c>
      <c r="H717" s="28">
        <v>0</v>
      </c>
      <c r="I717" s="19">
        <f t="shared" si="93"/>
        <v>0</v>
      </c>
      <c r="J717" s="19"/>
      <c r="K717" s="19"/>
    </row>
    <row r="718" spans="1:11" ht="19.5" thickBot="1" x14ac:dyDescent="0.35">
      <c r="A718" s="20" t="s">
        <v>7</v>
      </c>
      <c r="B718" s="21">
        <f>SUM(B713:B717)</f>
        <v>56962.715000000004</v>
      </c>
      <c r="C718" s="21">
        <f>SUM(C713:C717)</f>
        <v>96989.051000000007</v>
      </c>
      <c r="D718" s="21">
        <f t="shared" ref="D718:H718" si="94">SUM(D713:D717)</f>
        <v>115029.459</v>
      </c>
      <c r="E718" s="21">
        <f t="shared" si="94"/>
        <v>132778.13700000002</v>
      </c>
      <c r="F718" s="21">
        <f t="shared" si="94"/>
        <v>150538.48499999999</v>
      </c>
      <c r="G718" s="21">
        <f t="shared" si="94"/>
        <v>130704.488</v>
      </c>
      <c r="H718" s="21">
        <f t="shared" si="94"/>
        <v>55290.654000000002</v>
      </c>
      <c r="I718" s="21">
        <f>SUM(I713:I717)</f>
        <v>738292.98900000006</v>
      </c>
      <c r="J718" s="53"/>
      <c r="K718" s="53"/>
    </row>
    <row r="719" spans="1:11" ht="19.5" thickTop="1" x14ac:dyDescent="0.3">
      <c r="A719" s="22" t="s">
        <v>20</v>
      </c>
      <c r="B719" s="23">
        <f>38283.69*0.6</f>
        <v>22970.214</v>
      </c>
      <c r="C719" s="23">
        <f>9926.93*0.6</f>
        <v>5956.1580000000004</v>
      </c>
      <c r="D719" s="23">
        <f>13669.88*0.6</f>
        <v>8201.9279999999999</v>
      </c>
      <c r="E719" s="23">
        <f>28926.46*0.6</f>
        <v>17355.876</v>
      </c>
      <c r="F719" s="23">
        <f>134457.29*0.6</f>
        <v>80674.373999999996</v>
      </c>
      <c r="G719" s="23">
        <f>52100.08*0.6</f>
        <v>31260.047999999999</v>
      </c>
      <c r="H719" s="23">
        <f>22213.47*0.6</f>
        <v>13328.082</v>
      </c>
      <c r="I719" s="23">
        <f>SUM(B719:H719)</f>
        <v>179746.68</v>
      </c>
      <c r="J719" s="23"/>
      <c r="K719" s="23"/>
    </row>
    <row r="720" spans="1:11" x14ac:dyDescent="0.3">
      <c r="A720" s="24" t="s">
        <v>25</v>
      </c>
      <c r="B720" s="25"/>
      <c r="C720" s="25"/>
      <c r="D720" s="25"/>
      <c r="E720" s="25"/>
      <c r="F720" s="25"/>
      <c r="G720" s="25"/>
      <c r="H720" s="25"/>
      <c r="I720" s="25"/>
      <c r="J720" s="25"/>
      <c r="K720" s="25"/>
    </row>
    <row r="721" spans="1:11" x14ac:dyDescent="0.3">
      <c r="A721" s="26" t="s">
        <v>23</v>
      </c>
      <c r="B721" s="25">
        <f>30000/1.229</f>
        <v>24410.089503661511</v>
      </c>
      <c r="C721" s="25">
        <f>10000/1.229</f>
        <v>8136.6965012205037</v>
      </c>
      <c r="D721" s="25">
        <f>10000/1.229</f>
        <v>8136.6965012205037</v>
      </c>
      <c r="E721" s="25">
        <f>10000/1.229</f>
        <v>8136.6965012205037</v>
      </c>
      <c r="F721" s="25">
        <f>20000/1.229</f>
        <v>16273.393002441007</v>
      </c>
      <c r="G721" s="25">
        <f>20000/1.229</f>
        <v>16273.393002441007</v>
      </c>
      <c r="H721" s="25">
        <f>26000/1.229</f>
        <v>21155.41090317331</v>
      </c>
      <c r="I721" s="25">
        <f>SUM(B721:H721)</f>
        <v>102522.37591537835</v>
      </c>
      <c r="J721" s="25"/>
      <c r="K721" s="25"/>
    </row>
    <row r="722" spans="1:11" ht="19.5" thickBot="1" x14ac:dyDescent="0.35">
      <c r="A722" s="27" t="s">
        <v>24</v>
      </c>
      <c r="B722" s="25">
        <v>0</v>
      </c>
      <c r="C722" s="25">
        <v>0</v>
      </c>
      <c r="D722" s="25">
        <v>0</v>
      </c>
      <c r="E722" s="25">
        <v>0</v>
      </c>
      <c r="F722" s="25">
        <f>16000/1.229</f>
        <v>13018.714401952806</v>
      </c>
      <c r="G722" s="25">
        <f>16000/1.229</f>
        <v>13018.714401952806</v>
      </c>
      <c r="H722" s="25">
        <f>10000/1.229</f>
        <v>8136.6965012205037</v>
      </c>
      <c r="I722" s="25">
        <f>SUM(B722:H722)</f>
        <v>34174.125305126116</v>
      </c>
      <c r="J722" s="25"/>
      <c r="K722" s="25"/>
    </row>
    <row r="726" spans="1:11" ht="17.45" customHeight="1" x14ac:dyDescent="0.3">
      <c r="A726" s="4" t="s">
        <v>67</v>
      </c>
      <c r="B726" s="5" t="s">
        <v>0</v>
      </c>
      <c r="C726" s="5" t="s">
        <v>1</v>
      </c>
      <c r="D726" s="5" t="s">
        <v>2</v>
      </c>
      <c r="E726" s="6" t="s">
        <v>3</v>
      </c>
      <c r="F726" s="5" t="s">
        <v>4</v>
      </c>
      <c r="G726" s="5" t="s">
        <v>5</v>
      </c>
      <c r="H726" s="5" t="s">
        <v>6</v>
      </c>
      <c r="I726" s="5" t="s">
        <v>7</v>
      </c>
      <c r="J726" s="11"/>
      <c r="K726" s="11"/>
    </row>
    <row r="727" spans="1:11" x14ac:dyDescent="0.3">
      <c r="A727" s="7"/>
      <c r="B727" s="8">
        <v>45467</v>
      </c>
      <c r="C727" s="8">
        <v>45468</v>
      </c>
      <c r="D727" s="8">
        <v>45469</v>
      </c>
      <c r="E727" s="8">
        <v>45470</v>
      </c>
      <c r="F727" s="8">
        <v>45471</v>
      </c>
      <c r="G727" s="8">
        <v>45472</v>
      </c>
      <c r="H727" s="8">
        <v>45473</v>
      </c>
      <c r="I727" s="9"/>
      <c r="J727" s="11"/>
      <c r="K727" s="11"/>
    </row>
    <row r="728" spans="1:11" ht="19.5" thickBot="1" x14ac:dyDescent="0.35">
      <c r="A728" s="10" t="s">
        <v>8</v>
      </c>
      <c r="B728" s="11" t="s">
        <v>9</v>
      </c>
      <c r="C728" s="11" t="s">
        <v>9</v>
      </c>
      <c r="D728" s="11" t="s">
        <v>9</v>
      </c>
      <c r="E728" s="11" t="s">
        <v>9</v>
      </c>
      <c r="F728" s="11" t="s">
        <v>9</v>
      </c>
      <c r="G728" s="11" t="s">
        <v>9</v>
      </c>
      <c r="H728" s="11" t="s">
        <v>9</v>
      </c>
      <c r="I728" s="12" t="s">
        <v>9</v>
      </c>
      <c r="J728" s="11"/>
      <c r="K728" s="11"/>
    </row>
    <row r="729" spans="1:11" x14ac:dyDescent="0.3">
      <c r="A729" s="13" t="s">
        <v>10</v>
      </c>
      <c r="B729" s="14">
        <f>55-3</f>
        <v>52</v>
      </c>
      <c r="C729" s="14">
        <f>55-3</f>
        <v>52</v>
      </c>
      <c r="D729" s="14">
        <f>55-3</f>
        <v>52</v>
      </c>
      <c r="E729" s="14">
        <f>55-5</f>
        <v>50</v>
      </c>
      <c r="F729" s="14">
        <f>55-5</f>
        <v>50</v>
      </c>
      <c r="G729" s="14">
        <f>55-7</f>
        <v>48</v>
      </c>
      <c r="H729" s="14">
        <f>55-5</f>
        <v>50</v>
      </c>
      <c r="I729" s="14"/>
      <c r="J729" s="16"/>
      <c r="K729" s="16"/>
    </row>
    <row r="730" spans="1:11" x14ac:dyDescent="0.3">
      <c r="A730" s="15" t="s">
        <v>11</v>
      </c>
      <c r="B730" s="16">
        <v>4</v>
      </c>
      <c r="C730" s="16">
        <v>2</v>
      </c>
      <c r="D730" s="16">
        <v>1</v>
      </c>
      <c r="E730" s="16">
        <v>0</v>
      </c>
      <c r="F730" s="16">
        <v>1</v>
      </c>
      <c r="G730" s="16">
        <v>1</v>
      </c>
      <c r="H730" s="16">
        <v>0</v>
      </c>
      <c r="I730" s="16">
        <f>SUM(B730:H730)</f>
        <v>9</v>
      </c>
      <c r="J730" s="16"/>
      <c r="K730" s="53">
        <f t="shared" ref="K730:K746" si="95">I730+I701+I672+I643+H614+G614</f>
        <v>83</v>
      </c>
    </row>
    <row r="731" spans="1:11" x14ac:dyDescent="0.3">
      <c r="A731" s="15" t="s">
        <v>12</v>
      </c>
      <c r="B731" s="16">
        <v>10</v>
      </c>
      <c r="C731" s="16">
        <v>12</v>
      </c>
      <c r="D731" s="16">
        <v>7</v>
      </c>
      <c r="E731" s="16">
        <v>3</v>
      </c>
      <c r="F731" s="16">
        <v>6</v>
      </c>
      <c r="G731" s="16">
        <v>17</v>
      </c>
      <c r="H731" s="16">
        <v>7</v>
      </c>
      <c r="I731" s="16">
        <f t="shared" ref="I731:I739" si="96">SUM(B731:H731)</f>
        <v>62</v>
      </c>
      <c r="J731" s="16"/>
      <c r="K731" s="53">
        <f t="shared" si="95"/>
        <v>412</v>
      </c>
    </row>
    <row r="732" spans="1:11" x14ac:dyDescent="0.3">
      <c r="A732" s="15" t="s">
        <v>30</v>
      </c>
      <c r="B732" s="16">
        <v>0</v>
      </c>
      <c r="C732" s="16">
        <v>0</v>
      </c>
      <c r="D732" s="16">
        <v>0</v>
      </c>
      <c r="E732" s="16">
        <v>0</v>
      </c>
      <c r="F732" s="16">
        <v>0</v>
      </c>
      <c r="G732" s="16">
        <v>0</v>
      </c>
      <c r="H732" s="16">
        <v>0</v>
      </c>
      <c r="I732" s="16">
        <f t="shared" si="96"/>
        <v>0</v>
      </c>
      <c r="J732" s="16"/>
      <c r="K732" s="53">
        <f t="shared" si="95"/>
        <v>0</v>
      </c>
    </row>
    <row r="733" spans="1:11" x14ac:dyDescent="0.3">
      <c r="A733" s="15" t="s">
        <v>28</v>
      </c>
      <c r="B733" s="16">
        <v>18</v>
      </c>
      <c r="C733" s="16">
        <v>5</v>
      </c>
      <c r="D733" s="16">
        <v>21</v>
      </c>
      <c r="E733" s="16">
        <v>80</v>
      </c>
      <c r="F733" s="16">
        <v>53</v>
      </c>
      <c r="G733" s="16">
        <v>186</v>
      </c>
      <c r="H733" s="16">
        <v>87</v>
      </c>
      <c r="I733" s="16">
        <f t="shared" si="96"/>
        <v>450</v>
      </c>
      <c r="J733" s="16"/>
      <c r="K733" s="53">
        <f t="shared" si="95"/>
        <v>1541</v>
      </c>
    </row>
    <row r="734" spans="1:11" x14ac:dyDescent="0.3">
      <c r="A734" s="15" t="s">
        <v>29</v>
      </c>
      <c r="B734" s="16">
        <v>7</v>
      </c>
      <c r="C734" s="16">
        <v>0</v>
      </c>
      <c r="D734" s="16">
        <v>0</v>
      </c>
      <c r="E734" s="16">
        <v>2</v>
      </c>
      <c r="F734" s="16">
        <v>3</v>
      </c>
      <c r="G734" s="16">
        <v>18</v>
      </c>
      <c r="H734" s="16">
        <v>3</v>
      </c>
      <c r="I734" s="16">
        <f t="shared" si="96"/>
        <v>33</v>
      </c>
      <c r="J734" s="16"/>
      <c r="K734" s="53">
        <f t="shared" si="95"/>
        <v>481</v>
      </c>
    </row>
    <row r="735" spans="1:11" x14ac:dyDescent="0.3">
      <c r="A735" s="15" t="s">
        <v>31</v>
      </c>
      <c r="B735" s="16">
        <v>3</v>
      </c>
      <c r="C735" s="16">
        <v>0</v>
      </c>
      <c r="D735" s="16">
        <v>3</v>
      </c>
      <c r="E735" s="16">
        <v>2</v>
      </c>
      <c r="F735" s="16">
        <v>2</v>
      </c>
      <c r="G735" s="16">
        <v>2</v>
      </c>
      <c r="H735" s="16">
        <v>1</v>
      </c>
      <c r="I735" s="16">
        <f t="shared" si="96"/>
        <v>13</v>
      </c>
      <c r="J735" s="16"/>
      <c r="K735" s="53">
        <f t="shared" si="95"/>
        <v>367</v>
      </c>
    </row>
    <row r="736" spans="1:11" x14ac:dyDescent="0.3">
      <c r="A736" s="15" t="s">
        <v>13</v>
      </c>
      <c r="B736" s="16">
        <v>0</v>
      </c>
      <c r="C736" s="16">
        <v>0</v>
      </c>
      <c r="D736" s="16">
        <v>0</v>
      </c>
      <c r="E736" s="16">
        <v>0</v>
      </c>
      <c r="F736" s="16">
        <v>0</v>
      </c>
      <c r="G736" s="16">
        <v>6</v>
      </c>
      <c r="H736" s="16">
        <v>0</v>
      </c>
      <c r="I736" s="16">
        <f t="shared" si="96"/>
        <v>6</v>
      </c>
      <c r="J736" s="16"/>
      <c r="K736" s="53">
        <f t="shared" si="95"/>
        <v>19</v>
      </c>
    </row>
    <row r="737" spans="1:13" x14ac:dyDescent="0.3">
      <c r="A737" s="15" t="s">
        <v>14</v>
      </c>
      <c r="B737" s="16">
        <v>0</v>
      </c>
      <c r="C737" s="16">
        <v>0</v>
      </c>
      <c r="D737" s="16">
        <v>0</v>
      </c>
      <c r="E737" s="16">
        <v>0</v>
      </c>
      <c r="F737" s="16">
        <v>0</v>
      </c>
      <c r="G737" s="16">
        <v>0</v>
      </c>
      <c r="H737" s="16">
        <v>0</v>
      </c>
      <c r="I737" s="16">
        <f t="shared" si="96"/>
        <v>0</v>
      </c>
      <c r="J737" s="16"/>
      <c r="K737" s="53">
        <f t="shared" si="95"/>
        <v>0</v>
      </c>
    </row>
    <row r="738" spans="1:13" x14ac:dyDescent="0.3">
      <c r="A738" s="15" t="s">
        <v>32</v>
      </c>
      <c r="B738" s="16">
        <v>0</v>
      </c>
      <c r="C738" s="16">
        <v>0</v>
      </c>
      <c r="D738" s="16">
        <v>0</v>
      </c>
      <c r="E738" s="16">
        <v>0</v>
      </c>
      <c r="F738" s="16">
        <v>0</v>
      </c>
      <c r="G738" s="16">
        <v>0</v>
      </c>
      <c r="H738" s="16">
        <v>0</v>
      </c>
      <c r="I738" s="16">
        <f t="shared" si="96"/>
        <v>0</v>
      </c>
      <c r="J738" s="16"/>
      <c r="K738" s="53">
        <f t="shared" si="95"/>
        <v>11</v>
      </c>
    </row>
    <row r="739" spans="1:13" x14ac:dyDescent="0.3">
      <c r="A739" s="15" t="s">
        <v>33</v>
      </c>
      <c r="B739" s="16">
        <v>0</v>
      </c>
      <c r="C739" s="16">
        <v>0</v>
      </c>
      <c r="D739" s="16">
        <v>0</v>
      </c>
      <c r="E739" s="16">
        <v>0</v>
      </c>
      <c r="F739" s="16">
        <v>0</v>
      </c>
      <c r="G739" s="16">
        <v>0</v>
      </c>
      <c r="H739" s="16">
        <v>0</v>
      </c>
      <c r="I739" s="16">
        <f t="shared" si="96"/>
        <v>0</v>
      </c>
      <c r="J739" s="16"/>
      <c r="K739" s="53">
        <f t="shared" si="95"/>
        <v>0</v>
      </c>
    </row>
    <row r="740" spans="1:13" ht="19.5" thickBot="1" x14ac:dyDescent="0.35">
      <c r="A740" s="30" t="s">
        <v>15</v>
      </c>
      <c r="B740" s="31">
        <f t="shared" ref="B740:H740" si="97">(B731+B730)/B729*100%</f>
        <v>0.26923076923076922</v>
      </c>
      <c r="C740" s="31">
        <f t="shared" si="97"/>
        <v>0.26923076923076922</v>
      </c>
      <c r="D740" s="31">
        <f t="shared" si="97"/>
        <v>0.15384615384615385</v>
      </c>
      <c r="E740" s="31">
        <f t="shared" si="97"/>
        <v>0.06</v>
      </c>
      <c r="F740" s="31">
        <f t="shared" si="97"/>
        <v>0.14000000000000001</v>
      </c>
      <c r="G740" s="31">
        <f t="shared" si="97"/>
        <v>0.375</v>
      </c>
      <c r="H740" s="31">
        <f t="shared" si="97"/>
        <v>0.14000000000000001</v>
      </c>
      <c r="I740" s="32">
        <f>(B740+C740+D740+E740+F740+G740+H740)/7</f>
        <v>0.20104395604395606</v>
      </c>
      <c r="J740" s="52"/>
      <c r="K740" s="53">
        <f t="shared" si="95"/>
        <v>1.8461848158066647</v>
      </c>
    </row>
    <row r="741" spans="1:13" x14ac:dyDescent="0.3">
      <c r="A741" s="33" t="s">
        <v>16</v>
      </c>
      <c r="B741" s="16"/>
      <c r="C741" s="17"/>
      <c r="D741" s="16"/>
      <c r="E741" s="18"/>
      <c r="F741" s="16"/>
      <c r="G741" s="16"/>
      <c r="H741" s="16"/>
      <c r="I741" s="16"/>
      <c r="J741" s="16"/>
      <c r="K741" s="53">
        <f t="shared" si="95"/>
        <v>0</v>
      </c>
    </row>
    <row r="742" spans="1:13" x14ac:dyDescent="0.3">
      <c r="A742" s="15" t="s">
        <v>17</v>
      </c>
      <c r="B742" s="28">
        <v>41107.35</v>
      </c>
      <c r="C742" s="28">
        <v>49659.188000000002</v>
      </c>
      <c r="D742" s="28">
        <v>20374.664000000004</v>
      </c>
      <c r="E742" s="28">
        <v>8462.32</v>
      </c>
      <c r="F742" s="28">
        <v>18226.54</v>
      </c>
      <c r="G742" s="28">
        <v>59854.644</v>
      </c>
      <c r="H742" s="28">
        <v>22720.664000000001</v>
      </c>
      <c r="I742" s="19">
        <f>SUM(B742:H742)</f>
        <v>220405.37</v>
      </c>
      <c r="J742" s="19"/>
      <c r="K742" s="53">
        <f t="shared" si="95"/>
        <v>822543.04749999999</v>
      </c>
    </row>
    <row r="743" spans="1:13" x14ac:dyDescent="0.3">
      <c r="A743" s="15" t="s">
        <v>18</v>
      </c>
      <c r="B743" s="28">
        <v>33649.891000000003</v>
      </c>
      <c r="C743" s="28">
        <v>32414.338600000006</v>
      </c>
      <c r="D743" s="28">
        <v>19312.808800000003</v>
      </c>
      <c r="E743" s="28">
        <v>20368.532500000001</v>
      </c>
      <c r="F743" s="28">
        <v>26554.5785</v>
      </c>
      <c r="G743" s="28">
        <v>85519.356799999994</v>
      </c>
      <c r="H743" s="28">
        <v>34012.605300000003</v>
      </c>
      <c r="I743" s="19">
        <f t="shared" ref="I743:I746" si="98">SUM(B743:H743)</f>
        <v>251832.1115</v>
      </c>
      <c r="J743" s="19"/>
      <c r="K743" s="53">
        <f t="shared" si="95"/>
        <v>1049112.4463000002</v>
      </c>
    </row>
    <row r="744" spans="1:13" x14ac:dyDescent="0.3">
      <c r="A744" s="15" t="s">
        <v>19</v>
      </c>
      <c r="B744" s="28">
        <v>31827.334000000003</v>
      </c>
      <c r="C744" s="28">
        <v>26039.962399999997</v>
      </c>
      <c r="D744" s="28">
        <v>12355.798200000001</v>
      </c>
      <c r="E744" s="28">
        <v>10128.1955</v>
      </c>
      <c r="F744" s="28">
        <v>15114.210499999999</v>
      </c>
      <c r="G744" s="28">
        <v>47962.256200000003</v>
      </c>
      <c r="H744" s="28">
        <v>20214.6227</v>
      </c>
      <c r="I744" s="19">
        <f t="shared" si="98"/>
        <v>163642.37950000001</v>
      </c>
      <c r="J744" s="19"/>
      <c r="K744" s="53">
        <f t="shared" si="95"/>
        <v>646971.52179999987</v>
      </c>
    </row>
    <row r="745" spans="1:13" x14ac:dyDescent="0.3">
      <c r="A745" s="15" t="s">
        <v>21</v>
      </c>
      <c r="B745" s="28">
        <v>0</v>
      </c>
      <c r="C745" s="28">
        <v>0</v>
      </c>
      <c r="D745" s="28">
        <v>0</v>
      </c>
      <c r="E745" s="28">
        <v>0</v>
      </c>
      <c r="F745" s="28">
        <v>0</v>
      </c>
      <c r="G745" s="28">
        <v>0</v>
      </c>
      <c r="H745" s="28">
        <v>0</v>
      </c>
      <c r="I745" s="19">
        <f t="shared" si="98"/>
        <v>0</v>
      </c>
      <c r="J745" s="19"/>
      <c r="K745" s="53">
        <f t="shared" si="95"/>
        <v>81980.622399999993</v>
      </c>
    </row>
    <row r="746" spans="1:13" ht="19.5" thickBot="1" x14ac:dyDescent="0.35">
      <c r="A746" s="15" t="s">
        <v>22</v>
      </c>
      <c r="B746" s="28">
        <v>0</v>
      </c>
      <c r="C746" s="28">
        <v>0</v>
      </c>
      <c r="D746" s="28">
        <v>0</v>
      </c>
      <c r="E746" s="28">
        <v>0</v>
      </c>
      <c r="F746" s="28">
        <v>0</v>
      </c>
      <c r="G746" s="28">
        <v>0</v>
      </c>
      <c r="H746" s="28">
        <v>0</v>
      </c>
      <c r="I746" s="19">
        <f t="shared" si="98"/>
        <v>0</v>
      </c>
      <c r="J746" s="19"/>
      <c r="K746" s="53">
        <f t="shared" si="95"/>
        <v>8000</v>
      </c>
    </row>
    <row r="747" spans="1:13" ht="19.5" thickBot="1" x14ac:dyDescent="0.35">
      <c r="A747" s="20" t="s">
        <v>7</v>
      </c>
      <c r="B747" s="21">
        <f>SUM(B742:B746)</f>
        <v>106584.57500000001</v>
      </c>
      <c r="C747" s="21">
        <f>SUM(C742:C746)</f>
        <v>108113.489</v>
      </c>
      <c r="D747" s="21">
        <f t="shared" ref="D747:H747" si="99">SUM(D742:D746)</f>
        <v>52043.271000000008</v>
      </c>
      <c r="E747" s="21">
        <f t="shared" si="99"/>
        <v>38959.048000000003</v>
      </c>
      <c r="F747" s="21">
        <f t="shared" si="99"/>
        <v>59895.328999999998</v>
      </c>
      <c r="G747" s="21">
        <f t="shared" si="99"/>
        <v>193336.25699999998</v>
      </c>
      <c r="H747" s="21">
        <f t="shared" si="99"/>
        <v>76947.891999999993</v>
      </c>
      <c r="I747" s="21">
        <f>SUM(I742:I746)</f>
        <v>635879.86100000003</v>
      </c>
      <c r="J747" s="53"/>
      <c r="K747" s="53">
        <f>I747+I718+I689+I660+H631+G631</f>
        <v>2608607.6380000003</v>
      </c>
    </row>
    <row r="748" spans="1:13" ht="19.5" thickTop="1" x14ac:dyDescent="0.3">
      <c r="A748" s="22" t="s">
        <v>20</v>
      </c>
      <c r="B748" s="23">
        <f>11798.3*0.6</f>
        <v>7078.98</v>
      </c>
      <c r="C748" s="23">
        <f>2644.46*0.6</f>
        <v>1586.6759999999999</v>
      </c>
      <c r="D748" s="23">
        <f>11961.12*0.6</f>
        <v>7176.6720000000005</v>
      </c>
      <c r="E748" s="23">
        <f>31286.13*0.6</f>
        <v>18771.678</v>
      </c>
      <c r="F748" s="23">
        <f>29211.27*0.6</f>
        <v>17526.761999999999</v>
      </c>
      <c r="G748" s="23">
        <f>85770.28*0.6</f>
        <v>51462.167999999998</v>
      </c>
      <c r="H748" s="23">
        <f>44677.73*0.6</f>
        <v>26806.638000000003</v>
      </c>
      <c r="I748" s="23">
        <f>SUM(B748:H748)</f>
        <v>130409.57399999999</v>
      </c>
      <c r="J748" s="23"/>
      <c r="K748" s="53">
        <f t="shared" ref="K748:K749" si="100">I748+I719+I690+I661+H632+G632</f>
        <v>564813.70199999993</v>
      </c>
    </row>
    <row r="749" spans="1:13" x14ac:dyDescent="0.3">
      <c r="A749" s="24" t="s">
        <v>25</v>
      </c>
      <c r="B749" s="25"/>
      <c r="C749" s="25"/>
      <c r="D749" s="25"/>
      <c r="E749" s="25"/>
      <c r="F749" s="25"/>
      <c r="G749" s="25"/>
      <c r="H749" s="25"/>
      <c r="I749" s="25"/>
      <c r="J749" s="25"/>
      <c r="K749" s="53">
        <f t="shared" si="100"/>
        <v>0</v>
      </c>
      <c r="M749" s="1">
        <f>564813.7-563613.72</f>
        <v>1199.9799999999814</v>
      </c>
    </row>
    <row r="750" spans="1:13" x14ac:dyDescent="0.3">
      <c r="A750" s="26" t="s">
        <v>23</v>
      </c>
      <c r="B750" s="25">
        <f>36000/1.229</f>
        <v>29292.107404393813</v>
      </c>
      <c r="C750" s="25">
        <f>60000/1.229</f>
        <v>48820.179007323022</v>
      </c>
      <c r="D750" s="25">
        <f>30000/1.229</f>
        <v>24410.089503661511</v>
      </c>
      <c r="E750" s="25">
        <v>0</v>
      </c>
      <c r="F750" s="25"/>
      <c r="G750" s="25"/>
      <c r="H750" s="25">
        <v>0</v>
      </c>
      <c r="I750" s="25">
        <f>SUM(B750:H750)</f>
        <v>102522.37591537835</v>
      </c>
      <c r="J750" s="25"/>
      <c r="K750" s="25"/>
    </row>
    <row r="751" spans="1:13" ht="19.5" thickBot="1" x14ac:dyDescent="0.35">
      <c r="A751" s="27" t="s">
        <v>24</v>
      </c>
      <c r="B751" s="25">
        <f>20000/1.229</f>
        <v>16273.393002441007</v>
      </c>
      <c r="C751" s="25">
        <v>0</v>
      </c>
      <c r="D751" s="25">
        <v>0</v>
      </c>
      <c r="E751" s="25">
        <v>0</v>
      </c>
      <c r="F751" s="25">
        <f>6000/1.229</f>
        <v>4882.0179007323022</v>
      </c>
      <c r="G751" s="25">
        <f>6000/1.229</f>
        <v>4882.0179007323022</v>
      </c>
      <c r="H751" s="25">
        <v>0</v>
      </c>
      <c r="I751" s="25">
        <f>SUM(B751:H751)</f>
        <v>26037.428803905612</v>
      </c>
      <c r="J751" s="25"/>
      <c r="K751" s="25"/>
    </row>
    <row r="755" spans="1:11" ht="17.45" customHeight="1" x14ac:dyDescent="0.3">
      <c r="A755" s="4" t="s">
        <v>68</v>
      </c>
      <c r="B755" s="5" t="s">
        <v>0</v>
      </c>
      <c r="C755" s="5" t="s">
        <v>1</v>
      </c>
      <c r="D755" s="5" t="s">
        <v>2</v>
      </c>
      <c r="E755" s="6" t="s">
        <v>3</v>
      </c>
      <c r="F755" s="5" t="s">
        <v>4</v>
      </c>
      <c r="G755" s="5" t="s">
        <v>5</v>
      </c>
      <c r="H755" s="5" t="s">
        <v>6</v>
      </c>
      <c r="I755" s="5" t="s">
        <v>7</v>
      </c>
      <c r="J755" s="11"/>
      <c r="K755" s="11"/>
    </row>
    <row r="756" spans="1:11" x14ac:dyDescent="0.3">
      <c r="A756" s="7"/>
      <c r="B756" s="8">
        <v>45474</v>
      </c>
      <c r="C756" s="8">
        <v>45475</v>
      </c>
      <c r="D756" s="8">
        <v>45476</v>
      </c>
      <c r="E756" s="8">
        <v>45477</v>
      </c>
      <c r="F756" s="8">
        <v>45478</v>
      </c>
      <c r="G756" s="8">
        <v>45479</v>
      </c>
      <c r="H756" s="8">
        <v>45480</v>
      </c>
      <c r="I756" s="9"/>
      <c r="J756" s="11"/>
      <c r="K756" s="11"/>
    </row>
    <row r="757" spans="1:11" ht="19.5" thickBot="1" x14ac:dyDescent="0.35">
      <c r="A757" s="10" t="s">
        <v>8</v>
      </c>
      <c r="B757" s="11" t="s">
        <v>9</v>
      </c>
      <c r="C757" s="11" t="s">
        <v>9</v>
      </c>
      <c r="D757" s="11" t="s">
        <v>9</v>
      </c>
      <c r="E757" s="11" t="s">
        <v>9</v>
      </c>
      <c r="F757" s="11" t="s">
        <v>9</v>
      </c>
      <c r="G757" s="11" t="s">
        <v>9</v>
      </c>
      <c r="H757" s="11" t="s">
        <v>9</v>
      </c>
      <c r="I757" s="12" t="s">
        <v>9</v>
      </c>
      <c r="J757" s="11"/>
      <c r="K757" s="11"/>
    </row>
    <row r="758" spans="1:11" x14ac:dyDescent="0.3">
      <c r="A758" s="13" t="s">
        <v>10</v>
      </c>
      <c r="B758" s="14">
        <f>55-5</f>
        <v>50</v>
      </c>
      <c r="C758" s="14">
        <f>55-3</f>
        <v>52</v>
      </c>
      <c r="D758" s="14">
        <f>55-3</f>
        <v>52</v>
      </c>
      <c r="E758" s="14">
        <f>55-5</f>
        <v>50</v>
      </c>
      <c r="F758" s="14">
        <f>55-5</f>
        <v>50</v>
      </c>
      <c r="G758" s="14">
        <f>55-5</f>
        <v>50</v>
      </c>
      <c r="H758" s="14">
        <f>55-6</f>
        <v>49</v>
      </c>
      <c r="I758" s="14"/>
      <c r="J758" s="16"/>
      <c r="K758" s="16"/>
    </row>
    <row r="759" spans="1:11" x14ac:dyDescent="0.3">
      <c r="A759" s="15" t="s">
        <v>11</v>
      </c>
      <c r="B759" s="16">
        <v>1</v>
      </c>
      <c r="C759" s="16">
        <v>1</v>
      </c>
      <c r="D759" s="16">
        <v>1</v>
      </c>
      <c r="E759" s="16">
        <v>0</v>
      </c>
      <c r="F759" s="16">
        <v>0</v>
      </c>
      <c r="G759" s="16">
        <v>0</v>
      </c>
      <c r="H759" s="16">
        <v>0</v>
      </c>
      <c r="I759" s="16">
        <f>SUM(B759:H759)</f>
        <v>3</v>
      </c>
      <c r="J759" s="16"/>
      <c r="K759" s="16"/>
    </row>
    <row r="760" spans="1:11" x14ac:dyDescent="0.3">
      <c r="A760" s="15" t="s">
        <v>12</v>
      </c>
      <c r="B760" s="16">
        <v>4</v>
      </c>
      <c r="C760" s="16">
        <v>9</v>
      </c>
      <c r="D760" s="16">
        <v>10</v>
      </c>
      <c r="E760" s="16">
        <v>5</v>
      </c>
      <c r="F760" s="16">
        <v>7</v>
      </c>
      <c r="G760" s="16">
        <v>11</v>
      </c>
      <c r="H760" s="16">
        <v>5</v>
      </c>
      <c r="I760" s="16">
        <f>SUM(B760:H760)</f>
        <v>51</v>
      </c>
      <c r="J760" s="16"/>
      <c r="K760" s="16"/>
    </row>
    <row r="761" spans="1:11" x14ac:dyDescent="0.3">
      <c r="A761" s="15" t="s">
        <v>30</v>
      </c>
      <c r="B761" s="16">
        <v>0</v>
      </c>
      <c r="C761" s="16">
        <v>0</v>
      </c>
      <c r="D761" s="16">
        <v>0</v>
      </c>
      <c r="E761" s="16">
        <v>0</v>
      </c>
      <c r="F761" s="16">
        <v>0</v>
      </c>
      <c r="G761" s="16">
        <v>0</v>
      </c>
      <c r="H761" s="16">
        <v>0</v>
      </c>
      <c r="I761" s="16">
        <f t="shared" ref="I761:I768" si="101">SUM(B761:H761)</f>
        <v>0</v>
      </c>
      <c r="J761" s="16"/>
      <c r="K761" s="16"/>
    </row>
    <row r="762" spans="1:11" x14ac:dyDescent="0.3">
      <c r="A762" s="15" t="s">
        <v>28</v>
      </c>
      <c r="B762" s="16">
        <v>24</v>
      </c>
      <c r="C762" s="16">
        <v>10</v>
      </c>
      <c r="D762" s="16">
        <v>10</v>
      </c>
      <c r="E762" s="16">
        <v>23</v>
      </c>
      <c r="F762" s="16">
        <v>32</v>
      </c>
      <c r="G762" s="16">
        <v>259</v>
      </c>
      <c r="H762" s="16">
        <v>60</v>
      </c>
      <c r="I762" s="16">
        <f>SUM(B762:H762)</f>
        <v>418</v>
      </c>
      <c r="J762" s="16"/>
      <c r="K762" s="16"/>
    </row>
    <row r="763" spans="1:11" x14ac:dyDescent="0.3">
      <c r="A763" s="15" t="s">
        <v>29</v>
      </c>
      <c r="B763" s="16">
        <v>10</v>
      </c>
      <c r="C763" s="16">
        <v>2</v>
      </c>
      <c r="D763" s="16">
        <v>4</v>
      </c>
      <c r="E763" s="16">
        <v>4</v>
      </c>
      <c r="F763" s="16">
        <v>4</v>
      </c>
      <c r="G763" s="16">
        <v>24</v>
      </c>
      <c r="H763" s="16">
        <v>8</v>
      </c>
      <c r="I763" s="16">
        <f t="shared" si="101"/>
        <v>56</v>
      </c>
      <c r="J763" s="16"/>
      <c r="K763" s="16"/>
    </row>
    <row r="764" spans="1:11" x14ac:dyDescent="0.3">
      <c r="A764" s="15" t="s">
        <v>31</v>
      </c>
      <c r="B764" s="16">
        <v>7</v>
      </c>
      <c r="C764" s="16">
        <v>0</v>
      </c>
      <c r="D764" s="16">
        <v>0</v>
      </c>
      <c r="E764" s="16">
        <v>6</v>
      </c>
      <c r="F764" s="16">
        <v>5</v>
      </c>
      <c r="G764" s="16">
        <v>5</v>
      </c>
      <c r="H764" s="16">
        <v>3</v>
      </c>
      <c r="I764" s="16">
        <f>SUM(B764:H764)</f>
        <v>26</v>
      </c>
      <c r="J764" s="16"/>
      <c r="K764" s="16"/>
    </row>
    <row r="765" spans="1:11" x14ac:dyDescent="0.3">
      <c r="A765" s="15" t="s">
        <v>13</v>
      </c>
      <c r="B765" s="16">
        <v>0</v>
      </c>
      <c r="C765" s="16">
        <v>0</v>
      </c>
      <c r="D765" s="16">
        <v>0</v>
      </c>
      <c r="E765" s="16">
        <v>0</v>
      </c>
      <c r="F765" s="16">
        <v>0</v>
      </c>
      <c r="G765" s="16">
        <v>1</v>
      </c>
      <c r="H765" s="16">
        <v>6</v>
      </c>
      <c r="I765" s="16">
        <f t="shared" si="101"/>
        <v>7</v>
      </c>
      <c r="J765" s="16"/>
      <c r="K765" s="16"/>
    </row>
    <row r="766" spans="1:11" x14ac:dyDescent="0.3">
      <c r="A766" s="15" t="s">
        <v>14</v>
      </c>
      <c r="B766" s="16">
        <v>0</v>
      </c>
      <c r="C766" s="16">
        <v>0</v>
      </c>
      <c r="D766" s="16">
        <v>0</v>
      </c>
      <c r="E766" s="16">
        <v>0</v>
      </c>
      <c r="F766" s="16">
        <v>0</v>
      </c>
      <c r="G766" s="16">
        <v>0</v>
      </c>
      <c r="H766" s="16">
        <v>0</v>
      </c>
      <c r="I766" s="16">
        <f t="shared" si="101"/>
        <v>0</v>
      </c>
      <c r="J766" s="16"/>
      <c r="K766" s="16"/>
    </row>
    <row r="767" spans="1:11" x14ac:dyDescent="0.3">
      <c r="A767" s="15" t="s">
        <v>32</v>
      </c>
      <c r="B767" s="16">
        <v>2</v>
      </c>
      <c r="C767" s="16">
        <v>0</v>
      </c>
      <c r="D767" s="16">
        <v>0</v>
      </c>
      <c r="E767" s="16">
        <v>0</v>
      </c>
      <c r="F767" s="16">
        <v>0</v>
      </c>
      <c r="G767" s="16">
        <v>0</v>
      </c>
      <c r="H767" s="16">
        <v>0</v>
      </c>
      <c r="I767" s="16">
        <f t="shared" si="101"/>
        <v>2</v>
      </c>
      <c r="J767" s="16"/>
      <c r="K767" s="16"/>
    </row>
    <row r="768" spans="1:11" x14ac:dyDescent="0.3">
      <c r="A768" s="15" t="s">
        <v>33</v>
      </c>
      <c r="B768" s="16">
        <v>0</v>
      </c>
      <c r="C768" s="16">
        <v>0</v>
      </c>
      <c r="D768" s="16">
        <v>0</v>
      </c>
      <c r="E768" s="16">
        <v>0</v>
      </c>
      <c r="F768" s="16">
        <v>0</v>
      </c>
      <c r="G768" s="16">
        <v>0</v>
      </c>
      <c r="H768" s="16">
        <v>0</v>
      </c>
      <c r="I768" s="16">
        <f t="shared" si="101"/>
        <v>0</v>
      </c>
      <c r="J768" s="16"/>
      <c r="K768" s="16"/>
    </row>
    <row r="769" spans="1:11" ht="19.5" thickBot="1" x14ac:dyDescent="0.35">
      <c r="A769" s="30" t="s">
        <v>15</v>
      </c>
      <c r="B769" s="31">
        <f t="shared" ref="B769:H769" si="102">(B760+B759)/B758*100%</f>
        <v>0.1</v>
      </c>
      <c r="C769" s="31">
        <f t="shared" si="102"/>
        <v>0.19230769230769232</v>
      </c>
      <c r="D769" s="31">
        <f t="shared" si="102"/>
        <v>0.21153846153846154</v>
      </c>
      <c r="E769" s="31">
        <f t="shared" si="102"/>
        <v>0.1</v>
      </c>
      <c r="F769" s="31">
        <f t="shared" si="102"/>
        <v>0.14000000000000001</v>
      </c>
      <c r="G769" s="31">
        <f t="shared" si="102"/>
        <v>0.22</v>
      </c>
      <c r="H769" s="31">
        <f t="shared" si="102"/>
        <v>0.10204081632653061</v>
      </c>
      <c r="I769" s="32">
        <f>(B769+C769+D769+E769+F769+G769+H769)/7</f>
        <v>0.15226956716752632</v>
      </c>
      <c r="J769" s="52"/>
      <c r="K769" s="52"/>
    </row>
    <row r="770" spans="1:11" x14ac:dyDescent="0.3">
      <c r="A770" s="33" t="s">
        <v>16</v>
      </c>
      <c r="B770" s="16"/>
      <c r="C770" s="17"/>
      <c r="D770" s="16"/>
      <c r="E770" s="18"/>
      <c r="F770" s="16"/>
      <c r="G770" s="16"/>
      <c r="H770" s="16"/>
      <c r="I770" s="16"/>
      <c r="J770" s="16"/>
      <c r="K770" s="16"/>
    </row>
    <row r="771" spans="1:11" x14ac:dyDescent="0.3">
      <c r="A771" s="15" t="s">
        <v>17</v>
      </c>
      <c r="B771" s="28">
        <v>10089.704</v>
      </c>
      <c r="C771" s="28">
        <v>19350.474999999999</v>
      </c>
      <c r="D771" s="28">
        <v>24126.523000000001</v>
      </c>
      <c r="E771" s="28">
        <v>13181.712</v>
      </c>
      <c r="F771" s="28">
        <v>18714.748000000003</v>
      </c>
      <c r="G771" s="28">
        <v>21860.764000000003</v>
      </c>
      <c r="H771" s="28">
        <v>15858.738000000001</v>
      </c>
      <c r="I771" s="19">
        <f>SUM(B771:H771)</f>
        <v>123182.664</v>
      </c>
      <c r="J771" s="19"/>
      <c r="K771" s="19"/>
    </row>
    <row r="772" spans="1:11" x14ac:dyDescent="0.3">
      <c r="A772" s="15" t="s">
        <v>18</v>
      </c>
      <c r="B772" s="28">
        <v>14843.603299999999</v>
      </c>
      <c r="C772" s="28">
        <v>21159.8681</v>
      </c>
      <c r="D772" s="28">
        <v>19052.446200000002</v>
      </c>
      <c r="E772" s="28">
        <v>17294.820900000002</v>
      </c>
      <c r="F772" s="28">
        <v>23432.0736</v>
      </c>
      <c r="G772" s="28">
        <v>75370.235300000015</v>
      </c>
      <c r="H772" s="28">
        <v>26190.403100000003</v>
      </c>
      <c r="I772" s="19">
        <f t="shared" ref="I772:I775" si="103">SUM(B772:H772)</f>
        <v>197343.45050000004</v>
      </c>
      <c r="J772" s="19"/>
      <c r="K772" s="19"/>
    </row>
    <row r="773" spans="1:11" x14ac:dyDescent="0.3">
      <c r="A773" s="15" t="s">
        <v>19</v>
      </c>
      <c r="B773" s="28">
        <v>8545.7106999999996</v>
      </c>
      <c r="C773" s="28">
        <v>12158.606100000001</v>
      </c>
      <c r="D773" s="28">
        <v>14587.487999999998</v>
      </c>
      <c r="E773" s="28">
        <v>12624.3091</v>
      </c>
      <c r="F773" s="28">
        <v>13537.671400000001</v>
      </c>
      <c r="G773" s="28">
        <v>35258.223700000002</v>
      </c>
      <c r="H773" s="28">
        <v>15323.725899999998</v>
      </c>
      <c r="I773" s="19">
        <f t="shared" si="103"/>
        <v>112035.73489999998</v>
      </c>
      <c r="J773" s="19"/>
      <c r="K773" s="19"/>
    </row>
    <row r="774" spans="1:11" x14ac:dyDescent="0.3">
      <c r="A774" s="15" t="s">
        <v>21</v>
      </c>
      <c r="B774" s="28">
        <v>0</v>
      </c>
      <c r="C774" s="28">
        <v>1224.0208</v>
      </c>
      <c r="D774" s="28">
        <v>1224.0208</v>
      </c>
      <c r="E774" s="28">
        <v>0</v>
      </c>
      <c r="F774" s="28">
        <v>0</v>
      </c>
      <c r="G774" s="28">
        <v>0</v>
      </c>
      <c r="H774" s="28">
        <v>0</v>
      </c>
      <c r="I774" s="19">
        <f t="shared" si="103"/>
        <v>2448.0416</v>
      </c>
      <c r="J774" s="19"/>
      <c r="K774" s="19"/>
    </row>
    <row r="775" spans="1:11" ht="19.5" thickBot="1" x14ac:dyDescent="0.35">
      <c r="A775" s="15" t="s">
        <v>22</v>
      </c>
      <c r="B775" s="28">
        <v>0</v>
      </c>
      <c r="C775" s="28">
        <v>0</v>
      </c>
      <c r="D775" s="28">
        <v>0</v>
      </c>
      <c r="E775" s="28">
        <v>0</v>
      </c>
      <c r="F775" s="28">
        <v>0</v>
      </c>
      <c r="G775" s="28">
        <v>0</v>
      </c>
      <c r="H775" s="28">
        <v>0</v>
      </c>
      <c r="I775" s="19">
        <f t="shared" si="103"/>
        <v>0</v>
      </c>
      <c r="J775" s="19"/>
      <c r="K775" s="19"/>
    </row>
    <row r="776" spans="1:11" ht="19.5" thickBot="1" x14ac:dyDescent="0.35">
      <c r="A776" s="20" t="s">
        <v>7</v>
      </c>
      <c r="B776" s="21">
        <f>SUM(B771:B775)</f>
        <v>33479.017999999996</v>
      </c>
      <c r="C776" s="21">
        <f>SUM(C771:C775)</f>
        <v>53892.97</v>
      </c>
      <c r="D776" s="21">
        <f t="shared" ref="D776:H776" si="104">SUM(D771:D775)</f>
        <v>58990.478000000003</v>
      </c>
      <c r="E776" s="21">
        <f t="shared" si="104"/>
        <v>43100.842000000004</v>
      </c>
      <c r="F776" s="21">
        <f t="shared" si="104"/>
        <v>55684.493000000002</v>
      </c>
      <c r="G776" s="21">
        <f t="shared" si="104"/>
        <v>132489.22300000003</v>
      </c>
      <c r="H776" s="21">
        <f t="shared" si="104"/>
        <v>57372.867000000006</v>
      </c>
      <c r="I776" s="21">
        <f>SUM(I771:I775)</f>
        <v>435009.891</v>
      </c>
      <c r="J776" s="53"/>
      <c r="K776" s="53"/>
    </row>
    <row r="777" spans="1:11" ht="19.5" thickTop="1" x14ac:dyDescent="0.3">
      <c r="A777" s="22" t="s">
        <v>20</v>
      </c>
      <c r="B777" s="23">
        <f>17290.69*0.6</f>
        <v>10374.413999999999</v>
      </c>
      <c r="C777" s="23">
        <f>5695.77*0.6</f>
        <v>3417.462</v>
      </c>
      <c r="D777" s="23">
        <f>6102.62*0.6</f>
        <v>3661.5719999999997</v>
      </c>
      <c r="E777" s="23">
        <f>13588.45*0.6</f>
        <v>8153.07</v>
      </c>
      <c r="F777" s="23">
        <f>19162.2*0.6</f>
        <v>11497.32</v>
      </c>
      <c r="G777" s="23">
        <f>130677.49*0.6</f>
        <v>78406.494000000006</v>
      </c>
      <c r="H777" s="23">
        <f>35923.99*0.6</f>
        <v>21554.393999999997</v>
      </c>
      <c r="I777" s="23">
        <f>SUM(B777:H777)</f>
        <v>137064.726</v>
      </c>
      <c r="J777" s="23"/>
      <c r="K777" s="23"/>
    </row>
    <row r="778" spans="1:11" x14ac:dyDescent="0.3">
      <c r="A778" s="24" t="s">
        <v>25</v>
      </c>
      <c r="B778" s="25"/>
      <c r="C778" s="25"/>
      <c r="D778" s="25"/>
      <c r="E778" s="25"/>
      <c r="F778" s="25"/>
      <c r="G778" s="25"/>
      <c r="H778" s="25"/>
      <c r="I778" s="25"/>
      <c r="J778" s="25"/>
      <c r="K778" s="25"/>
    </row>
    <row r="779" spans="1:11" x14ac:dyDescent="0.3">
      <c r="A779" s="26" t="s">
        <v>23</v>
      </c>
      <c r="B779" s="25">
        <f>6000/1.229</f>
        <v>4882.0179007323022</v>
      </c>
      <c r="C779" s="25">
        <f t="shared" ref="C779:D779" si="105">6000/1.229</f>
        <v>4882.0179007323022</v>
      </c>
      <c r="D779" s="25">
        <f t="shared" si="105"/>
        <v>4882.0179007323022</v>
      </c>
      <c r="E779" s="25">
        <v>0</v>
      </c>
      <c r="F779" s="25">
        <v>0</v>
      </c>
      <c r="G779" s="25">
        <v>0</v>
      </c>
      <c r="H779" s="25">
        <v>0</v>
      </c>
      <c r="I779" s="25">
        <f>SUM(B779:H779)</f>
        <v>14646.053702196907</v>
      </c>
      <c r="J779" s="25"/>
      <c r="K779" s="25"/>
    </row>
    <row r="780" spans="1:11" ht="19.5" thickBot="1" x14ac:dyDescent="0.35">
      <c r="A780" s="27" t="s">
        <v>24</v>
      </c>
      <c r="B780" s="25">
        <v>0</v>
      </c>
      <c r="C780" s="25">
        <v>0</v>
      </c>
      <c r="D780" s="25">
        <v>0</v>
      </c>
      <c r="E780" s="25">
        <v>0</v>
      </c>
      <c r="F780" s="25">
        <v>0</v>
      </c>
      <c r="G780" s="25">
        <v>0</v>
      </c>
      <c r="H780" s="25">
        <v>0</v>
      </c>
      <c r="I780" s="25">
        <f>SUM(B780:H780)</f>
        <v>0</v>
      </c>
      <c r="J780" s="25"/>
      <c r="K780" s="25"/>
    </row>
    <row r="784" spans="1:11" ht="17.45" customHeight="1" x14ac:dyDescent="0.3">
      <c r="A784" s="4" t="s">
        <v>69</v>
      </c>
      <c r="B784" s="5" t="s">
        <v>0</v>
      </c>
      <c r="C784" s="5" t="s">
        <v>1</v>
      </c>
      <c r="D784" s="5" t="s">
        <v>2</v>
      </c>
      <c r="E784" s="6" t="s">
        <v>3</v>
      </c>
      <c r="F784" s="5" t="s">
        <v>4</v>
      </c>
      <c r="G784" s="5" t="s">
        <v>5</v>
      </c>
      <c r="H784" s="5" t="s">
        <v>6</v>
      </c>
      <c r="I784" s="5" t="s">
        <v>7</v>
      </c>
      <c r="J784" s="11"/>
      <c r="K784" s="11"/>
    </row>
    <row r="785" spans="1:11" x14ac:dyDescent="0.3">
      <c r="A785" s="7"/>
      <c r="B785" s="8">
        <v>45481</v>
      </c>
      <c r="C785" s="8">
        <v>45482</v>
      </c>
      <c r="D785" s="8">
        <v>45483</v>
      </c>
      <c r="E785" s="8">
        <v>45484</v>
      </c>
      <c r="F785" s="8">
        <v>45485</v>
      </c>
      <c r="G785" s="8">
        <v>45486</v>
      </c>
      <c r="H785" s="8">
        <v>45487</v>
      </c>
      <c r="I785" s="9"/>
      <c r="J785" s="11"/>
      <c r="K785" s="11"/>
    </row>
    <row r="786" spans="1:11" ht="19.5" thickBot="1" x14ac:dyDescent="0.35">
      <c r="A786" s="10" t="s">
        <v>8</v>
      </c>
      <c r="B786" s="11" t="s">
        <v>9</v>
      </c>
      <c r="C786" s="11" t="s">
        <v>9</v>
      </c>
      <c r="D786" s="11" t="s">
        <v>9</v>
      </c>
      <c r="E786" s="11" t="s">
        <v>9</v>
      </c>
      <c r="F786" s="11" t="s">
        <v>9</v>
      </c>
      <c r="G786" s="11" t="s">
        <v>9</v>
      </c>
      <c r="H786" s="11" t="s">
        <v>9</v>
      </c>
      <c r="I786" s="12" t="s">
        <v>9</v>
      </c>
      <c r="J786" s="11"/>
      <c r="K786" s="11"/>
    </row>
    <row r="787" spans="1:11" x14ac:dyDescent="0.3">
      <c r="A787" s="13" t="s">
        <v>10</v>
      </c>
      <c r="B787" s="14">
        <f>55-6</f>
        <v>49</v>
      </c>
      <c r="C787" s="14">
        <f>55-5</f>
        <v>50</v>
      </c>
      <c r="D787" s="14">
        <f>55-2</f>
        <v>53</v>
      </c>
      <c r="E787" s="14">
        <f>55-2</f>
        <v>53</v>
      </c>
      <c r="F787" s="14">
        <v>51</v>
      </c>
      <c r="G787" s="14">
        <v>53</v>
      </c>
      <c r="H787" s="14">
        <f>55-4</f>
        <v>51</v>
      </c>
      <c r="I787" s="14"/>
      <c r="J787" s="16"/>
      <c r="K787" s="16"/>
    </row>
    <row r="788" spans="1:11" x14ac:dyDescent="0.3">
      <c r="A788" s="15" t="s">
        <v>11</v>
      </c>
      <c r="B788" s="16">
        <v>0</v>
      </c>
      <c r="C788" s="16">
        <v>0</v>
      </c>
      <c r="D788" s="16">
        <v>0</v>
      </c>
      <c r="E788" s="16">
        <v>0</v>
      </c>
      <c r="F788" s="16">
        <v>1</v>
      </c>
      <c r="G788" s="16">
        <v>3</v>
      </c>
      <c r="H788" s="16">
        <v>2</v>
      </c>
      <c r="I788" s="16">
        <f>SUM(B788:H788)</f>
        <v>6</v>
      </c>
      <c r="J788" s="16"/>
      <c r="K788" s="16"/>
    </row>
    <row r="789" spans="1:11" x14ac:dyDescent="0.3">
      <c r="A789" s="15" t="s">
        <v>12</v>
      </c>
      <c r="B789" s="16">
        <v>5</v>
      </c>
      <c r="C789" s="16">
        <v>6</v>
      </c>
      <c r="D789" s="16">
        <v>15</v>
      </c>
      <c r="E789" s="16">
        <v>14</v>
      </c>
      <c r="F789" s="16">
        <v>17</v>
      </c>
      <c r="G789" s="16">
        <v>24</v>
      </c>
      <c r="H789" s="16">
        <v>9</v>
      </c>
      <c r="I789" s="16">
        <f t="shared" ref="I789:I797" si="106">SUM(B789:H789)</f>
        <v>90</v>
      </c>
      <c r="J789" s="16"/>
      <c r="K789" s="16"/>
    </row>
    <row r="790" spans="1:11" x14ac:dyDescent="0.3">
      <c r="A790" s="15" t="s">
        <v>30</v>
      </c>
      <c r="B790" s="16">
        <v>0</v>
      </c>
      <c r="C790" s="16">
        <v>0</v>
      </c>
      <c r="D790" s="16">
        <v>0</v>
      </c>
      <c r="E790" s="16">
        <v>0</v>
      </c>
      <c r="F790" s="16">
        <v>0</v>
      </c>
      <c r="G790" s="16">
        <v>0</v>
      </c>
      <c r="H790" s="16">
        <v>3</v>
      </c>
      <c r="I790" s="16">
        <f t="shared" si="106"/>
        <v>3</v>
      </c>
      <c r="J790" s="16"/>
      <c r="K790" s="16"/>
    </row>
    <row r="791" spans="1:11" x14ac:dyDescent="0.3">
      <c r="A791" s="15" t="s">
        <v>28</v>
      </c>
      <c r="B791" s="16">
        <v>15</v>
      </c>
      <c r="C791" s="16">
        <v>9</v>
      </c>
      <c r="D791" s="16">
        <v>24</v>
      </c>
      <c r="E791" s="16">
        <v>32</v>
      </c>
      <c r="F791" s="16">
        <v>58</v>
      </c>
      <c r="G791" s="16">
        <v>136</v>
      </c>
      <c r="H791" s="16">
        <v>82</v>
      </c>
      <c r="I791" s="16">
        <f t="shared" si="106"/>
        <v>356</v>
      </c>
      <c r="J791" s="16"/>
      <c r="K791" s="16"/>
    </row>
    <row r="792" spans="1:11" x14ac:dyDescent="0.3">
      <c r="A792" s="15" t="s">
        <v>29</v>
      </c>
      <c r="B792" s="16">
        <v>5</v>
      </c>
      <c r="C792" s="16">
        <v>7</v>
      </c>
      <c r="D792" s="16">
        <v>9</v>
      </c>
      <c r="E792" s="16">
        <v>9</v>
      </c>
      <c r="F792" s="16">
        <v>7</v>
      </c>
      <c r="G792" s="16">
        <v>28</v>
      </c>
      <c r="H792" s="16">
        <v>10</v>
      </c>
      <c r="I792" s="16">
        <f t="shared" si="106"/>
        <v>75</v>
      </c>
      <c r="J792" s="16"/>
      <c r="K792" s="16"/>
    </row>
    <row r="793" spans="1:11" x14ac:dyDescent="0.3">
      <c r="A793" s="15" t="s">
        <v>31</v>
      </c>
      <c r="B793" s="16">
        <v>1</v>
      </c>
      <c r="C793" s="16">
        <v>0</v>
      </c>
      <c r="D793" s="16">
        <v>3</v>
      </c>
      <c r="E793" s="16">
        <v>10</v>
      </c>
      <c r="F793" s="16">
        <v>5</v>
      </c>
      <c r="G793" s="16">
        <v>16</v>
      </c>
      <c r="H793" s="16">
        <v>3</v>
      </c>
      <c r="I793" s="16">
        <f t="shared" si="106"/>
        <v>38</v>
      </c>
      <c r="J793" s="16"/>
      <c r="K793" s="16"/>
    </row>
    <row r="794" spans="1:11" x14ac:dyDescent="0.3">
      <c r="A794" s="15" t="s">
        <v>13</v>
      </c>
      <c r="B794" s="16">
        <v>0</v>
      </c>
      <c r="C794" s="16">
        <v>0</v>
      </c>
      <c r="D794" s="16">
        <v>0</v>
      </c>
      <c r="E794" s="16">
        <v>0</v>
      </c>
      <c r="F794" s="16">
        <v>0</v>
      </c>
      <c r="G794" s="16">
        <v>0</v>
      </c>
      <c r="H794" s="16">
        <v>1</v>
      </c>
      <c r="I794" s="16">
        <f t="shared" si="106"/>
        <v>1</v>
      </c>
      <c r="J794" s="16"/>
      <c r="K794" s="16"/>
    </row>
    <row r="795" spans="1:11" x14ac:dyDescent="0.3">
      <c r="A795" s="15" t="s">
        <v>14</v>
      </c>
      <c r="B795" s="16">
        <v>0</v>
      </c>
      <c r="C795" s="16">
        <v>0</v>
      </c>
      <c r="D795" s="16">
        <v>0</v>
      </c>
      <c r="E795" s="16">
        <v>0</v>
      </c>
      <c r="F795" s="16">
        <v>0</v>
      </c>
      <c r="G795" s="16">
        <v>0</v>
      </c>
      <c r="H795" s="16">
        <v>0</v>
      </c>
      <c r="I795" s="16">
        <f t="shared" si="106"/>
        <v>0</v>
      </c>
      <c r="J795" s="16"/>
      <c r="K795" s="16"/>
    </row>
    <row r="796" spans="1:11" x14ac:dyDescent="0.3">
      <c r="A796" s="15" t="s">
        <v>32</v>
      </c>
      <c r="B796" s="16">
        <v>0</v>
      </c>
      <c r="C796" s="16">
        <v>0</v>
      </c>
      <c r="D796" s="16">
        <v>0</v>
      </c>
      <c r="E796" s="16">
        <v>0</v>
      </c>
      <c r="F796" s="16">
        <v>0</v>
      </c>
      <c r="G796" s="16">
        <v>0</v>
      </c>
      <c r="H796" s="16">
        <v>0</v>
      </c>
      <c r="I796" s="16">
        <f t="shared" si="106"/>
        <v>0</v>
      </c>
      <c r="J796" s="16"/>
      <c r="K796" s="16"/>
    </row>
    <row r="797" spans="1:11" x14ac:dyDescent="0.3">
      <c r="A797" s="15" t="s">
        <v>33</v>
      </c>
      <c r="B797" s="16">
        <v>0</v>
      </c>
      <c r="C797" s="16">
        <v>0</v>
      </c>
      <c r="D797" s="16">
        <v>0</v>
      </c>
      <c r="E797" s="16">
        <v>0</v>
      </c>
      <c r="F797" s="16">
        <v>0</v>
      </c>
      <c r="G797" s="16">
        <v>0</v>
      </c>
      <c r="H797" s="16">
        <v>0</v>
      </c>
      <c r="I797" s="16">
        <f t="shared" si="106"/>
        <v>0</v>
      </c>
      <c r="J797" s="16"/>
      <c r="K797" s="16"/>
    </row>
    <row r="798" spans="1:11" ht="19.5" thickBot="1" x14ac:dyDescent="0.35">
      <c r="A798" s="30" t="s">
        <v>15</v>
      </c>
      <c r="B798" s="31">
        <f t="shared" ref="B798:H798" si="107">(B789+B788)/B787*100%</f>
        <v>0.10204081632653061</v>
      </c>
      <c r="C798" s="31">
        <f t="shared" si="107"/>
        <v>0.12</v>
      </c>
      <c r="D798" s="31">
        <f t="shared" si="107"/>
        <v>0.28301886792452829</v>
      </c>
      <c r="E798" s="31">
        <f t="shared" si="107"/>
        <v>0.26415094339622641</v>
      </c>
      <c r="F798" s="31">
        <f t="shared" si="107"/>
        <v>0.35294117647058826</v>
      </c>
      <c r="G798" s="31">
        <f t="shared" si="107"/>
        <v>0.50943396226415094</v>
      </c>
      <c r="H798" s="31">
        <f t="shared" si="107"/>
        <v>0.21568627450980393</v>
      </c>
      <c r="I798" s="32">
        <f>(B798+C798+D798+E798+F798+G798+H798)/7</f>
        <v>0.26389600584168976</v>
      </c>
      <c r="J798" s="52"/>
      <c r="K798" s="52"/>
    </row>
    <row r="799" spans="1:11" x14ac:dyDescent="0.3">
      <c r="A799" s="33" t="s">
        <v>16</v>
      </c>
      <c r="B799" s="16"/>
      <c r="C799" s="17"/>
      <c r="D799" s="16"/>
      <c r="E799" s="18"/>
      <c r="F799" s="16"/>
      <c r="G799" s="16"/>
      <c r="H799" s="16"/>
      <c r="I799" s="16"/>
      <c r="J799" s="16"/>
      <c r="K799" s="16"/>
    </row>
    <row r="800" spans="1:11" x14ac:dyDescent="0.3">
      <c r="A800" s="15" t="s">
        <v>17</v>
      </c>
      <c r="B800" s="28">
        <v>10415.160000000002</v>
      </c>
      <c r="C800" s="28">
        <v>9764.2000000000007</v>
      </c>
      <c r="D800" s="28">
        <v>22945.872000000003</v>
      </c>
      <c r="E800" s="28">
        <v>23779.917500000003</v>
      </c>
      <c r="F800" s="28">
        <v>34683.30950000001</v>
      </c>
      <c r="G800" s="28">
        <v>50285.700000000004</v>
      </c>
      <c r="H800" s="28">
        <v>23747.357499999998</v>
      </c>
      <c r="I800" s="19">
        <f>SUM(B800:H800)</f>
        <v>175621.51650000003</v>
      </c>
      <c r="J800" s="19"/>
      <c r="K800" s="19"/>
    </row>
    <row r="801" spans="1:11" x14ac:dyDescent="0.3">
      <c r="A801" s="15" t="s">
        <v>18</v>
      </c>
      <c r="B801" s="28">
        <v>11647.523000000001</v>
      </c>
      <c r="C801" s="28">
        <v>10105.935500000001</v>
      </c>
      <c r="D801" s="28">
        <v>22945.818900000002</v>
      </c>
      <c r="E801" s="28">
        <v>26296.423000000006</v>
      </c>
      <c r="F801" s="28">
        <v>40309.941200000008</v>
      </c>
      <c r="G801" s="28">
        <v>76575.75910000001</v>
      </c>
      <c r="H801" s="28">
        <v>36607.627399999998</v>
      </c>
      <c r="I801" s="19">
        <f t="shared" ref="I801:I804" si="108">SUM(B801:H801)</f>
        <v>224489.02810000005</v>
      </c>
      <c r="J801" s="19"/>
      <c r="K801" s="19"/>
    </row>
    <row r="802" spans="1:11" x14ac:dyDescent="0.3">
      <c r="A802" s="15" t="s">
        <v>19</v>
      </c>
      <c r="B802" s="28">
        <v>7477.6750000000011</v>
      </c>
      <c r="C802" s="28">
        <v>7762.5684999999994</v>
      </c>
      <c r="D802" s="28">
        <v>15740.739100000001</v>
      </c>
      <c r="E802" s="28">
        <v>17195.575500000003</v>
      </c>
      <c r="F802" s="28">
        <v>25077.766900000002</v>
      </c>
      <c r="G802" s="28">
        <v>43428.466100000005</v>
      </c>
      <c r="H802" s="28">
        <v>21310.579900000001</v>
      </c>
      <c r="I802" s="19">
        <f t="shared" si="108"/>
        <v>137993.37100000001</v>
      </c>
      <c r="J802" s="19"/>
      <c r="K802" s="19"/>
    </row>
    <row r="803" spans="1:11" x14ac:dyDescent="0.3">
      <c r="A803" s="15" t="s">
        <v>21</v>
      </c>
      <c r="B803" s="28">
        <v>0</v>
      </c>
      <c r="C803" s="28">
        <v>0</v>
      </c>
      <c r="D803" s="28">
        <v>0</v>
      </c>
      <c r="E803" s="28">
        <v>1139.1560000000002</v>
      </c>
      <c r="F803" s="28">
        <v>1659.9144000000001</v>
      </c>
      <c r="G803" s="28">
        <v>5988.7168000000011</v>
      </c>
      <c r="H803" s="28">
        <v>227.8312</v>
      </c>
      <c r="I803" s="19">
        <f t="shared" si="108"/>
        <v>9015.618400000003</v>
      </c>
      <c r="J803" s="19"/>
      <c r="K803" s="19"/>
    </row>
    <row r="804" spans="1:11" ht="19.5" thickBot="1" x14ac:dyDescent="0.35">
      <c r="A804" s="15" t="s">
        <v>22</v>
      </c>
      <c r="B804" s="28">
        <v>0</v>
      </c>
      <c r="C804" s="28">
        <v>0</v>
      </c>
      <c r="D804" s="28">
        <v>0</v>
      </c>
      <c r="E804" s="28">
        <v>0</v>
      </c>
      <c r="F804" s="28">
        <v>0</v>
      </c>
      <c r="G804" s="28">
        <v>0</v>
      </c>
      <c r="H804" s="28">
        <v>0</v>
      </c>
      <c r="I804" s="19">
        <f t="shared" si="108"/>
        <v>0</v>
      </c>
      <c r="J804" s="19"/>
      <c r="K804" s="19"/>
    </row>
    <row r="805" spans="1:11" ht="19.5" thickBot="1" x14ac:dyDescent="0.35">
      <c r="A805" s="20" t="s">
        <v>7</v>
      </c>
      <c r="B805" s="21">
        <f>SUM(B800:B804)</f>
        <v>29540.358000000007</v>
      </c>
      <c r="C805" s="21">
        <f>SUM(C800:C804)</f>
        <v>27632.704000000005</v>
      </c>
      <c r="D805" s="21">
        <f t="shared" ref="D805:H805" si="109">SUM(D800:D804)</f>
        <v>61632.43</v>
      </c>
      <c r="E805" s="21">
        <f t="shared" si="109"/>
        <v>68411.072000000015</v>
      </c>
      <c r="F805" s="21">
        <f t="shared" si="109"/>
        <v>101730.93200000002</v>
      </c>
      <c r="G805" s="21">
        <f t="shared" si="109"/>
        <v>176278.64199999999</v>
      </c>
      <c r="H805" s="21">
        <f t="shared" si="109"/>
        <v>81893.395999999993</v>
      </c>
      <c r="I805" s="21">
        <f>SUM(I800:I804)</f>
        <v>547119.5340000001</v>
      </c>
      <c r="J805" s="53"/>
      <c r="K805" s="53"/>
    </row>
    <row r="806" spans="1:11" ht="19.5" thickTop="1" x14ac:dyDescent="0.3">
      <c r="A806" s="22" t="s">
        <v>20</v>
      </c>
      <c r="B806" s="23">
        <f>9003.98*0.6</f>
        <v>5402.3879999999999</v>
      </c>
      <c r="C806" s="23">
        <f>6183.99*0.6</f>
        <v>3710.3939999999998</v>
      </c>
      <c r="D806" s="23">
        <f>15297.13*0.6</f>
        <v>9178.2779999999984</v>
      </c>
      <c r="E806" s="23">
        <f>20761.02*0.6</f>
        <v>12456.611999999999</v>
      </c>
      <c r="F806" s="23">
        <f>33523.76*0.6</f>
        <v>20114.256000000001</v>
      </c>
      <c r="G806" s="23">
        <f>80473.19*0.6</f>
        <v>48283.913999999997</v>
      </c>
      <c r="H806" s="23">
        <f>46217.14*0.6</f>
        <v>27730.284</v>
      </c>
      <c r="I806" s="23">
        <f>SUM(B806:H806)</f>
        <v>126876.126</v>
      </c>
      <c r="J806" s="23"/>
      <c r="K806" s="23"/>
    </row>
    <row r="807" spans="1:11" x14ac:dyDescent="0.3">
      <c r="A807" s="24" t="s">
        <v>25</v>
      </c>
      <c r="B807" s="25"/>
      <c r="C807" s="25"/>
      <c r="D807" s="25"/>
      <c r="E807" s="25"/>
      <c r="F807" s="25"/>
      <c r="G807" s="25"/>
      <c r="H807" s="25"/>
      <c r="I807" s="25"/>
      <c r="J807" s="25"/>
      <c r="K807" s="25"/>
    </row>
    <row r="808" spans="1:11" x14ac:dyDescent="0.3">
      <c r="A808" s="26" t="s">
        <v>23</v>
      </c>
      <c r="B808" s="25">
        <v>0</v>
      </c>
      <c r="C808" s="25">
        <v>0</v>
      </c>
      <c r="D808" s="25">
        <v>0</v>
      </c>
      <c r="E808" s="25">
        <v>0</v>
      </c>
      <c r="F808" s="25">
        <v>24410.09</v>
      </c>
      <c r="G808" s="25">
        <v>0</v>
      </c>
      <c r="H808" s="25">
        <v>0</v>
      </c>
      <c r="I808" s="25">
        <f>SUM(B808:H808)</f>
        <v>24410.09</v>
      </c>
      <c r="J808" s="25"/>
      <c r="K808" s="25"/>
    </row>
    <row r="809" spans="1:11" ht="19.5" thickBot="1" x14ac:dyDescent="0.35">
      <c r="A809" s="27" t="s">
        <v>24</v>
      </c>
      <c r="B809" s="25">
        <v>0</v>
      </c>
      <c r="C809" s="25">
        <v>0</v>
      </c>
      <c r="D809" s="25">
        <v>0</v>
      </c>
      <c r="E809" s="25">
        <v>0</v>
      </c>
      <c r="F809" s="25">
        <v>0</v>
      </c>
      <c r="G809" s="25">
        <v>17900.73</v>
      </c>
      <c r="H809" s="25">
        <f>16000/1.229</f>
        <v>13018.714401952806</v>
      </c>
      <c r="I809" s="25">
        <f>SUM(B809:H809)</f>
        <v>30919.444401952805</v>
      </c>
      <c r="J809" s="25"/>
      <c r="K809" s="25"/>
    </row>
    <row r="813" spans="1:11" ht="17.45" customHeight="1" x14ac:dyDescent="0.3">
      <c r="A813" s="4" t="s">
        <v>70</v>
      </c>
      <c r="B813" s="5" t="s">
        <v>0</v>
      </c>
      <c r="C813" s="5" t="s">
        <v>1</v>
      </c>
      <c r="D813" s="5" t="s">
        <v>2</v>
      </c>
      <c r="E813" s="6" t="s">
        <v>3</v>
      </c>
      <c r="F813" s="5" t="s">
        <v>4</v>
      </c>
      <c r="G813" s="5" t="s">
        <v>5</v>
      </c>
      <c r="H813" s="5" t="s">
        <v>6</v>
      </c>
      <c r="I813" s="5" t="s">
        <v>7</v>
      </c>
      <c r="J813" s="11"/>
      <c r="K813" s="11"/>
    </row>
    <row r="814" spans="1:11" x14ac:dyDescent="0.3">
      <c r="A814" s="7"/>
      <c r="B814" s="8">
        <v>45488</v>
      </c>
      <c r="C814" s="8">
        <v>45489</v>
      </c>
      <c r="D814" s="8">
        <v>45490</v>
      </c>
      <c r="E814" s="8">
        <v>45491</v>
      </c>
      <c r="F814" s="8">
        <v>45492</v>
      </c>
      <c r="G814" s="8">
        <v>45493</v>
      </c>
      <c r="H814" s="8">
        <v>45494</v>
      </c>
      <c r="I814" s="9"/>
      <c r="J814" s="11"/>
      <c r="K814" s="11"/>
    </row>
    <row r="815" spans="1:11" ht="19.5" thickBot="1" x14ac:dyDescent="0.35">
      <c r="A815" s="10" t="s">
        <v>8</v>
      </c>
      <c r="B815" s="11" t="s">
        <v>9</v>
      </c>
      <c r="C815" s="11" t="s">
        <v>9</v>
      </c>
      <c r="D815" s="11" t="s">
        <v>9</v>
      </c>
      <c r="E815" s="11" t="s">
        <v>9</v>
      </c>
      <c r="F815" s="11" t="s">
        <v>9</v>
      </c>
      <c r="G815" s="11" t="s">
        <v>9</v>
      </c>
      <c r="H815" s="11" t="s">
        <v>9</v>
      </c>
      <c r="I815" s="12" t="s">
        <v>9</v>
      </c>
      <c r="J815" s="11"/>
      <c r="K815" s="11"/>
    </row>
    <row r="816" spans="1:11" x14ac:dyDescent="0.3">
      <c r="A816" s="13" t="s">
        <v>10</v>
      </c>
      <c r="B816" s="14">
        <f>55-5</f>
        <v>50</v>
      </c>
      <c r="C816" s="14">
        <f>55-7</f>
        <v>48</v>
      </c>
      <c r="D816" s="14">
        <f>55-7</f>
        <v>48</v>
      </c>
      <c r="E816" s="14">
        <f>55-7</f>
        <v>48</v>
      </c>
      <c r="F816" s="14">
        <f>55-6</f>
        <v>49</v>
      </c>
      <c r="G816" s="14">
        <f>55-3</f>
        <v>52</v>
      </c>
      <c r="H816" s="14">
        <v>50</v>
      </c>
      <c r="I816" s="14"/>
      <c r="J816" s="16"/>
      <c r="K816" s="16"/>
    </row>
    <row r="817" spans="1:11" x14ac:dyDescent="0.3">
      <c r="A817" s="15" t="s">
        <v>11</v>
      </c>
      <c r="B817" s="16">
        <v>1</v>
      </c>
      <c r="C817" s="16">
        <v>2</v>
      </c>
      <c r="D817" s="16">
        <v>1</v>
      </c>
      <c r="E817" s="16">
        <v>2</v>
      </c>
      <c r="F817" s="16">
        <v>5</v>
      </c>
      <c r="G817" s="16">
        <v>3</v>
      </c>
      <c r="H817" s="16">
        <v>2</v>
      </c>
      <c r="I817" s="16">
        <f>SUM(B817:H817)</f>
        <v>16</v>
      </c>
      <c r="J817" s="16"/>
      <c r="K817" s="16"/>
    </row>
    <row r="818" spans="1:11" x14ac:dyDescent="0.3">
      <c r="A818" s="15" t="s">
        <v>12</v>
      </c>
      <c r="B818" s="16">
        <v>20</v>
      </c>
      <c r="C818" s="16">
        <v>18</v>
      </c>
      <c r="D818" s="16">
        <v>16</v>
      </c>
      <c r="E818" s="16">
        <v>4</v>
      </c>
      <c r="F818" s="16">
        <v>19</v>
      </c>
      <c r="G818" s="16">
        <v>24</v>
      </c>
      <c r="H818" s="16">
        <v>8</v>
      </c>
      <c r="I818" s="16">
        <f t="shared" ref="I818:I826" si="110">SUM(B818:H818)</f>
        <v>109</v>
      </c>
      <c r="J818" s="16"/>
      <c r="K818" s="16"/>
    </row>
    <row r="819" spans="1:11" x14ac:dyDescent="0.3">
      <c r="A819" s="15" t="s">
        <v>30</v>
      </c>
      <c r="B819" s="16">
        <v>3</v>
      </c>
      <c r="C819" s="16">
        <v>0</v>
      </c>
      <c r="D819" s="16">
        <v>0</v>
      </c>
      <c r="E819" s="16">
        <v>0</v>
      </c>
      <c r="F819" s="16">
        <v>0</v>
      </c>
      <c r="G819" s="16">
        <v>0</v>
      </c>
      <c r="H819" s="16">
        <v>0</v>
      </c>
      <c r="I819" s="16">
        <f t="shared" si="110"/>
        <v>3</v>
      </c>
      <c r="J819" s="16"/>
      <c r="K819" s="16"/>
    </row>
    <row r="820" spans="1:11" x14ac:dyDescent="0.3">
      <c r="A820" s="15" t="s">
        <v>28</v>
      </c>
      <c r="B820" s="16">
        <v>9</v>
      </c>
      <c r="C820" s="16">
        <v>22</v>
      </c>
      <c r="D820" s="16">
        <v>83</v>
      </c>
      <c r="E820" s="16">
        <v>38</v>
      </c>
      <c r="F820" s="16">
        <v>45</v>
      </c>
      <c r="G820" s="16">
        <v>194</v>
      </c>
      <c r="H820" s="16">
        <v>71</v>
      </c>
      <c r="I820" s="16">
        <f t="shared" si="110"/>
        <v>462</v>
      </c>
      <c r="J820" s="16"/>
      <c r="K820" s="16"/>
    </row>
    <row r="821" spans="1:11" x14ac:dyDescent="0.3">
      <c r="A821" s="15" t="s">
        <v>29</v>
      </c>
      <c r="B821" s="16">
        <v>1</v>
      </c>
      <c r="C821" s="16">
        <v>18</v>
      </c>
      <c r="D821" s="16">
        <v>4</v>
      </c>
      <c r="E821" s="16">
        <v>4</v>
      </c>
      <c r="F821" s="16">
        <v>7</v>
      </c>
      <c r="G821" s="16">
        <v>34</v>
      </c>
      <c r="H821" s="16">
        <v>18</v>
      </c>
      <c r="I821" s="16">
        <f t="shared" si="110"/>
        <v>86</v>
      </c>
      <c r="J821" s="16"/>
      <c r="K821" s="16"/>
    </row>
    <row r="822" spans="1:11" x14ac:dyDescent="0.3">
      <c r="A822" s="15" t="s">
        <v>31</v>
      </c>
      <c r="B822" s="16">
        <v>0</v>
      </c>
      <c r="C822" s="16">
        <v>1</v>
      </c>
      <c r="D822" s="16">
        <v>14</v>
      </c>
      <c r="E822" s="16">
        <v>3</v>
      </c>
      <c r="F822" s="16">
        <v>25</v>
      </c>
      <c r="G822" s="16">
        <v>14</v>
      </c>
      <c r="H822" s="16">
        <v>10</v>
      </c>
      <c r="I822" s="16">
        <f t="shared" si="110"/>
        <v>67</v>
      </c>
      <c r="J822" s="16"/>
      <c r="K822" s="16"/>
    </row>
    <row r="823" spans="1:11" x14ac:dyDescent="0.3">
      <c r="A823" s="15" t="s">
        <v>13</v>
      </c>
      <c r="B823" s="16">
        <v>0</v>
      </c>
      <c r="C823" s="16">
        <v>6</v>
      </c>
      <c r="D823" s="16">
        <v>0</v>
      </c>
      <c r="E823" s="16">
        <v>2</v>
      </c>
      <c r="F823" s="16">
        <v>0</v>
      </c>
      <c r="G823" s="16">
        <v>3</v>
      </c>
      <c r="H823" s="16">
        <v>0</v>
      </c>
      <c r="I823" s="16">
        <f t="shared" si="110"/>
        <v>11</v>
      </c>
      <c r="J823" s="16"/>
      <c r="K823" s="16"/>
    </row>
    <row r="824" spans="1:11" x14ac:dyDescent="0.3">
      <c r="A824" s="15" t="s">
        <v>14</v>
      </c>
      <c r="B824" s="16">
        <v>0</v>
      </c>
      <c r="C824" s="16">
        <v>0</v>
      </c>
      <c r="D824" s="16">
        <v>0</v>
      </c>
      <c r="E824" s="16">
        <v>0</v>
      </c>
      <c r="F824" s="16">
        <v>0</v>
      </c>
      <c r="G824" s="16">
        <v>0</v>
      </c>
      <c r="H824" s="16">
        <v>0</v>
      </c>
      <c r="I824" s="16">
        <f t="shared" si="110"/>
        <v>0</v>
      </c>
      <c r="J824" s="16"/>
      <c r="K824" s="16"/>
    </row>
    <row r="825" spans="1:11" x14ac:dyDescent="0.3">
      <c r="A825" s="15" t="s">
        <v>32</v>
      </c>
      <c r="B825" s="16">
        <v>0</v>
      </c>
      <c r="C825" s="16">
        <v>0</v>
      </c>
      <c r="D825" s="16">
        <v>0</v>
      </c>
      <c r="E825" s="16">
        <v>0</v>
      </c>
      <c r="F825" s="16">
        <v>0</v>
      </c>
      <c r="G825" s="16">
        <v>1</v>
      </c>
      <c r="H825" s="16">
        <v>0</v>
      </c>
      <c r="I825" s="16">
        <f t="shared" si="110"/>
        <v>1</v>
      </c>
      <c r="J825" s="16"/>
      <c r="K825" s="16"/>
    </row>
    <row r="826" spans="1:11" x14ac:dyDescent="0.3">
      <c r="A826" s="15" t="s">
        <v>33</v>
      </c>
      <c r="B826" s="16">
        <v>0</v>
      </c>
      <c r="C826" s="16">
        <v>0</v>
      </c>
      <c r="D826" s="16">
        <v>0</v>
      </c>
      <c r="E826" s="16">
        <v>33</v>
      </c>
      <c r="F826" s="16">
        <v>0</v>
      </c>
      <c r="G826" s="16">
        <v>100</v>
      </c>
      <c r="H826" s="16">
        <v>0</v>
      </c>
      <c r="I826" s="16">
        <f t="shared" si="110"/>
        <v>133</v>
      </c>
      <c r="J826" s="16"/>
      <c r="K826" s="16"/>
    </row>
    <row r="827" spans="1:11" ht="19.5" thickBot="1" x14ac:dyDescent="0.35">
      <c r="A827" s="30" t="s">
        <v>15</v>
      </c>
      <c r="B827" s="31">
        <f t="shared" ref="B827:H827" si="111">(B818+B817)/B816*100%</f>
        <v>0.42</v>
      </c>
      <c r="C827" s="31">
        <f t="shared" si="111"/>
        <v>0.41666666666666669</v>
      </c>
      <c r="D827" s="31">
        <f t="shared" si="111"/>
        <v>0.35416666666666669</v>
      </c>
      <c r="E827" s="31">
        <f t="shared" si="111"/>
        <v>0.125</v>
      </c>
      <c r="F827" s="31">
        <f t="shared" si="111"/>
        <v>0.48979591836734693</v>
      </c>
      <c r="G827" s="31">
        <f t="shared" si="111"/>
        <v>0.51923076923076927</v>
      </c>
      <c r="H827" s="31">
        <f t="shared" si="111"/>
        <v>0.2</v>
      </c>
      <c r="I827" s="32">
        <f>(B827+C827+D827+E827+F827+G827+H827)/7</f>
        <v>0.36069428870449283</v>
      </c>
      <c r="J827" s="52"/>
      <c r="K827" s="52"/>
    </row>
    <row r="828" spans="1:11" x14ac:dyDescent="0.3">
      <c r="A828" s="33" t="s">
        <v>16</v>
      </c>
      <c r="B828" s="16"/>
      <c r="C828" s="17"/>
      <c r="D828" s="16"/>
      <c r="E828" s="18"/>
      <c r="F828" s="16"/>
      <c r="G828" s="16"/>
      <c r="H828" s="16"/>
      <c r="I828" s="16"/>
      <c r="J828" s="16"/>
      <c r="K828" s="16"/>
    </row>
    <row r="829" spans="1:11" x14ac:dyDescent="0.3">
      <c r="A829" s="15" t="s">
        <v>17</v>
      </c>
      <c r="B829" s="28">
        <v>33310.42</v>
      </c>
      <c r="C829" s="28">
        <v>34651.562999999995</v>
      </c>
      <c r="D829" s="28">
        <v>32942.821000000004</v>
      </c>
      <c r="E829" s="28">
        <v>18242.816200000005</v>
      </c>
      <c r="F829" s="28">
        <v>37820.065600000002</v>
      </c>
      <c r="G829" s="28">
        <v>61498.30720000001</v>
      </c>
      <c r="H829" s="28">
        <v>17901.07</v>
      </c>
      <c r="I829" s="19">
        <f>SUM(B829:H829)</f>
        <v>236367.06300000002</v>
      </c>
      <c r="J829" s="19"/>
      <c r="K829" s="19"/>
    </row>
    <row r="830" spans="1:11" x14ac:dyDescent="0.3">
      <c r="A830" s="15" t="s">
        <v>18</v>
      </c>
      <c r="B830" s="28">
        <v>28800.52</v>
      </c>
      <c r="C830" s="28">
        <v>33112.286100000005</v>
      </c>
      <c r="D830" s="28">
        <v>43529.440700000006</v>
      </c>
      <c r="E830" s="28">
        <v>30787.795439999998</v>
      </c>
      <c r="F830" s="28">
        <v>40726.143470000003</v>
      </c>
      <c r="G830" s="28">
        <v>97071.584889999998</v>
      </c>
      <c r="H830" s="28">
        <v>32464.23</v>
      </c>
      <c r="I830" s="19">
        <f t="shared" ref="I830:I833" si="112">SUM(B830:H830)</f>
        <v>306492.00060000003</v>
      </c>
      <c r="J830" s="19"/>
      <c r="K830" s="19"/>
    </row>
    <row r="831" spans="1:11" x14ac:dyDescent="0.3">
      <c r="A831" s="15" t="s">
        <v>19</v>
      </c>
      <c r="B831" s="28">
        <v>19114.46</v>
      </c>
      <c r="C831" s="28">
        <v>22879.509899999997</v>
      </c>
      <c r="D831" s="28">
        <v>28432.905299999999</v>
      </c>
      <c r="E831" s="28">
        <v>12937.589759999999</v>
      </c>
      <c r="F831" s="28">
        <v>26345.071929999998</v>
      </c>
      <c r="G831" s="28">
        <v>49666.708509999997</v>
      </c>
      <c r="H831" s="28">
        <v>18292.400000000001</v>
      </c>
      <c r="I831" s="19">
        <f t="shared" si="112"/>
        <v>177668.64539999998</v>
      </c>
      <c r="J831" s="19"/>
      <c r="K831" s="19"/>
    </row>
    <row r="832" spans="1:11" x14ac:dyDescent="0.3">
      <c r="A832" s="15" t="s">
        <v>21</v>
      </c>
      <c r="B832" s="28">
        <v>6497.9</v>
      </c>
      <c r="C832" s="28">
        <v>3200.056</v>
      </c>
      <c r="D832" s="28">
        <v>3200.056</v>
      </c>
      <c r="E832" s="28">
        <v>48332.88</v>
      </c>
      <c r="F832" s="28">
        <v>0</v>
      </c>
      <c r="G832" s="28">
        <v>2034.212</v>
      </c>
      <c r="H832" s="28">
        <v>0</v>
      </c>
      <c r="I832" s="19">
        <f t="shared" si="112"/>
        <v>63265.103999999999</v>
      </c>
      <c r="J832" s="19"/>
      <c r="K832" s="19"/>
    </row>
    <row r="833" spans="1:12" ht="19.5" thickBot="1" x14ac:dyDescent="0.35">
      <c r="A833" s="15" t="s">
        <v>22</v>
      </c>
      <c r="B833" s="28">
        <v>0</v>
      </c>
      <c r="C833" s="28">
        <v>0</v>
      </c>
      <c r="D833" s="28">
        <v>0</v>
      </c>
      <c r="E833" s="28">
        <v>0</v>
      </c>
      <c r="F833" s="28">
        <v>0</v>
      </c>
      <c r="G833" s="28">
        <v>0</v>
      </c>
      <c r="H833" s="28">
        <v>0</v>
      </c>
      <c r="I833" s="19">
        <f t="shared" si="112"/>
        <v>0</v>
      </c>
      <c r="J833" s="19"/>
      <c r="K833" s="19"/>
    </row>
    <row r="834" spans="1:12" ht="19.5" thickBot="1" x14ac:dyDescent="0.35">
      <c r="A834" s="20" t="s">
        <v>7</v>
      </c>
      <c r="B834" s="21">
        <f>SUM(B829:B833)</f>
        <v>87723.299999999988</v>
      </c>
      <c r="C834" s="21">
        <f>SUM(C829:C833)</f>
        <v>93843.414999999994</v>
      </c>
      <c r="D834" s="21">
        <f t="shared" ref="D834:H834" si="113">SUM(D829:D833)</f>
        <v>108105.223</v>
      </c>
      <c r="E834" s="21">
        <f t="shared" si="113"/>
        <v>110301.0814</v>
      </c>
      <c r="F834" s="21">
        <f t="shared" si="113"/>
        <v>104891.28100000002</v>
      </c>
      <c r="G834" s="21">
        <f t="shared" si="113"/>
        <v>210270.8126</v>
      </c>
      <c r="H834" s="21">
        <f t="shared" si="113"/>
        <v>68657.700000000012</v>
      </c>
      <c r="I834" s="21">
        <f>SUM(I829:I833)</f>
        <v>783792.81300000008</v>
      </c>
      <c r="J834" s="53"/>
      <c r="K834" s="53"/>
    </row>
    <row r="835" spans="1:12" ht="19.5" thickTop="1" x14ac:dyDescent="0.3">
      <c r="A835" s="22" t="s">
        <v>20</v>
      </c>
      <c r="B835" s="23">
        <f>4963.47*0.6</f>
        <v>2978.0819999999999</v>
      </c>
      <c r="C835" s="23">
        <f>16314.37*0.6</f>
        <v>9788.6219999999994</v>
      </c>
      <c r="D835" s="23">
        <f>47844.47*0.6</f>
        <v>28706.682000000001</v>
      </c>
      <c r="E835" s="23">
        <f>22335.65*0.6</f>
        <v>13401.390000000001</v>
      </c>
      <c r="F835" s="23">
        <f>30993.259*0.6</f>
        <v>18595.955399999999</v>
      </c>
      <c r="G835" s="23">
        <f>104684.629*0.6</f>
        <v>62810.777399999999</v>
      </c>
      <c r="H835" s="23">
        <v>25927.040000000001</v>
      </c>
      <c r="I835" s="23">
        <f>SUM(B835:H835)</f>
        <v>162208.54879999999</v>
      </c>
      <c r="J835" s="23"/>
      <c r="K835" s="23"/>
    </row>
    <row r="836" spans="1:12" x14ac:dyDescent="0.3">
      <c r="A836" s="24" t="s">
        <v>25</v>
      </c>
      <c r="B836" s="25"/>
      <c r="C836" s="25"/>
      <c r="D836" s="25"/>
      <c r="E836" s="25"/>
      <c r="F836" s="25"/>
      <c r="G836" s="25"/>
      <c r="H836" s="25"/>
      <c r="I836" s="25"/>
      <c r="J836" s="25"/>
      <c r="K836" s="25"/>
    </row>
    <row r="837" spans="1:12" x14ac:dyDescent="0.3">
      <c r="A837" s="26" t="s">
        <v>23</v>
      </c>
      <c r="B837" s="25">
        <v>0</v>
      </c>
      <c r="C837" s="25">
        <f>30000/1.229</f>
        <v>24410.089503661511</v>
      </c>
      <c r="D837" s="25"/>
      <c r="E837" s="25">
        <f>30000/1.229</f>
        <v>24410.089503661511</v>
      </c>
      <c r="F837" s="25">
        <f>30000/1.229</f>
        <v>24410.089503661511</v>
      </c>
      <c r="G837" s="25">
        <f>30000/1.229</f>
        <v>24410.089503661511</v>
      </c>
      <c r="H837" s="25">
        <f>30000/1.229</f>
        <v>24410.089503661511</v>
      </c>
      <c r="I837" s="25">
        <f>SUM(B837:H837)</f>
        <v>122050.44751830756</v>
      </c>
      <c r="J837" s="25"/>
      <c r="K837" s="25"/>
    </row>
    <row r="838" spans="1:12" ht="19.5" thickBot="1" x14ac:dyDescent="0.35">
      <c r="A838" s="27" t="s">
        <v>24</v>
      </c>
      <c r="B838" s="25">
        <f>10000/1.229</f>
        <v>8136.6965012205037</v>
      </c>
      <c r="C838" s="25">
        <f>10000/1.229</f>
        <v>8136.6965012205037</v>
      </c>
      <c r="D838" s="25">
        <f>10000/1.229</f>
        <v>8136.6965012205037</v>
      </c>
      <c r="E838" s="25">
        <f>10000/1.229</f>
        <v>8136.6965012205037</v>
      </c>
      <c r="F838" s="25">
        <f>40000/1.229</f>
        <v>32546.786004882015</v>
      </c>
      <c r="G838" s="25">
        <f>20000/1.229</f>
        <v>16273.393002441007</v>
      </c>
      <c r="H838" s="25">
        <f>10000/1.229</f>
        <v>8136.6965012205037</v>
      </c>
      <c r="I838" s="25">
        <f>SUM(B838:H838)</f>
        <v>89503.661513425541</v>
      </c>
      <c r="J838" s="25"/>
      <c r="K838" s="25"/>
    </row>
    <row r="842" spans="1:12" ht="17.45" customHeight="1" x14ac:dyDescent="0.3">
      <c r="A842" s="4" t="s">
        <v>75</v>
      </c>
      <c r="B842" s="5" t="s">
        <v>0</v>
      </c>
      <c r="C842" s="5" t="s">
        <v>1</v>
      </c>
      <c r="D842" s="5" t="s">
        <v>2</v>
      </c>
      <c r="E842" s="6" t="s">
        <v>3</v>
      </c>
      <c r="F842" s="5" t="s">
        <v>4</v>
      </c>
      <c r="G842" s="5" t="s">
        <v>5</v>
      </c>
      <c r="H842" s="5" t="s">
        <v>6</v>
      </c>
      <c r="I842" s="5" t="s">
        <v>7</v>
      </c>
      <c r="J842" s="11"/>
      <c r="K842" s="11"/>
    </row>
    <row r="843" spans="1:12" x14ac:dyDescent="0.3">
      <c r="A843" s="7"/>
      <c r="B843" s="8">
        <v>45495</v>
      </c>
      <c r="C843" s="8">
        <v>45496</v>
      </c>
      <c r="D843" s="8">
        <v>45497</v>
      </c>
      <c r="E843" s="8">
        <v>45498</v>
      </c>
      <c r="F843" s="8">
        <v>45499</v>
      </c>
      <c r="G843" s="8">
        <v>45500</v>
      </c>
      <c r="H843" s="8">
        <v>45501</v>
      </c>
      <c r="I843" s="9"/>
      <c r="J843" s="11"/>
      <c r="K843" s="11"/>
    </row>
    <row r="844" spans="1:12" ht="19.5" thickBot="1" x14ac:dyDescent="0.35">
      <c r="A844" s="10" t="s">
        <v>8</v>
      </c>
      <c r="B844" s="11" t="s">
        <v>9</v>
      </c>
      <c r="C844" s="11" t="s">
        <v>9</v>
      </c>
      <c r="D844" s="11" t="s">
        <v>9</v>
      </c>
      <c r="E844" s="11" t="s">
        <v>9</v>
      </c>
      <c r="F844" s="11" t="s">
        <v>9</v>
      </c>
      <c r="G844" s="11" t="s">
        <v>9</v>
      </c>
      <c r="H844" s="11" t="s">
        <v>9</v>
      </c>
      <c r="I844" s="12" t="s">
        <v>9</v>
      </c>
      <c r="J844" s="11"/>
      <c r="K844" s="11"/>
      <c r="L844" s="1">
        <f>111600.5+13150+11650</f>
        <v>136400.5</v>
      </c>
    </row>
    <row r="845" spans="1:12" x14ac:dyDescent="0.3">
      <c r="A845" s="13" t="s">
        <v>10</v>
      </c>
      <c r="B845" s="14">
        <f>55-5</f>
        <v>50</v>
      </c>
      <c r="C845" s="14">
        <f>55-3</f>
        <v>52</v>
      </c>
      <c r="D845" s="14">
        <f>55-1</f>
        <v>54</v>
      </c>
      <c r="E845" s="14">
        <f>55-1</f>
        <v>54</v>
      </c>
      <c r="F845" s="14">
        <f>55-1</f>
        <v>54</v>
      </c>
      <c r="G845" s="14">
        <f>55-1</f>
        <v>54</v>
      </c>
      <c r="H845" s="14">
        <f>55-1</f>
        <v>54</v>
      </c>
      <c r="I845" s="14"/>
      <c r="J845" s="16"/>
      <c r="K845" s="16"/>
    </row>
    <row r="846" spans="1:12" x14ac:dyDescent="0.3">
      <c r="A846" s="15" t="s">
        <v>11</v>
      </c>
      <c r="B846" s="16">
        <v>2</v>
      </c>
      <c r="C846" s="16">
        <v>1</v>
      </c>
      <c r="D846" s="16">
        <v>1</v>
      </c>
      <c r="E846" s="16">
        <v>1</v>
      </c>
      <c r="F846" s="16">
        <v>1</v>
      </c>
      <c r="G846" s="16">
        <v>3</v>
      </c>
      <c r="H846" s="16">
        <v>1</v>
      </c>
      <c r="I846" s="16">
        <f>SUM(B846:H846)</f>
        <v>10</v>
      </c>
      <c r="J846" s="16">
        <v>16</v>
      </c>
      <c r="K846" s="66">
        <f t="shared" ref="K846:K856" si="114">(I846-J846)/J846</f>
        <v>-0.375</v>
      </c>
      <c r="L846" s="1" t="s">
        <v>76</v>
      </c>
    </row>
    <row r="847" spans="1:12" x14ac:dyDescent="0.3">
      <c r="A847" s="15" t="s">
        <v>12</v>
      </c>
      <c r="B847" s="16">
        <v>21</v>
      </c>
      <c r="C847" s="16">
        <v>22</v>
      </c>
      <c r="D847" s="16">
        <v>50</v>
      </c>
      <c r="E847" s="16">
        <v>52</v>
      </c>
      <c r="F847" s="16">
        <v>16</v>
      </c>
      <c r="G847" s="16">
        <v>13</v>
      </c>
      <c r="H847" s="16">
        <v>41</v>
      </c>
      <c r="I847" s="16">
        <f t="shared" ref="I847:I855" si="115">SUM(B847:H847)</f>
        <v>215</v>
      </c>
      <c r="J847" s="16">
        <v>109</v>
      </c>
      <c r="K847" s="66">
        <f t="shared" si="114"/>
        <v>0.97247706422018354</v>
      </c>
      <c r="L847" s="1" t="s">
        <v>76</v>
      </c>
    </row>
    <row r="848" spans="1:12" x14ac:dyDescent="0.3">
      <c r="A848" s="15" t="s">
        <v>30</v>
      </c>
      <c r="B848" s="16">
        <v>0</v>
      </c>
      <c r="C848" s="16">
        <v>0</v>
      </c>
      <c r="D848" s="16">
        <v>0</v>
      </c>
      <c r="E848" s="16">
        <v>0</v>
      </c>
      <c r="F848" s="16">
        <v>0</v>
      </c>
      <c r="G848" s="16">
        <v>0</v>
      </c>
      <c r="H848" s="16">
        <v>0</v>
      </c>
      <c r="I848" s="16">
        <f t="shared" si="115"/>
        <v>0</v>
      </c>
      <c r="J848" s="16">
        <v>3</v>
      </c>
      <c r="K848" s="66">
        <f t="shared" si="114"/>
        <v>-1</v>
      </c>
      <c r="L848" s="1" t="s">
        <v>76</v>
      </c>
    </row>
    <row r="849" spans="1:12" x14ac:dyDescent="0.3">
      <c r="A849" s="15" t="s">
        <v>28</v>
      </c>
      <c r="B849" s="16">
        <v>43</v>
      </c>
      <c r="C849" s="16">
        <v>15</v>
      </c>
      <c r="D849" s="16">
        <v>77</v>
      </c>
      <c r="E849" s="16">
        <v>9</v>
      </c>
      <c r="F849" s="16">
        <v>57</v>
      </c>
      <c r="G849" s="16">
        <v>198</v>
      </c>
      <c r="H849" s="16">
        <v>168</v>
      </c>
      <c r="I849" s="16">
        <f t="shared" si="115"/>
        <v>567</v>
      </c>
      <c r="J849" s="16">
        <v>462</v>
      </c>
      <c r="K849" s="66">
        <f t="shared" si="114"/>
        <v>0.22727272727272727</v>
      </c>
      <c r="L849" s="1" t="s">
        <v>76</v>
      </c>
    </row>
    <row r="850" spans="1:12" x14ac:dyDescent="0.3">
      <c r="A850" s="15" t="s">
        <v>29</v>
      </c>
      <c r="B850" s="16">
        <v>7</v>
      </c>
      <c r="C850" s="16">
        <v>6</v>
      </c>
      <c r="D850" s="16">
        <f>17</f>
        <v>17</v>
      </c>
      <c r="E850" s="16">
        <v>1</v>
      </c>
      <c r="F850" s="16">
        <v>19</v>
      </c>
      <c r="G850" s="16">
        <v>51</v>
      </c>
      <c r="H850" s="16">
        <v>24</v>
      </c>
      <c r="I850" s="16">
        <f t="shared" si="115"/>
        <v>125</v>
      </c>
      <c r="J850" s="16">
        <v>86</v>
      </c>
      <c r="K850" s="66">
        <f t="shared" si="114"/>
        <v>0.45348837209302323</v>
      </c>
      <c r="L850" s="1" t="s">
        <v>76</v>
      </c>
    </row>
    <row r="851" spans="1:12" x14ac:dyDescent="0.3">
      <c r="A851" s="15" t="s">
        <v>31</v>
      </c>
      <c r="B851" s="16">
        <v>6</v>
      </c>
      <c r="C851" s="16">
        <v>2</v>
      </c>
      <c r="D851" s="16">
        <v>10</v>
      </c>
      <c r="E851" s="16">
        <v>1</v>
      </c>
      <c r="F851" s="16">
        <v>11</v>
      </c>
      <c r="G851" s="16">
        <v>32</v>
      </c>
      <c r="H851" s="16">
        <v>6</v>
      </c>
      <c r="I851" s="16">
        <f t="shared" si="115"/>
        <v>68</v>
      </c>
      <c r="J851" s="16">
        <v>67</v>
      </c>
      <c r="K851" s="66">
        <f t="shared" si="114"/>
        <v>1.4925373134328358E-2</v>
      </c>
      <c r="L851" s="1" t="s">
        <v>76</v>
      </c>
    </row>
    <row r="852" spans="1:12" x14ac:dyDescent="0.3">
      <c r="A852" s="15" t="s">
        <v>13</v>
      </c>
      <c r="B852" s="16">
        <v>0</v>
      </c>
      <c r="C852" s="16">
        <v>0</v>
      </c>
      <c r="D852" s="16">
        <v>0</v>
      </c>
      <c r="E852" s="16">
        <v>0</v>
      </c>
      <c r="F852" s="16">
        <v>0</v>
      </c>
      <c r="G852" s="16">
        <v>0</v>
      </c>
      <c r="H852" s="16">
        <v>0</v>
      </c>
      <c r="I852" s="16">
        <f t="shared" si="115"/>
        <v>0</v>
      </c>
      <c r="J852" s="16">
        <v>11</v>
      </c>
      <c r="K852" s="66">
        <f t="shared" si="114"/>
        <v>-1</v>
      </c>
      <c r="L852" s="1" t="s">
        <v>77</v>
      </c>
    </row>
    <row r="853" spans="1:12" x14ac:dyDescent="0.3">
      <c r="A853" s="15" t="s">
        <v>14</v>
      </c>
      <c r="B853" s="16">
        <v>0</v>
      </c>
      <c r="C853" s="16">
        <v>0</v>
      </c>
      <c r="D853" s="16">
        <v>0</v>
      </c>
      <c r="E853" s="16">
        <v>0</v>
      </c>
      <c r="F853" s="16">
        <v>0</v>
      </c>
      <c r="G853" s="16">
        <v>0</v>
      </c>
      <c r="H853" s="16">
        <v>0</v>
      </c>
      <c r="I853" s="16">
        <f t="shared" si="115"/>
        <v>0</v>
      </c>
      <c r="J853" s="16">
        <v>0</v>
      </c>
      <c r="K853" s="66"/>
    </row>
    <row r="854" spans="1:12" x14ac:dyDescent="0.3">
      <c r="A854" s="15" t="s">
        <v>32</v>
      </c>
      <c r="B854" s="16">
        <v>0</v>
      </c>
      <c r="C854" s="16">
        <v>0</v>
      </c>
      <c r="D854" s="16">
        <v>0</v>
      </c>
      <c r="E854" s="16">
        <v>0</v>
      </c>
      <c r="F854" s="16">
        <v>0</v>
      </c>
      <c r="G854" s="16">
        <v>0</v>
      </c>
      <c r="H854" s="16">
        <v>0</v>
      </c>
      <c r="I854" s="16">
        <f t="shared" si="115"/>
        <v>0</v>
      </c>
      <c r="J854" s="16">
        <v>1</v>
      </c>
      <c r="K854" s="66">
        <f t="shared" si="114"/>
        <v>-1</v>
      </c>
      <c r="L854" s="1" t="s">
        <v>77</v>
      </c>
    </row>
    <row r="855" spans="1:12" x14ac:dyDescent="0.3">
      <c r="A855" s="15" t="s">
        <v>33</v>
      </c>
      <c r="B855" s="16">
        <v>0</v>
      </c>
      <c r="C855" s="16">
        <v>0</v>
      </c>
      <c r="D855" s="16">
        <v>0</v>
      </c>
      <c r="E855" s="16">
        <v>0</v>
      </c>
      <c r="F855" s="16">
        <v>0</v>
      </c>
      <c r="G855" s="16">
        <v>0</v>
      </c>
      <c r="H855" s="16">
        <v>0</v>
      </c>
      <c r="I855" s="16">
        <f t="shared" si="115"/>
        <v>0</v>
      </c>
      <c r="J855" s="16">
        <v>133</v>
      </c>
      <c r="K855" s="66">
        <f t="shared" si="114"/>
        <v>-1</v>
      </c>
      <c r="L855" s="1" t="s">
        <v>77</v>
      </c>
    </row>
    <row r="856" spans="1:12" ht="19.5" thickBot="1" x14ac:dyDescent="0.35">
      <c r="A856" s="30" t="s">
        <v>15</v>
      </c>
      <c r="B856" s="31">
        <f t="shared" ref="B856:H856" si="116">(B847+B846)/B845*100%</f>
        <v>0.46</v>
      </c>
      <c r="C856" s="31">
        <f t="shared" si="116"/>
        <v>0.44230769230769229</v>
      </c>
      <c r="D856" s="31">
        <f t="shared" si="116"/>
        <v>0.94444444444444442</v>
      </c>
      <c r="E856" s="31">
        <f t="shared" si="116"/>
        <v>0.98148148148148151</v>
      </c>
      <c r="F856" s="31">
        <f t="shared" si="116"/>
        <v>0.31481481481481483</v>
      </c>
      <c r="G856" s="31">
        <f t="shared" si="116"/>
        <v>0.29629629629629628</v>
      </c>
      <c r="H856" s="31">
        <f t="shared" si="116"/>
        <v>0.77777777777777779</v>
      </c>
      <c r="I856" s="32">
        <f>(B856+C856+D856+E856+F856+G856+H856)/7</f>
        <v>0.60244607244607251</v>
      </c>
      <c r="J856" s="52">
        <v>0.36069428870449283</v>
      </c>
      <c r="K856" s="66">
        <f t="shared" si="114"/>
        <v>0.67024012110056019</v>
      </c>
      <c r="L856" s="1" t="s">
        <v>76</v>
      </c>
    </row>
    <row r="857" spans="1:12" x14ac:dyDescent="0.3">
      <c r="A857" s="33" t="s">
        <v>16</v>
      </c>
      <c r="B857" s="16"/>
      <c r="C857" s="17"/>
      <c r="D857" s="16"/>
      <c r="E857" s="18"/>
      <c r="F857" s="16"/>
      <c r="G857" s="16"/>
      <c r="H857" s="16"/>
      <c r="I857" s="16"/>
      <c r="J857" s="16"/>
      <c r="K857" s="66"/>
    </row>
    <row r="858" spans="1:12" x14ac:dyDescent="0.3">
      <c r="A858" s="15" t="s">
        <v>17</v>
      </c>
      <c r="B858" s="28">
        <v>36022.190499999997</v>
      </c>
      <c r="C858" s="28">
        <v>35050.750049999995</v>
      </c>
      <c r="D858" s="28">
        <v>75555.963699999993</v>
      </c>
      <c r="E858" s="28">
        <v>69296.047149999999</v>
      </c>
      <c r="F858" s="28">
        <v>34142.216700000004</v>
      </c>
      <c r="G858" s="28">
        <v>26591.220700000002</v>
      </c>
      <c r="H858" s="28">
        <v>49126.463799999998</v>
      </c>
      <c r="I858" s="19">
        <f>SUM(B858:H858)</f>
        <v>325784.85259999998</v>
      </c>
      <c r="J858" s="19">
        <v>236367.06300000002</v>
      </c>
      <c r="K858" s="66">
        <f>(I858-J858)/J858</f>
        <v>0.37830054858362372</v>
      </c>
      <c r="L858" s="1" t="s">
        <v>76</v>
      </c>
    </row>
    <row r="859" spans="1:12" x14ac:dyDescent="0.3">
      <c r="A859" s="15" t="s">
        <v>18</v>
      </c>
      <c r="B859" s="28">
        <v>40288.265339999998</v>
      </c>
      <c r="C859" s="28">
        <v>32648.090880000003</v>
      </c>
      <c r="D859" s="28">
        <v>81016.758510000014</v>
      </c>
      <c r="E859" s="28">
        <v>57415.108830000005</v>
      </c>
      <c r="F859" s="28">
        <v>41617.436459999997</v>
      </c>
      <c r="G859" s="28">
        <v>70101.845960000006</v>
      </c>
      <c r="H859" s="28">
        <v>70472.906199999998</v>
      </c>
      <c r="I859" s="19">
        <f t="shared" ref="I859:I862" si="117">SUM(B859:H859)</f>
        <v>393560.41217999998</v>
      </c>
      <c r="J859" s="19">
        <v>306492.00060000003</v>
      </c>
      <c r="K859" s="66">
        <f t="shared" ref="K859:K867" si="118">(I859-J859)/J859</f>
        <v>0.2840805352490493</v>
      </c>
      <c r="L859" s="1" t="s">
        <v>76</v>
      </c>
    </row>
    <row r="860" spans="1:12" x14ac:dyDescent="0.3">
      <c r="A860" s="15" t="s">
        <v>19</v>
      </c>
      <c r="B860" s="28">
        <v>23571.825140000001</v>
      </c>
      <c r="C860" s="28">
        <v>20764.476309999998</v>
      </c>
      <c r="D860" s="28">
        <v>48601.673429999995</v>
      </c>
      <c r="E860" s="28">
        <v>38411.652119999999</v>
      </c>
      <c r="F860" s="28">
        <v>25872.42038</v>
      </c>
      <c r="G860" s="28">
        <v>34143.04148</v>
      </c>
      <c r="H860" s="28">
        <v>41477.596879999997</v>
      </c>
      <c r="I860" s="19">
        <f t="shared" si="117"/>
        <v>232842.68573999996</v>
      </c>
      <c r="J860" s="19">
        <v>177668.64539999998</v>
      </c>
      <c r="K860" s="66">
        <f t="shared" si="118"/>
        <v>0.31054461081628748</v>
      </c>
      <c r="L860" s="1" t="s">
        <v>76</v>
      </c>
    </row>
    <row r="861" spans="1:12" x14ac:dyDescent="0.3">
      <c r="A861" s="15" t="s">
        <v>21</v>
      </c>
      <c r="B861" s="28">
        <v>7720.3243200000006</v>
      </c>
      <c r="C861" s="28">
        <v>7565.2357600000005</v>
      </c>
      <c r="D861" s="28">
        <v>17269.934560000002</v>
      </c>
      <c r="E861" s="28">
        <v>15080.2772</v>
      </c>
      <c r="F861" s="28">
        <v>1874.7297599999999</v>
      </c>
      <c r="G861" s="28">
        <v>1874.7297599999999</v>
      </c>
      <c r="H861" s="28">
        <v>8550.7203199999985</v>
      </c>
      <c r="I861" s="19">
        <f t="shared" si="117"/>
        <v>59935.951680000006</v>
      </c>
      <c r="J861" s="19">
        <v>63265.103999999999</v>
      </c>
      <c r="K861" s="66">
        <f t="shared" si="118"/>
        <v>-5.2622253177675861E-2</v>
      </c>
      <c r="L861" s="1" t="s">
        <v>77</v>
      </c>
    </row>
    <row r="862" spans="1:12" ht="19.5" thickBot="1" x14ac:dyDescent="0.35">
      <c r="A862" s="15" t="s">
        <v>22</v>
      </c>
      <c r="B862" s="28">
        <v>0</v>
      </c>
      <c r="C862" s="28">
        <v>0</v>
      </c>
      <c r="D862" s="28">
        <v>0</v>
      </c>
      <c r="E862" s="28">
        <v>0</v>
      </c>
      <c r="F862" s="28">
        <v>0</v>
      </c>
      <c r="G862" s="28">
        <v>0</v>
      </c>
      <c r="H862" s="28">
        <v>0</v>
      </c>
      <c r="I862" s="19">
        <f t="shared" si="117"/>
        <v>0</v>
      </c>
      <c r="J862" s="19">
        <v>0</v>
      </c>
      <c r="K862" s="66"/>
    </row>
    <row r="863" spans="1:12" ht="19.5" thickBot="1" x14ac:dyDescent="0.35">
      <c r="A863" s="20" t="s">
        <v>7</v>
      </c>
      <c r="B863" s="21">
        <f>SUM(B858:B862)</f>
        <v>107602.6053</v>
      </c>
      <c r="C863" s="21">
        <f>SUM(C858:C862)</f>
        <v>96028.553</v>
      </c>
      <c r="D863" s="21">
        <f t="shared" ref="D863:H863" si="119">SUM(D858:D862)</f>
        <v>222444.3302</v>
      </c>
      <c r="E863" s="21">
        <f t="shared" si="119"/>
        <v>180203.08530000004</v>
      </c>
      <c r="F863" s="21">
        <f t="shared" si="119"/>
        <v>103506.8033</v>
      </c>
      <c r="G863" s="21">
        <f t="shared" si="119"/>
        <v>132710.83790000001</v>
      </c>
      <c r="H863" s="21">
        <f t="shared" si="119"/>
        <v>169627.68719999999</v>
      </c>
      <c r="I863" s="21">
        <f>SUM(I858:I862)</f>
        <v>1012123.9022</v>
      </c>
      <c r="J863" s="53">
        <v>783792.81300000008</v>
      </c>
      <c r="K863" s="66">
        <f t="shared" si="118"/>
        <v>0.2913156199098752</v>
      </c>
      <c r="L863" s="1" t="s">
        <v>76</v>
      </c>
    </row>
    <row r="864" spans="1:12" ht="19.5" thickTop="1" x14ac:dyDescent="0.3">
      <c r="A864" s="22" t="s">
        <v>20</v>
      </c>
      <c r="B864" s="23">
        <f>24410.546*0.6</f>
        <v>14646.327599999999</v>
      </c>
      <c r="C864" s="23">
        <f>9723.536*0.6</f>
        <v>5834.1215999999995</v>
      </c>
      <c r="D864" s="23">
        <f>45444.299*0.6</f>
        <v>27266.579399999999</v>
      </c>
      <c r="E864" s="23">
        <f>5166.899*0.6</f>
        <v>3100.1394</v>
      </c>
      <c r="F864" s="23">
        <f>36646.33*0.6</f>
        <v>21987.797999999999</v>
      </c>
      <c r="G864" s="23">
        <f>112323.876*0.6</f>
        <v>67394.325599999996</v>
      </c>
      <c r="H864" s="23">
        <f>63467.412*0.6</f>
        <v>38080.447199999995</v>
      </c>
      <c r="I864" s="23">
        <f>SUM(B864:H864)</f>
        <v>178309.73879999999</v>
      </c>
      <c r="J864" s="23">
        <v>162208.54879999999</v>
      </c>
      <c r="K864" s="66">
        <f t="shared" si="118"/>
        <v>9.9262277599514559E-2</v>
      </c>
      <c r="L864" s="1" t="s">
        <v>76</v>
      </c>
    </row>
    <row r="865" spans="1:13" x14ac:dyDescent="0.3">
      <c r="A865" s="24" t="s">
        <v>25</v>
      </c>
      <c r="B865" s="25"/>
      <c r="C865" s="25"/>
      <c r="D865" s="25"/>
      <c r="E865" s="25"/>
      <c r="F865" s="25"/>
      <c r="G865" s="25"/>
      <c r="H865" s="25"/>
      <c r="I865" s="25"/>
      <c r="J865" s="25"/>
      <c r="K865" s="66"/>
    </row>
    <row r="866" spans="1:13" x14ac:dyDescent="0.3">
      <c r="A866" s="26" t="s">
        <v>23</v>
      </c>
      <c r="B866" s="25">
        <f>30000/1.229</f>
        <v>24410.089503661511</v>
      </c>
      <c r="C866" s="25">
        <f t="shared" ref="C866" si="120">30000/1.229</f>
        <v>24410.089503661511</v>
      </c>
      <c r="D866" s="25">
        <f>6000/1.229</f>
        <v>4882.0179007323022</v>
      </c>
      <c r="E866" s="25">
        <f>6000/1.229</f>
        <v>4882.0179007323022</v>
      </c>
      <c r="F866" s="25">
        <f>6000/1.229</f>
        <v>4882.0179007323022</v>
      </c>
      <c r="G866" s="25">
        <f>6000/1.229</f>
        <v>4882.0179007323022</v>
      </c>
      <c r="H866" s="25">
        <f>6000/1.229</f>
        <v>4882.0179007323022</v>
      </c>
      <c r="I866" s="25">
        <f>SUM(B866:H866)</f>
        <v>73230.268510984533</v>
      </c>
      <c r="J866" s="25">
        <v>122050.44751830756</v>
      </c>
      <c r="K866" s="66">
        <f t="shared" si="118"/>
        <v>-0.4</v>
      </c>
      <c r="L866" s="1" t="s">
        <v>76</v>
      </c>
    </row>
    <row r="867" spans="1:13" ht="19.5" thickBot="1" x14ac:dyDescent="0.35">
      <c r="A867" s="27" t="s">
        <v>24</v>
      </c>
      <c r="B867" s="25">
        <f>10000/1.229</f>
        <v>8136.6965012205037</v>
      </c>
      <c r="C867" s="25">
        <v>0</v>
      </c>
      <c r="D867" s="25">
        <v>0</v>
      </c>
      <c r="E867" s="25">
        <v>0</v>
      </c>
      <c r="F867" s="25">
        <v>0</v>
      </c>
      <c r="G867" s="25">
        <f>20000/1.229</f>
        <v>16273.393002441007</v>
      </c>
      <c r="H867" s="25">
        <v>0</v>
      </c>
      <c r="I867" s="25">
        <f>SUM(B867:H867)</f>
        <v>24410.089503661511</v>
      </c>
      <c r="J867" s="25">
        <v>89503.661513425541</v>
      </c>
      <c r="K867" s="66">
        <f t="shared" si="118"/>
        <v>-0.72727272727272729</v>
      </c>
      <c r="L867" s="1" t="s">
        <v>76</v>
      </c>
    </row>
    <row r="871" spans="1:13" ht="17.45" customHeight="1" x14ac:dyDescent="0.3">
      <c r="A871" s="4" t="s">
        <v>78</v>
      </c>
      <c r="B871" s="5" t="s">
        <v>0</v>
      </c>
      <c r="C871" s="5" t="s">
        <v>1</v>
      </c>
      <c r="D871" s="5" t="s">
        <v>2</v>
      </c>
      <c r="E871" s="6" t="s">
        <v>3</v>
      </c>
      <c r="F871" s="5" t="s">
        <v>4</v>
      </c>
      <c r="G871" s="5" t="s">
        <v>5</v>
      </c>
      <c r="H871" s="5" t="s">
        <v>6</v>
      </c>
      <c r="I871" s="5" t="s">
        <v>7</v>
      </c>
      <c r="J871" s="11"/>
      <c r="K871" s="11"/>
    </row>
    <row r="872" spans="1:13" x14ac:dyDescent="0.3">
      <c r="A872" s="7"/>
      <c r="B872" s="8">
        <v>45502</v>
      </c>
      <c r="C872" s="8">
        <v>45503</v>
      </c>
      <c r="D872" s="8">
        <v>45504</v>
      </c>
      <c r="E872" s="8">
        <v>45505</v>
      </c>
      <c r="F872" s="8">
        <v>45506</v>
      </c>
      <c r="G872" s="8">
        <v>45507</v>
      </c>
      <c r="H872" s="8">
        <v>45508</v>
      </c>
      <c r="I872" s="9"/>
      <c r="J872" s="11"/>
      <c r="K872" s="11"/>
    </row>
    <row r="873" spans="1:13" ht="19.5" thickBot="1" x14ac:dyDescent="0.35">
      <c r="A873" s="10" t="s">
        <v>8</v>
      </c>
      <c r="B873" s="11" t="s">
        <v>9</v>
      </c>
      <c r="C873" s="11" t="s">
        <v>9</v>
      </c>
      <c r="D873" s="11" t="s">
        <v>9</v>
      </c>
      <c r="E873" s="11" t="s">
        <v>9</v>
      </c>
      <c r="F873" s="11" t="s">
        <v>9</v>
      </c>
      <c r="G873" s="11" t="s">
        <v>9</v>
      </c>
      <c r="H873" s="11" t="s">
        <v>9</v>
      </c>
      <c r="I873" s="12" t="s">
        <v>9</v>
      </c>
      <c r="J873" s="11"/>
      <c r="K873" s="11"/>
      <c r="L873" s="1">
        <f>111600.5+13150+11650</f>
        <v>136400.5</v>
      </c>
    </row>
    <row r="874" spans="1:13" x14ac:dyDescent="0.3">
      <c r="A874" s="13" t="s">
        <v>10</v>
      </c>
      <c r="B874" s="14">
        <f>55-1</f>
        <v>54</v>
      </c>
      <c r="C874" s="14">
        <f>55-2</f>
        <v>53</v>
      </c>
      <c r="D874" s="14">
        <v>53</v>
      </c>
      <c r="E874" s="14">
        <v>53</v>
      </c>
      <c r="F874" s="14">
        <f>55-2</f>
        <v>53</v>
      </c>
      <c r="G874" s="14">
        <f>55-1</f>
        <v>54</v>
      </c>
      <c r="H874" s="14">
        <f>55-1</f>
        <v>54</v>
      </c>
      <c r="I874" s="14"/>
      <c r="J874" s="16"/>
      <c r="K874" s="16"/>
      <c r="M874" s="1" t="s">
        <v>83</v>
      </c>
    </row>
    <row r="875" spans="1:13" x14ac:dyDescent="0.3">
      <c r="A875" s="15" t="s">
        <v>11</v>
      </c>
      <c r="B875" s="16">
        <v>3</v>
      </c>
      <c r="C875" s="16">
        <v>3</v>
      </c>
      <c r="D875" s="16">
        <v>3</v>
      </c>
      <c r="E875" s="16">
        <v>4</v>
      </c>
      <c r="F875" s="16">
        <v>4</v>
      </c>
      <c r="G875" s="16">
        <v>7</v>
      </c>
      <c r="H875" s="16">
        <v>5</v>
      </c>
      <c r="I875" s="16">
        <f>SUM(B875:H875)</f>
        <v>29</v>
      </c>
      <c r="J875" s="16">
        <v>16</v>
      </c>
      <c r="K875" s="66">
        <f t="shared" ref="K875:K881" si="121">(I875-J875)/J875</f>
        <v>0.8125</v>
      </c>
      <c r="L875" s="1" t="s">
        <v>76</v>
      </c>
      <c r="M875" s="29">
        <f t="shared" ref="M875:M891" si="122">B875+C875+I846+I817+I788+I759+D875</f>
        <v>44</v>
      </c>
    </row>
    <row r="876" spans="1:13" x14ac:dyDescent="0.3">
      <c r="A876" s="15" t="s">
        <v>12</v>
      </c>
      <c r="B876" s="16">
        <v>42</v>
      </c>
      <c r="C876" s="16">
        <v>43</v>
      </c>
      <c r="D876" s="16">
        <v>47</v>
      </c>
      <c r="E876" s="16">
        <v>19</v>
      </c>
      <c r="F876" s="16">
        <v>23</v>
      </c>
      <c r="G876" s="16">
        <v>46</v>
      </c>
      <c r="H876" s="16">
        <v>31</v>
      </c>
      <c r="I876" s="16">
        <f t="shared" ref="I876:I884" si="123">SUM(B876:H876)</f>
        <v>251</v>
      </c>
      <c r="J876" s="16">
        <v>109</v>
      </c>
      <c r="K876" s="66">
        <f t="shared" si="121"/>
        <v>1.3027522935779816</v>
      </c>
      <c r="L876" s="1" t="s">
        <v>76</v>
      </c>
      <c r="M876" s="29">
        <f t="shared" si="122"/>
        <v>597</v>
      </c>
    </row>
    <row r="877" spans="1:13" x14ac:dyDescent="0.3">
      <c r="A877" s="15" t="s">
        <v>30</v>
      </c>
      <c r="B877" s="16">
        <v>0</v>
      </c>
      <c r="C877" s="16">
        <v>0</v>
      </c>
      <c r="D877" s="16">
        <v>0</v>
      </c>
      <c r="E877" s="16">
        <v>0</v>
      </c>
      <c r="F877" s="16">
        <v>0</v>
      </c>
      <c r="G877" s="16">
        <v>0</v>
      </c>
      <c r="H877" s="16">
        <v>5</v>
      </c>
      <c r="I877" s="16">
        <f t="shared" si="123"/>
        <v>5</v>
      </c>
      <c r="J877" s="16">
        <v>3</v>
      </c>
      <c r="K877" s="66">
        <f t="shared" si="121"/>
        <v>0.66666666666666663</v>
      </c>
      <c r="L877" s="1" t="s">
        <v>76</v>
      </c>
      <c r="M877" s="29">
        <f t="shared" si="122"/>
        <v>6</v>
      </c>
    </row>
    <row r="878" spans="1:13" x14ac:dyDescent="0.3">
      <c r="A878" s="15" t="s">
        <v>28</v>
      </c>
      <c r="B878" s="16">
        <v>31</v>
      </c>
      <c r="C878" s="16">
        <v>21</v>
      </c>
      <c r="D878" s="16">
        <v>57</v>
      </c>
      <c r="E878" s="16">
        <v>49</v>
      </c>
      <c r="F878" s="16">
        <v>75</v>
      </c>
      <c r="G878" s="16">
        <f>352+24</f>
        <v>376</v>
      </c>
      <c r="H878" s="16">
        <v>123</v>
      </c>
      <c r="I878" s="16">
        <f t="shared" si="123"/>
        <v>732</v>
      </c>
      <c r="J878" s="16">
        <v>462</v>
      </c>
      <c r="K878" s="66">
        <f t="shared" si="121"/>
        <v>0.58441558441558439</v>
      </c>
      <c r="L878" s="1" t="s">
        <v>76</v>
      </c>
      <c r="M878" s="29">
        <f t="shared" si="122"/>
        <v>1912</v>
      </c>
    </row>
    <row r="879" spans="1:13" x14ac:dyDescent="0.3">
      <c r="A879" s="15" t="s">
        <v>29</v>
      </c>
      <c r="B879" s="16">
        <v>15</v>
      </c>
      <c r="C879" s="16">
        <v>13</v>
      </c>
      <c r="D879" s="16">
        <v>11</v>
      </c>
      <c r="E879" s="16">
        <v>105</v>
      </c>
      <c r="F879" s="16">
        <v>42</v>
      </c>
      <c r="G879" s="16">
        <v>34</v>
      </c>
      <c r="H879" s="16">
        <v>33</v>
      </c>
      <c r="I879" s="16">
        <f t="shared" si="123"/>
        <v>253</v>
      </c>
      <c r="J879" s="16">
        <v>86</v>
      </c>
      <c r="K879" s="66">
        <f t="shared" si="121"/>
        <v>1.941860465116279</v>
      </c>
      <c r="L879" s="1" t="s">
        <v>76</v>
      </c>
      <c r="M879" s="29">
        <f t="shared" si="122"/>
        <v>381</v>
      </c>
    </row>
    <row r="880" spans="1:13" x14ac:dyDescent="0.3">
      <c r="A880" s="15" t="s">
        <v>31</v>
      </c>
      <c r="B880" s="16">
        <v>7</v>
      </c>
      <c r="C880" s="16">
        <v>13</v>
      </c>
      <c r="D880" s="16">
        <v>8</v>
      </c>
      <c r="E880" s="16">
        <v>7</v>
      </c>
      <c r="F880" s="16">
        <v>14</v>
      </c>
      <c r="G880" s="16">
        <v>18</v>
      </c>
      <c r="H880" s="16">
        <v>22</v>
      </c>
      <c r="I880" s="16">
        <f t="shared" si="123"/>
        <v>89</v>
      </c>
      <c r="J880" s="16">
        <v>67</v>
      </c>
      <c r="K880" s="66">
        <f t="shared" si="121"/>
        <v>0.32835820895522388</v>
      </c>
      <c r="L880" s="1" t="s">
        <v>76</v>
      </c>
      <c r="M880" s="29">
        <f t="shared" si="122"/>
        <v>227</v>
      </c>
    </row>
    <row r="881" spans="1:13" x14ac:dyDescent="0.3">
      <c r="A881" s="15" t="s">
        <v>13</v>
      </c>
      <c r="B881" s="16">
        <v>0</v>
      </c>
      <c r="C881" s="16">
        <v>0</v>
      </c>
      <c r="D881" s="16">
        <v>3</v>
      </c>
      <c r="E881" s="16">
        <v>0</v>
      </c>
      <c r="F881" s="16">
        <v>1</v>
      </c>
      <c r="G881" s="16">
        <v>0</v>
      </c>
      <c r="H881" s="16">
        <v>6</v>
      </c>
      <c r="I881" s="16">
        <f t="shared" si="123"/>
        <v>10</v>
      </c>
      <c r="J881" s="16">
        <v>11</v>
      </c>
      <c r="K881" s="66">
        <f t="shared" si="121"/>
        <v>-9.0909090909090912E-2</v>
      </c>
      <c r="L881" s="1" t="s">
        <v>77</v>
      </c>
      <c r="M881" s="29">
        <f t="shared" si="122"/>
        <v>22</v>
      </c>
    </row>
    <row r="882" spans="1:13" x14ac:dyDescent="0.3">
      <c r="A882" s="15" t="s">
        <v>14</v>
      </c>
      <c r="B882" s="16">
        <v>0</v>
      </c>
      <c r="C882" s="16">
        <v>0</v>
      </c>
      <c r="D882" s="16">
        <v>0</v>
      </c>
      <c r="E882" s="16">
        <v>0</v>
      </c>
      <c r="F882" s="16">
        <v>0</v>
      </c>
      <c r="G882" s="16">
        <v>0</v>
      </c>
      <c r="H882" s="16">
        <v>0</v>
      </c>
      <c r="I882" s="16">
        <f t="shared" si="123"/>
        <v>0</v>
      </c>
      <c r="J882" s="16">
        <v>0</v>
      </c>
      <c r="K882" s="66"/>
      <c r="M882" s="29">
        <f t="shared" si="122"/>
        <v>0</v>
      </c>
    </row>
    <row r="883" spans="1:13" x14ac:dyDescent="0.3">
      <c r="A883" s="15" t="s">
        <v>32</v>
      </c>
      <c r="B883" s="16">
        <v>0</v>
      </c>
      <c r="C883" s="16">
        <v>0</v>
      </c>
      <c r="D883" s="16">
        <v>0</v>
      </c>
      <c r="E883" s="16">
        <v>0</v>
      </c>
      <c r="F883" s="16">
        <v>0</v>
      </c>
      <c r="G883" s="16">
        <v>0</v>
      </c>
      <c r="H883" s="16">
        <v>0</v>
      </c>
      <c r="I883" s="16">
        <f t="shared" si="123"/>
        <v>0</v>
      </c>
      <c r="J883" s="16">
        <v>1</v>
      </c>
      <c r="K883" s="66">
        <f t="shared" ref="K883:K885" si="124">(I883-J883)/J883</f>
        <v>-1</v>
      </c>
      <c r="L883" s="1" t="s">
        <v>77</v>
      </c>
      <c r="M883" s="29">
        <f t="shared" si="122"/>
        <v>3</v>
      </c>
    </row>
    <row r="884" spans="1:13" x14ac:dyDescent="0.3">
      <c r="A884" s="15" t="s">
        <v>33</v>
      </c>
      <c r="B884" s="16">
        <v>0</v>
      </c>
      <c r="C884" s="16">
        <v>0</v>
      </c>
      <c r="D884" s="16">
        <v>0</v>
      </c>
      <c r="E884" s="16">
        <v>0</v>
      </c>
      <c r="F884" s="16">
        <v>0</v>
      </c>
      <c r="G884" s="16">
        <v>0</v>
      </c>
      <c r="H884" s="16">
        <v>0</v>
      </c>
      <c r="I884" s="16">
        <f t="shared" si="123"/>
        <v>0</v>
      </c>
      <c r="J884" s="16">
        <v>133</v>
      </c>
      <c r="K884" s="66">
        <f t="shared" si="124"/>
        <v>-1</v>
      </c>
      <c r="L884" s="1" t="s">
        <v>77</v>
      </c>
      <c r="M884" s="29">
        <f t="shared" si="122"/>
        <v>133</v>
      </c>
    </row>
    <row r="885" spans="1:13" ht="19.5" thickBot="1" x14ac:dyDescent="0.35">
      <c r="A885" s="30" t="s">
        <v>15</v>
      </c>
      <c r="B885" s="31">
        <f t="shared" ref="B885:H885" si="125">(B876+B875)/B874*100%</f>
        <v>0.83333333333333337</v>
      </c>
      <c r="C885" s="31">
        <f t="shared" si="125"/>
        <v>0.86792452830188682</v>
      </c>
      <c r="D885" s="31">
        <f t="shared" si="125"/>
        <v>0.94339622641509435</v>
      </c>
      <c r="E885" s="31">
        <f t="shared" si="125"/>
        <v>0.43396226415094341</v>
      </c>
      <c r="F885" s="31">
        <f t="shared" si="125"/>
        <v>0.50943396226415094</v>
      </c>
      <c r="G885" s="31">
        <f t="shared" si="125"/>
        <v>0.98148148148148151</v>
      </c>
      <c r="H885" s="31">
        <f t="shared" si="125"/>
        <v>0.66666666666666663</v>
      </c>
      <c r="I885" s="32">
        <f>(B885+C885+D885+E885+F885+G885+H885)/7</f>
        <v>0.74802835180193683</v>
      </c>
      <c r="J885" s="52">
        <v>0.36069428870449283</v>
      </c>
      <c r="K885" s="66">
        <f t="shared" si="124"/>
        <v>1.0738569343269431</v>
      </c>
      <c r="L885" s="1" t="s">
        <v>76</v>
      </c>
      <c r="M885" s="29">
        <f t="shared" si="122"/>
        <v>4.0239600222100957</v>
      </c>
    </row>
    <row r="886" spans="1:13" x14ac:dyDescent="0.3">
      <c r="A886" s="33" t="s">
        <v>16</v>
      </c>
      <c r="B886" s="16"/>
      <c r="C886" s="17"/>
      <c r="D886" s="16"/>
      <c r="E886" s="18"/>
      <c r="F886" s="16"/>
      <c r="G886" s="16"/>
      <c r="H886" s="16"/>
      <c r="I886" s="16"/>
      <c r="J886" s="16"/>
      <c r="K886" s="66"/>
      <c r="M886" s="29">
        <f t="shared" si="122"/>
        <v>0</v>
      </c>
    </row>
    <row r="887" spans="1:13" x14ac:dyDescent="0.3">
      <c r="A887" s="15" t="s">
        <v>17</v>
      </c>
      <c r="B887" s="28">
        <v>72004.997499999998</v>
      </c>
      <c r="C887" s="28">
        <v>74580.290999999997</v>
      </c>
      <c r="D887" s="28">
        <v>81154.902900000001</v>
      </c>
      <c r="E887" s="28">
        <v>48072.495999999999</v>
      </c>
      <c r="F887" s="28">
        <v>63565.061999999998</v>
      </c>
      <c r="G887" s="28">
        <v>148106.91460000002</v>
      </c>
      <c r="H887" s="28">
        <v>90245.78</v>
      </c>
      <c r="I887" s="19">
        <f>SUM(B887:H887)</f>
        <v>577730.44400000002</v>
      </c>
      <c r="J887" s="19">
        <v>236367.06300000002</v>
      </c>
      <c r="K887" s="66">
        <f>(I887-J887)/J887</f>
        <v>1.4442087517075082</v>
      </c>
      <c r="L887" s="1" t="s">
        <v>76</v>
      </c>
      <c r="M887" s="29">
        <f t="shared" si="122"/>
        <v>1088696.2875000001</v>
      </c>
    </row>
    <row r="888" spans="1:13" x14ac:dyDescent="0.3">
      <c r="A888" s="15" t="s">
        <v>18</v>
      </c>
      <c r="B888" s="28">
        <v>65850.349740000005</v>
      </c>
      <c r="C888" s="28">
        <v>63126.058089999991</v>
      </c>
      <c r="D888" s="28">
        <v>75599.872820000004</v>
      </c>
      <c r="E888" s="28">
        <v>49132.722099999999</v>
      </c>
      <c r="F888" s="28">
        <v>67812.900400000013</v>
      </c>
      <c r="G888" s="28">
        <v>183934.72881999999</v>
      </c>
      <c r="H888" s="28">
        <v>97170.248999999996</v>
      </c>
      <c r="I888" s="19">
        <f t="shared" ref="I888:I891" si="126">SUM(B888:H888)</f>
        <v>602626.88096999994</v>
      </c>
      <c r="J888" s="19">
        <v>306492.00060000003</v>
      </c>
      <c r="K888" s="66">
        <f t="shared" ref="K888:K890" si="127">(I888-J888)/J888</f>
        <v>0.966207534912087</v>
      </c>
      <c r="L888" s="1" t="s">
        <v>76</v>
      </c>
      <c r="M888" s="29">
        <f t="shared" si="122"/>
        <v>1326461.17203</v>
      </c>
    </row>
    <row r="889" spans="1:13" x14ac:dyDescent="0.3">
      <c r="A889" s="15" t="s">
        <v>19</v>
      </c>
      <c r="B889" s="28">
        <v>43260.651639999996</v>
      </c>
      <c r="C889" s="28">
        <v>44153.784589999996</v>
      </c>
      <c r="D889" s="28">
        <v>48108.304960000001</v>
      </c>
      <c r="E889" s="28">
        <v>30986.738399999998</v>
      </c>
      <c r="F889" s="28">
        <v>43765.6711</v>
      </c>
      <c r="G889" s="28">
        <v>110890.75117999999</v>
      </c>
      <c r="H889" s="28">
        <v>61754.600999999995</v>
      </c>
      <c r="I889" s="19">
        <f t="shared" si="126"/>
        <v>382920.50286999997</v>
      </c>
      <c r="J889" s="19">
        <v>177668.64539999998</v>
      </c>
      <c r="K889" s="66">
        <f t="shared" si="127"/>
        <v>1.1552508716881342</v>
      </c>
      <c r="L889" s="1" t="s">
        <v>76</v>
      </c>
      <c r="M889" s="29">
        <f t="shared" si="122"/>
        <v>796063.17822999984</v>
      </c>
    </row>
    <row r="890" spans="1:13" x14ac:dyDescent="0.3">
      <c r="A890" s="15" t="s">
        <v>21</v>
      </c>
      <c r="B890" s="28">
        <v>12586.073119999999</v>
      </c>
      <c r="C890" s="28">
        <v>12488.429119999999</v>
      </c>
      <c r="D890" s="28">
        <v>12293.153119999999</v>
      </c>
      <c r="E890" s="28">
        <v>0</v>
      </c>
      <c r="F890" s="28">
        <v>0</v>
      </c>
      <c r="G890" s="28">
        <v>0</v>
      </c>
      <c r="H890" s="28">
        <v>0</v>
      </c>
      <c r="I890" s="19">
        <f t="shared" si="126"/>
        <v>37367.655359999997</v>
      </c>
      <c r="J890" s="19">
        <v>63265.103999999999</v>
      </c>
      <c r="K890" s="66">
        <f t="shared" si="127"/>
        <v>-0.40934807662688744</v>
      </c>
      <c r="L890" s="1" t="s">
        <v>77</v>
      </c>
      <c r="M890" s="29">
        <f t="shared" si="122"/>
        <v>172032.37104</v>
      </c>
    </row>
    <row r="891" spans="1:13" ht="19.5" thickBot="1" x14ac:dyDescent="0.35">
      <c r="A891" s="15" t="s">
        <v>22</v>
      </c>
      <c r="B891" s="28">
        <v>0</v>
      </c>
      <c r="C891" s="28">
        <v>0</v>
      </c>
      <c r="D891" s="28">
        <v>107.26</v>
      </c>
      <c r="E891" s="28">
        <v>0</v>
      </c>
      <c r="F891" s="28">
        <v>0</v>
      </c>
      <c r="G891" s="28">
        <v>0</v>
      </c>
      <c r="H891" s="28">
        <v>0</v>
      </c>
      <c r="I891" s="19">
        <f t="shared" si="126"/>
        <v>107.26</v>
      </c>
      <c r="J891" s="19">
        <v>0</v>
      </c>
      <c r="K891" s="66"/>
      <c r="M891" s="29">
        <f t="shared" si="122"/>
        <v>107.26</v>
      </c>
    </row>
    <row r="892" spans="1:13" ht="19.5" thickBot="1" x14ac:dyDescent="0.35">
      <c r="A892" s="20" t="s">
        <v>7</v>
      </c>
      <c r="B892" s="21">
        <f>SUM(B887:B891)</f>
        <v>193702.07199999999</v>
      </c>
      <c r="C892" s="21">
        <f>SUM(C887:C891)</f>
        <v>194348.56279999996</v>
      </c>
      <c r="D892" s="21">
        <f t="shared" ref="D892:H892" si="128">SUM(D887:D891)</f>
        <v>217263.49380000003</v>
      </c>
      <c r="E892" s="21">
        <f t="shared" si="128"/>
        <v>128191.9565</v>
      </c>
      <c r="F892" s="21">
        <f t="shared" si="128"/>
        <v>175143.63350000003</v>
      </c>
      <c r="G892" s="21">
        <f t="shared" si="128"/>
        <v>442932.3946</v>
      </c>
      <c r="H892" s="21">
        <f t="shared" si="128"/>
        <v>249170.62999999998</v>
      </c>
      <c r="I892" s="21">
        <f>SUM(I887:I891)</f>
        <v>1600752.7431999999</v>
      </c>
      <c r="J892" s="53">
        <v>783792.81300000008</v>
      </c>
      <c r="K892" s="66">
        <f t="shared" ref="K892:K893" si="129">(I892-J892)/J892</f>
        <v>1.0423161792885689</v>
      </c>
      <c r="L892" s="1" t="s">
        <v>76</v>
      </c>
      <c r="M892" s="29">
        <f>B892+C892+I863+I834+I805+I776+D892</f>
        <v>3383360.2687999997</v>
      </c>
    </row>
    <row r="893" spans="1:13" ht="19.5" thickTop="1" x14ac:dyDescent="0.3">
      <c r="A893" s="22" t="s">
        <v>20</v>
      </c>
      <c r="B893" s="23">
        <f>21209.298*0.6</f>
        <v>12725.578799999999</v>
      </c>
      <c r="C893" s="23">
        <f>17453.541*0.6</f>
        <v>10472.124600000001</v>
      </c>
      <c r="D893" s="23">
        <f>32099.862*0.6</f>
        <v>19259.9172</v>
      </c>
      <c r="E893" s="23">
        <f>36697.176*0.6</f>
        <v>22018.3056</v>
      </c>
      <c r="F893" s="23">
        <f>50651.88*0.6</f>
        <v>30391.127999999997</v>
      </c>
      <c r="G893" s="23">
        <f>186915.27*0.6</f>
        <v>112149.162</v>
      </c>
      <c r="H893" s="23">
        <f>78764.7*0.6</f>
        <v>47258.82</v>
      </c>
      <c r="I893" s="23">
        <f>SUM(B893:H893)</f>
        <v>254275.03619999997</v>
      </c>
      <c r="J893" s="23">
        <v>162208.54879999999</v>
      </c>
      <c r="K893" s="66">
        <f t="shared" si="129"/>
        <v>0.56758098189705275</v>
      </c>
      <c r="L893" s="1" t="s">
        <v>76</v>
      </c>
    </row>
    <row r="894" spans="1:13" x14ac:dyDescent="0.3">
      <c r="A894" s="24" t="s">
        <v>25</v>
      </c>
      <c r="B894" s="25"/>
      <c r="C894" s="25"/>
      <c r="D894" s="25"/>
      <c r="E894" s="25"/>
      <c r="F894" s="25"/>
      <c r="G894" s="25"/>
      <c r="H894" s="25"/>
      <c r="I894" s="25"/>
      <c r="J894" s="25"/>
      <c r="K894" s="66"/>
    </row>
    <row r="895" spans="1:13" x14ac:dyDescent="0.3">
      <c r="A895" s="26" t="s">
        <v>23</v>
      </c>
      <c r="B895" s="25">
        <f>16000/1.229</f>
        <v>13018.714401952806</v>
      </c>
      <c r="C895" s="25">
        <f>22000/1.229</f>
        <v>17900.732302685108</v>
      </c>
      <c r="D895" s="25">
        <f>22000/1.229</f>
        <v>17900.732302685108</v>
      </c>
      <c r="E895" s="25">
        <f>32000/1.229</f>
        <v>26037.428803905612</v>
      </c>
      <c r="F895" s="25">
        <f>(6000+10000+30000)/1.229</f>
        <v>37428.803905614317</v>
      </c>
      <c r="G895" s="25">
        <f>40000/1.229</f>
        <v>32546.786004882015</v>
      </c>
      <c r="H895" s="25">
        <v>8136.7</v>
      </c>
      <c r="I895" s="25">
        <f>SUM(B895:H895)</f>
        <v>152969.89772172499</v>
      </c>
      <c r="J895" s="25">
        <v>122050.44751830756</v>
      </c>
      <c r="K895" s="66">
        <f t="shared" ref="K895:K896" si="130">(I895-J895)/J895</f>
        <v>0.25333336200000023</v>
      </c>
      <c r="L895" s="1" t="s">
        <v>76</v>
      </c>
    </row>
    <row r="896" spans="1:13" ht="19.5" thickBot="1" x14ac:dyDescent="0.35">
      <c r="A896" s="27" t="s">
        <v>24</v>
      </c>
      <c r="B896" s="25">
        <f>6000/1.229</f>
        <v>4882.0179007323022</v>
      </c>
      <c r="C896" s="25">
        <v>0</v>
      </c>
      <c r="D896" s="25">
        <v>0</v>
      </c>
      <c r="E896" s="25">
        <v>0</v>
      </c>
      <c r="F896" s="25">
        <f>10000/1.229</f>
        <v>8136.6965012205037</v>
      </c>
      <c r="G896" s="25">
        <f>66000/1.229</f>
        <v>53702.196908055324</v>
      </c>
      <c r="H896" s="25">
        <v>29292.11</v>
      </c>
      <c r="I896" s="25">
        <f>SUM(B896:H896)</f>
        <v>96013.021310008131</v>
      </c>
      <c r="J896" s="25">
        <v>89503.661513425541</v>
      </c>
      <c r="K896" s="66">
        <f t="shared" si="130"/>
        <v>7.2727301727272764E-2</v>
      </c>
      <c r="L896" s="1" t="s">
        <v>76</v>
      </c>
    </row>
    <row r="897" spans="1:11" x14ac:dyDescent="0.3">
      <c r="A897" s="16"/>
      <c r="B897" s="19"/>
      <c r="C897" s="19"/>
      <c r="D897" s="19"/>
      <c r="E897" s="19"/>
      <c r="F897" s="19"/>
      <c r="G897" s="19"/>
      <c r="H897" s="19"/>
      <c r="I897" s="19"/>
      <c r="J897" s="19"/>
      <c r="K897" s="66"/>
    </row>
    <row r="898" spans="1:11" x14ac:dyDescent="0.3">
      <c r="A898" s="16"/>
      <c r="B898" s="19"/>
      <c r="C898" s="19"/>
      <c r="D898" s="19"/>
      <c r="E898" s="19"/>
      <c r="F898" s="19"/>
      <c r="G898" s="19"/>
      <c r="H898" s="19"/>
      <c r="I898" s="19"/>
      <c r="J898" s="19"/>
      <c r="K898" s="66"/>
    </row>
    <row r="900" spans="1:11" x14ac:dyDescent="0.3">
      <c r="A900" s="4" t="s">
        <v>79</v>
      </c>
      <c r="B900" s="5" t="s">
        <v>0</v>
      </c>
      <c r="C900" s="5" t="s">
        <v>1</v>
      </c>
      <c r="D900" s="5" t="s">
        <v>2</v>
      </c>
      <c r="E900" s="6" t="s">
        <v>3</v>
      </c>
      <c r="F900" s="5" t="s">
        <v>4</v>
      </c>
      <c r="G900" s="5" t="s">
        <v>5</v>
      </c>
      <c r="H900" s="5" t="s">
        <v>6</v>
      </c>
      <c r="I900" s="5" t="s">
        <v>7</v>
      </c>
    </row>
    <row r="901" spans="1:11" x14ac:dyDescent="0.3">
      <c r="A901" s="7"/>
      <c r="B901" s="8">
        <v>45509</v>
      </c>
      <c r="C901" s="8">
        <v>45510</v>
      </c>
      <c r="D901" s="8">
        <v>45511</v>
      </c>
      <c r="E901" s="8">
        <v>45512</v>
      </c>
      <c r="F901" s="8">
        <v>45513</v>
      </c>
      <c r="G901" s="8">
        <v>45514</v>
      </c>
      <c r="H901" s="8">
        <v>45515</v>
      </c>
      <c r="I901" s="9"/>
    </row>
    <row r="902" spans="1:11" ht="19.5" thickBot="1" x14ac:dyDescent="0.35">
      <c r="A902" s="10" t="s">
        <v>8</v>
      </c>
      <c r="B902" s="11" t="s">
        <v>9</v>
      </c>
      <c r="C902" s="11" t="s">
        <v>9</v>
      </c>
      <c r="D902" s="11" t="s">
        <v>9</v>
      </c>
      <c r="E902" s="11" t="s">
        <v>9</v>
      </c>
      <c r="F902" s="11" t="s">
        <v>9</v>
      </c>
      <c r="G902" s="11" t="s">
        <v>9</v>
      </c>
      <c r="H902" s="11" t="s">
        <v>9</v>
      </c>
      <c r="I902" s="12" t="s">
        <v>9</v>
      </c>
    </row>
    <row r="903" spans="1:11" x14ac:dyDescent="0.3">
      <c r="A903" s="13" t="s">
        <v>10</v>
      </c>
      <c r="B903" s="14">
        <f t="shared" ref="B903:H903" si="131">55-1</f>
        <v>54</v>
      </c>
      <c r="C903" s="14">
        <f t="shared" si="131"/>
        <v>54</v>
      </c>
      <c r="D903" s="14">
        <f t="shared" si="131"/>
        <v>54</v>
      </c>
      <c r="E903" s="14">
        <f t="shared" si="131"/>
        <v>54</v>
      </c>
      <c r="F903" s="14">
        <f t="shared" si="131"/>
        <v>54</v>
      </c>
      <c r="G903" s="14">
        <f t="shared" si="131"/>
        <v>54</v>
      </c>
      <c r="H903" s="14">
        <f t="shared" si="131"/>
        <v>54</v>
      </c>
      <c r="I903" s="14"/>
    </row>
    <row r="904" spans="1:11" x14ac:dyDescent="0.3">
      <c r="A904" s="15" t="s">
        <v>11</v>
      </c>
      <c r="B904" s="16">
        <v>2</v>
      </c>
      <c r="C904" s="16">
        <v>2</v>
      </c>
      <c r="D904" s="16">
        <v>2</v>
      </c>
      <c r="E904" s="16">
        <v>2</v>
      </c>
      <c r="F904" s="16">
        <v>2</v>
      </c>
      <c r="G904" s="16">
        <v>1</v>
      </c>
      <c r="H904" s="16">
        <v>1</v>
      </c>
      <c r="I904" s="16">
        <f>SUM(B904:H904)</f>
        <v>12</v>
      </c>
    </row>
    <row r="905" spans="1:11" x14ac:dyDescent="0.3">
      <c r="A905" s="15" t="s">
        <v>12</v>
      </c>
      <c r="B905" s="16">
        <v>35</v>
      </c>
      <c r="C905" s="16">
        <v>38</v>
      </c>
      <c r="D905" s="16">
        <v>20</v>
      </c>
      <c r="E905" s="16">
        <v>15</v>
      </c>
      <c r="F905" s="16">
        <v>30</v>
      </c>
      <c r="G905" s="16">
        <v>34</v>
      </c>
      <c r="H905" s="16">
        <v>24</v>
      </c>
      <c r="I905" s="16">
        <f t="shared" ref="I905:I913" si="132">SUM(B905:H905)</f>
        <v>196</v>
      </c>
    </row>
    <row r="906" spans="1:11" x14ac:dyDescent="0.3">
      <c r="A906" s="15" t="s">
        <v>30</v>
      </c>
      <c r="B906" s="16">
        <v>0</v>
      </c>
      <c r="C906" s="16">
        <v>0</v>
      </c>
      <c r="D906" s="16">
        <v>0</v>
      </c>
      <c r="E906" s="16">
        <v>0</v>
      </c>
      <c r="F906" s="16">
        <v>0</v>
      </c>
      <c r="G906" s="16">
        <v>0</v>
      </c>
      <c r="H906" s="16">
        <v>0</v>
      </c>
      <c r="I906" s="16">
        <f t="shared" si="132"/>
        <v>0</v>
      </c>
    </row>
    <row r="907" spans="1:11" x14ac:dyDescent="0.3">
      <c r="A907" s="15" t="s">
        <v>28</v>
      </c>
      <c r="B907" s="16">
        <v>176</v>
      </c>
      <c r="C907" s="16">
        <v>59</v>
      </c>
      <c r="D907" s="16">
        <v>44</v>
      </c>
      <c r="E907" s="16">
        <v>70</v>
      </c>
      <c r="F907" s="16">
        <v>74</v>
      </c>
      <c r="G907" s="16">
        <v>188</v>
      </c>
      <c r="H907" s="16">
        <v>114</v>
      </c>
      <c r="I907" s="16">
        <f t="shared" si="132"/>
        <v>725</v>
      </c>
      <c r="J907" s="1">
        <f>SUM(I907:I910)</f>
        <v>1064</v>
      </c>
    </row>
    <row r="908" spans="1:11" x14ac:dyDescent="0.3">
      <c r="A908" s="15" t="s">
        <v>29</v>
      </c>
      <c r="B908" s="16">
        <v>52</v>
      </c>
      <c r="C908" s="16">
        <v>15</v>
      </c>
      <c r="D908" s="16">
        <v>13</v>
      </c>
      <c r="E908" s="16">
        <v>22</v>
      </c>
      <c r="F908" s="16">
        <v>24</v>
      </c>
      <c r="G908" s="16">
        <v>40</v>
      </c>
      <c r="H908" s="16">
        <v>20</v>
      </c>
      <c r="I908" s="16">
        <f t="shared" si="132"/>
        <v>186</v>
      </c>
    </row>
    <row r="909" spans="1:11" x14ac:dyDescent="0.3">
      <c r="A909" s="15" t="s">
        <v>31</v>
      </c>
      <c r="B909" s="16">
        <v>36</v>
      </c>
      <c r="C909" s="16">
        <v>11</v>
      </c>
      <c r="D909" s="16">
        <v>21</v>
      </c>
      <c r="E909" s="16">
        <v>25</v>
      </c>
      <c r="F909" s="16">
        <v>8</v>
      </c>
      <c r="G909" s="16">
        <v>29</v>
      </c>
      <c r="H909" s="16">
        <v>8</v>
      </c>
      <c r="I909" s="16">
        <f t="shared" si="132"/>
        <v>138</v>
      </c>
    </row>
    <row r="910" spans="1:11" x14ac:dyDescent="0.3">
      <c r="A910" s="15" t="s">
        <v>13</v>
      </c>
      <c r="B910" s="16">
        <v>6</v>
      </c>
      <c r="C910" s="16">
        <v>3</v>
      </c>
      <c r="D910" s="16">
        <v>1</v>
      </c>
      <c r="E910" s="16">
        <v>0</v>
      </c>
      <c r="F910" s="16">
        <v>5</v>
      </c>
      <c r="G910" s="16">
        <v>0</v>
      </c>
      <c r="H910" s="16">
        <v>0</v>
      </c>
      <c r="I910" s="16">
        <f t="shared" si="132"/>
        <v>15</v>
      </c>
    </row>
    <row r="911" spans="1:11" x14ac:dyDescent="0.3">
      <c r="A911" s="15" t="s">
        <v>14</v>
      </c>
      <c r="B911" s="16">
        <v>0</v>
      </c>
      <c r="C911" s="16">
        <v>0</v>
      </c>
      <c r="D911" s="16">
        <v>0</v>
      </c>
      <c r="E911" s="16">
        <v>0</v>
      </c>
      <c r="F911" s="16">
        <v>0</v>
      </c>
      <c r="G911" s="16">
        <v>0</v>
      </c>
      <c r="H911" s="16">
        <v>0</v>
      </c>
      <c r="I911" s="16">
        <f t="shared" si="132"/>
        <v>0</v>
      </c>
    </row>
    <row r="912" spans="1:11" x14ac:dyDescent="0.3">
      <c r="A912" s="15" t="s">
        <v>32</v>
      </c>
      <c r="B912" s="16">
        <v>0</v>
      </c>
      <c r="C912" s="16">
        <v>0</v>
      </c>
      <c r="D912" s="16">
        <v>0</v>
      </c>
      <c r="E912" s="16">
        <v>0</v>
      </c>
      <c r="F912" s="16">
        <v>0</v>
      </c>
      <c r="G912" s="16">
        <v>0</v>
      </c>
      <c r="H912" s="16">
        <v>0</v>
      </c>
      <c r="I912" s="16">
        <f t="shared" si="132"/>
        <v>0</v>
      </c>
    </row>
    <row r="913" spans="1:9" x14ac:dyDescent="0.3">
      <c r="A913" s="15" t="s">
        <v>33</v>
      </c>
      <c r="B913" s="16">
        <v>0</v>
      </c>
      <c r="C913" s="16">
        <v>0</v>
      </c>
      <c r="D913" s="16">
        <v>0</v>
      </c>
      <c r="E913" s="16">
        <v>0</v>
      </c>
      <c r="F913" s="16">
        <v>0</v>
      </c>
      <c r="G913" s="16">
        <v>0</v>
      </c>
      <c r="H913" s="16">
        <v>0</v>
      </c>
      <c r="I913" s="16">
        <f t="shared" si="132"/>
        <v>0</v>
      </c>
    </row>
    <row r="914" spans="1:9" ht="19.5" thickBot="1" x14ac:dyDescent="0.35">
      <c r="A914" s="30" t="s">
        <v>15</v>
      </c>
      <c r="B914" s="31">
        <f t="shared" ref="B914:H914" si="133">(B905+B904)/B903*100%</f>
        <v>0.68518518518518523</v>
      </c>
      <c r="C914" s="31">
        <f t="shared" si="133"/>
        <v>0.7407407407407407</v>
      </c>
      <c r="D914" s="31">
        <f t="shared" si="133"/>
        <v>0.40740740740740738</v>
      </c>
      <c r="E914" s="31">
        <f t="shared" si="133"/>
        <v>0.31481481481481483</v>
      </c>
      <c r="F914" s="31">
        <f t="shared" si="133"/>
        <v>0.59259259259259256</v>
      </c>
      <c r="G914" s="31">
        <f t="shared" si="133"/>
        <v>0.64814814814814814</v>
      </c>
      <c r="H914" s="31">
        <f t="shared" si="133"/>
        <v>0.46296296296296297</v>
      </c>
      <c r="I914" s="32">
        <f>(B914+C914+D914+E914+F914+G914+H914)/7</f>
        <v>0.55026455026455035</v>
      </c>
    </row>
    <row r="915" spans="1:9" x14ac:dyDescent="0.3">
      <c r="A915" s="33" t="s">
        <v>16</v>
      </c>
      <c r="B915" s="16"/>
      <c r="C915" s="17"/>
      <c r="D915" s="16"/>
      <c r="E915" s="18"/>
      <c r="F915" s="16"/>
      <c r="G915" s="16"/>
      <c r="H915" s="16"/>
      <c r="I915" s="16"/>
    </row>
    <row r="916" spans="1:9" x14ac:dyDescent="0.3">
      <c r="A916" s="15" t="s">
        <v>17</v>
      </c>
      <c r="B916" s="28">
        <v>66595.627299999993</v>
      </c>
      <c r="C916" s="28">
        <v>75928.503799999991</v>
      </c>
      <c r="D916" s="28">
        <v>66448.4948</v>
      </c>
      <c r="E916" s="28">
        <v>39444.417000000001</v>
      </c>
      <c r="F916" s="28">
        <v>53319.150999999998</v>
      </c>
      <c r="G916" s="28">
        <v>59592.625000000007</v>
      </c>
      <c r="H916" s="28">
        <v>58403.847500000003</v>
      </c>
      <c r="I916" s="19">
        <f>SUM(B916:H916)</f>
        <v>419732.66639999999</v>
      </c>
    </row>
    <row r="917" spans="1:9" x14ac:dyDescent="0.3">
      <c r="A917" s="15" t="s">
        <v>18</v>
      </c>
      <c r="B917" s="28">
        <v>96436.991780000011</v>
      </c>
      <c r="C917" s="28">
        <v>73277.700240000006</v>
      </c>
      <c r="D917" s="28">
        <v>58751.96931</v>
      </c>
      <c r="E917" s="28">
        <v>48983.75215</v>
      </c>
      <c r="F917" s="28">
        <v>60455.240200000007</v>
      </c>
      <c r="G917" s="28">
        <v>96744.141700000022</v>
      </c>
      <c r="H917" s="28">
        <v>61511.587900000006</v>
      </c>
      <c r="I917" s="19">
        <f t="shared" ref="I917:I920" si="134">SUM(B917:H917)</f>
        <v>496161.38328000007</v>
      </c>
    </row>
    <row r="918" spans="1:9" x14ac:dyDescent="0.3">
      <c r="A918" s="15" t="s">
        <v>19</v>
      </c>
      <c r="B918" s="28">
        <v>54635.162159999993</v>
      </c>
      <c r="C918" s="28">
        <v>54382.076719999997</v>
      </c>
      <c r="D918" s="28">
        <v>42762.605190000002</v>
      </c>
      <c r="E918" s="28">
        <v>29809.715049999999</v>
      </c>
      <c r="F918" s="28">
        <v>38735.381800000003</v>
      </c>
      <c r="G918" s="28">
        <v>52614.595700000005</v>
      </c>
      <c r="H918" s="28">
        <v>37389.3874</v>
      </c>
      <c r="I918" s="19">
        <f t="shared" si="134"/>
        <v>310328.92402000003</v>
      </c>
    </row>
    <row r="919" spans="1:9" x14ac:dyDescent="0.3">
      <c r="A919" s="15" t="s">
        <v>21</v>
      </c>
      <c r="B919" s="28">
        <v>7875.4465599999994</v>
      </c>
      <c r="C919" s="28">
        <v>7680.1414399999994</v>
      </c>
      <c r="D919" s="28">
        <v>0</v>
      </c>
      <c r="E919" s="28">
        <v>0</v>
      </c>
      <c r="F919" s="28">
        <v>6014.76</v>
      </c>
      <c r="G919" s="28">
        <v>6444.3856000000005</v>
      </c>
      <c r="H919" s="28">
        <v>3841.8952000000004</v>
      </c>
      <c r="I919" s="19">
        <f t="shared" si="134"/>
        <v>31856.628799999999</v>
      </c>
    </row>
    <row r="920" spans="1:9" ht="19.5" thickBot="1" x14ac:dyDescent="0.35">
      <c r="A920" s="15" t="s">
        <v>22</v>
      </c>
      <c r="B920" s="28">
        <v>0</v>
      </c>
      <c r="C920" s="28">
        <v>0</v>
      </c>
      <c r="D920" s="28">
        <v>0</v>
      </c>
      <c r="E920" s="28">
        <v>5695.69</v>
      </c>
      <c r="F920" s="28">
        <v>0</v>
      </c>
      <c r="G920" s="28">
        <v>0</v>
      </c>
      <c r="H920" s="28">
        <v>0</v>
      </c>
      <c r="I920" s="19">
        <f t="shared" si="134"/>
        <v>5695.69</v>
      </c>
    </row>
    <row r="921" spans="1:9" ht="19.5" thickBot="1" x14ac:dyDescent="0.35">
      <c r="A921" s="20" t="s">
        <v>7</v>
      </c>
      <c r="B921" s="21">
        <f>SUM(B916:B920)</f>
        <v>225543.22779999999</v>
      </c>
      <c r="C921" s="21">
        <f>SUM(C916:C920)</f>
        <v>211268.4222</v>
      </c>
      <c r="D921" s="21">
        <f t="shared" ref="D921:H921" si="135">SUM(D916:D920)</f>
        <v>167963.0693</v>
      </c>
      <c r="E921" s="21">
        <f t="shared" si="135"/>
        <v>123933.5742</v>
      </c>
      <c r="F921" s="21">
        <f t="shared" si="135"/>
        <v>158524.53300000002</v>
      </c>
      <c r="G921" s="21">
        <f t="shared" si="135"/>
        <v>215395.74800000005</v>
      </c>
      <c r="H921" s="21">
        <f t="shared" si="135"/>
        <v>161146.71800000002</v>
      </c>
      <c r="I921" s="21">
        <f>SUM(I916:I920)</f>
        <v>1263775.2925</v>
      </c>
    </row>
    <row r="922" spans="1:9" ht="19.5" thickTop="1" x14ac:dyDescent="0.3">
      <c r="A922" s="22" t="s">
        <v>20</v>
      </c>
      <c r="B922" s="23">
        <f>107801.034*0.6</f>
        <v>64680.6204</v>
      </c>
      <c r="C922" s="23">
        <f>34323.26*0.6</f>
        <v>20593.956000000002</v>
      </c>
      <c r="D922" s="23">
        <f>31672.675*0.6</f>
        <v>19003.605</v>
      </c>
      <c r="E922" s="23">
        <f>48617.687*0.6</f>
        <v>29170.6122</v>
      </c>
      <c r="F922" s="23">
        <f>0.6*47722.62</f>
        <v>28633.572</v>
      </c>
      <c r="G922" s="23">
        <f>0.6*112886.57</f>
        <v>67731.941999999995</v>
      </c>
      <c r="H922" s="23">
        <f>0.6*44952.91</f>
        <v>26971.746000000003</v>
      </c>
      <c r="I922" s="23">
        <f>SUM(B922:H922)</f>
        <v>256786.05360000001</v>
      </c>
    </row>
    <row r="923" spans="1:9" x14ac:dyDescent="0.3">
      <c r="A923" s="24" t="s">
        <v>25</v>
      </c>
      <c r="B923" s="25"/>
      <c r="C923" s="25"/>
      <c r="D923" s="25"/>
      <c r="E923" s="25"/>
      <c r="F923" s="25"/>
      <c r="G923" s="25"/>
      <c r="H923" s="25"/>
      <c r="I923" s="25"/>
    </row>
    <row r="924" spans="1:9" x14ac:dyDescent="0.3">
      <c r="A924" s="26" t="s">
        <v>23</v>
      </c>
      <c r="B924" s="25">
        <f>10000/1.229</f>
        <v>8136.6965012205037</v>
      </c>
      <c r="C924" s="25">
        <f>10000/1.229</f>
        <v>8136.6965012205037</v>
      </c>
      <c r="D924" s="25">
        <f t="shared" ref="D924:H924" si="136">10000/1.229</f>
        <v>8136.6965012205037</v>
      </c>
      <c r="E924" s="25">
        <f t="shared" si="136"/>
        <v>8136.6965012205037</v>
      </c>
      <c r="F924" s="25">
        <f t="shared" si="136"/>
        <v>8136.6965012205037</v>
      </c>
      <c r="G924" s="25">
        <f t="shared" si="136"/>
        <v>8136.6965012205037</v>
      </c>
      <c r="H924" s="25">
        <f t="shared" si="136"/>
        <v>8136.6965012205037</v>
      </c>
      <c r="I924" s="25">
        <f>SUM(B924:H924)</f>
        <v>56956.875508543526</v>
      </c>
    </row>
    <row r="925" spans="1:9" ht="19.5" thickBot="1" x14ac:dyDescent="0.35">
      <c r="A925" s="27" t="s">
        <v>24</v>
      </c>
      <c r="B925" s="25">
        <f>6000/1.229</f>
        <v>4882.0179007323022</v>
      </c>
      <c r="C925" s="25">
        <f>6000/1.229</f>
        <v>4882.0179007323022</v>
      </c>
      <c r="D925" s="25">
        <f t="shared" ref="D925:F925" si="137">6000/1.229</f>
        <v>4882.0179007323022</v>
      </c>
      <c r="E925" s="25">
        <f t="shared" si="137"/>
        <v>4882.0179007323022</v>
      </c>
      <c r="F925" s="25">
        <f t="shared" si="137"/>
        <v>4882.0179007323022</v>
      </c>
      <c r="G925" s="25">
        <v>0</v>
      </c>
      <c r="H925" s="25">
        <v>0</v>
      </c>
      <c r="I925" s="25">
        <f>SUM(B925:H925)</f>
        <v>24410.089503661511</v>
      </c>
    </row>
    <row r="926" spans="1:9" ht="20.25" x14ac:dyDescent="0.4">
      <c r="A926" s="63" t="s">
        <v>73</v>
      </c>
      <c r="B926" s="58"/>
      <c r="C926" s="58"/>
      <c r="D926" s="58"/>
      <c r="E926" s="58"/>
      <c r="F926" s="58"/>
      <c r="G926" s="58"/>
      <c r="H926" s="58"/>
      <c r="I926" s="59"/>
    </row>
    <row r="927" spans="1:9" ht="20.25" x14ac:dyDescent="0.4">
      <c r="A927" s="64" t="s">
        <v>71</v>
      </c>
      <c r="B927" s="57"/>
      <c r="C927" s="57"/>
      <c r="D927" s="57"/>
      <c r="E927" s="57"/>
      <c r="F927" s="57"/>
      <c r="G927" s="57"/>
      <c r="H927" s="57"/>
      <c r="I927" s="60"/>
    </row>
    <row r="928" spans="1:9" ht="21" thickBot="1" x14ac:dyDescent="0.45">
      <c r="A928" s="65" t="s">
        <v>72</v>
      </c>
      <c r="B928" s="61"/>
      <c r="C928" s="61"/>
      <c r="D928" s="61"/>
      <c r="E928" s="61"/>
      <c r="F928" s="61"/>
      <c r="G928" s="61"/>
      <c r="H928" s="61"/>
      <c r="I928" s="62"/>
    </row>
    <row r="930" spans="1:11" x14ac:dyDescent="0.3">
      <c r="A930" s="4" t="s">
        <v>80</v>
      </c>
      <c r="B930" s="5" t="s">
        <v>0</v>
      </c>
      <c r="C930" s="5" t="s">
        <v>1</v>
      </c>
      <c r="D930" s="5" t="s">
        <v>2</v>
      </c>
      <c r="E930" s="6" t="s">
        <v>3</v>
      </c>
      <c r="F930" s="5" t="s">
        <v>4</v>
      </c>
      <c r="G930" s="5" t="s">
        <v>5</v>
      </c>
      <c r="H930" s="5" t="s">
        <v>6</v>
      </c>
      <c r="I930" s="5" t="s">
        <v>7</v>
      </c>
    </row>
    <row r="931" spans="1:11" x14ac:dyDescent="0.3">
      <c r="A931" s="7"/>
      <c r="B931" s="8">
        <v>45516</v>
      </c>
      <c r="C931" s="8">
        <v>45517</v>
      </c>
      <c r="D931" s="8">
        <v>45518</v>
      </c>
      <c r="E931" s="8">
        <v>45519</v>
      </c>
      <c r="F931" s="8">
        <v>45520</v>
      </c>
      <c r="G931" s="8">
        <v>45521</v>
      </c>
      <c r="H931" s="8">
        <v>45522</v>
      </c>
      <c r="I931" s="9"/>
    </row>
    <row r="932" spans="1:11" ht="19.5" thickBot="1" x14ac:dyDescent="0.35">
      <c r="A932" s="10" t="s">
        <v>8</v>
      </c>
      <c r="B932" s="11" t="s">
        <v>9</v>
      </c>
      <c r="C932" s="11" t="s">
        <v>9</v>
      </c>
      <c r="D932" s="11" t="s">
        <v>9</v>
      </c>
      <c r="E932" s="11" t="s">
        <v>9</v>
      </c>
      <c r="F932" s="11" t="s">
        <v>9</v>
      </c>
      <c r="G932" s="11" t="s">
        <v>9</v>
      </c>
      <c r="H932" s="11" t="s">
        <v>9</v>
      </c>
      <c r="I932" s="12" t="s">
        <v>9</v>
      </c>
    </row>
    <row r="933" spans="1:11" x14ac:dyDescent="0.3">
      <c r="A933" s="13" t="s">
        <v>10</v>
      </c>
      <c r="B933" s="14">
        <v>52</v>
      </c>
      <c r="C933" s="14">
        <v>51</v>
      </c>
      <c r="D933" s="14">
        <v>51</v>
      </c>
      <c r="E933" s="14">
        <v>51</v>
      </c>
      <c r="F933" s="14">
        <v>53</v>
      </c>
      <c r="G933" s="14">
        <v>53</v>
      </c>
      <c r="H933" s="14">
        <v>53</v>
      </c>
      <c r="I933" s="14"/>
    </row>
    <row r="934" spans="1:11" x14ac:dyDescent="0.3">
      <c r="A934" s="15" t="s">
        <v>11</v>
      </c>
      <c r="B934" s="16">
        <v>1</v>
      </c>
      <c r="C934" s="16">
        <v>2</v>
      </c>
      <c r="D934" s="16">
        <v>4</v>
      </c>
      <c r="E934" s="16">
        <v>2</v>
      </c>
      <c r="F934" s="16">
        <v>3</v>
      </c>
      <c r="G934" s="16">
        <v>2</v>
      </c>
      <c r="H934" s="16">
        <v>2</v>
      </c>
      <c r="I934" s="16">
        <f>SUM(B934:H934)</f>
        <v>16</v>
      </c>
    </row>
    <row r="935" spans="1:11" x14ac:dyDescent="0.3">
      <c r="A935" s="15" t="s">
        <v>12</v>
      </c>
      <c r="B935" s="16">
        <v>30</v>
      </c>
      <c r="C935" s="16">
        <v>27</v>
      </c>
      <c r="D935" s="16">
        <v>13</v>
      </c>
      <c r="E935" s="16">
        <v>19</v>
      </c>
      <c r="F935" s="16">
        <v>20</v>
      </c>
      <c r="G935" s="16">
        <v>22</v>
      </c>
      <c r="H935" s="16">
        <v>18</v>
      </c>
      <c r="I935" s="16">
        <f t="shared" ref="I935:I943" si="138">SUM(B935:H935)</f>
        <v>149</v>
      </c>
    </row>
    <row r="936" spans="1:11" x14ac:dyDescent="0.3">
      <c r="A936" s="15" t="s">
        <v>30</v>
      </c>
      <c r="B936" s="16">
        <v>0</v>
      </c>
      <c r="C936" s="16">
        <v>0</v>
      </c>
      <c r="D936" s="16">
        <v>0</v>
      </c>
      <c r="E936" s="16">
        <v>2</v>
      </c>
      <c r="F936" s="16">
        <v>1</v>
      </c>
      <c r="G936" s="16">
        <v>0</v>
      </c>
      <c r="H936" s="16">
        <v>0</v>
      </c>
      <c r="I936" s="16">
        <f t="shared" si="138"/>
        <v>3</v>
      </c>
    </row>
    <row r="937" spans="1:11" x14ac:dyDescent="0.3">
      <c r="A937" s="15" t="s">
        <v>28</v>
      </c>
      <c r="B937" s="16">
        <v>54</v>
      </c>
      <c r="C937" s="16">
        <v>56</v>
      </c>
      <c r="D937" s="16">
        <v>39</v>
      </c>
      <c r="E937" s="16">
        <v>21</v>
      </c>
      <c r="F937" s="16">
        <v>79</v>
      </c>
      <c r="G937" s="16">
        <v>366</v>
      </c>
      <c r="H937" s="16">
        <v>59</v>
      </c>
      <c r="I937" s="16">
        <f t="shared" si="138"/>
        <v>674</v>
      </c>
    </row>
    <row r="938" spans="1:11" x14ac:dyDescent="0.3">
      <c r="A938" s="15" t="s">
        <v>29</v>
      </c>
      <c r="B938" s="16">
        <v>9</v>
      </c>
      <c r="C938" s="16">
        <v>14</v>
      </c>
      <c r="D938" s="16">
        <v>9</v>
      </c>
      <c r="E938" s="16">
        <v>9</v>
      </c>
      <c r="F938" s="16">
        <v>27</v>
      </c>
      <c r="G938" s="16">
        <v>71</v>
      </c>
      <c r="H938" s="16">
        <v>13</v>
      </c>
      <c r="I938" s="16">
        <f t="shared" si="138"/>
        <v>152</v>
      </c>
    </row>
    <row r="939" spans="1:11" x14ac:dyDescent="0.3">
      <c r="A939" s="15" t="s">
        <v>31</v>
      </c>
      <c r="B939" s="16">
        <v>7</v>
      </c>
      <c r="C939" s="16">
        <v>0</v>
      </c>
      <c r="D939" s="16">
        <v>16</v>
      </c>
      <c r="E939" s="16">
        <v>4</v>
      </c>
      <c r="F939" s="16">
        <v>65</v>
      </c>
      <c r="G939" s="16">
        <v>31</v>
      </c>
      <c r="H939" s="16">
        <v>10</v>
      </c>
      <c r="I939" s="16">
        <f t="shared" si="138"/>
        <v>133</v>
      </c>
    </row>
    <row r="940" spans="1:11" x14ac:dyDescent="0.3">
      <c r="A940" s="15" t="s">
        <v>13</v>
      </c>
      <c r="B940" s="16">
        <v>0</v>
      </c>
      <c r="C940" s="16">
        <v>11</v>
      </c>
      <c r="D940" s="16">
        <v>3</v>
      </c>
      <c r="E940" s="16">
        <v>2</v>
      </c>
      <c r="F940" s="16">
        <v>2</v>
      </c>
      <c r="G940" s="16">
        <v>1</v>
      </c>
      <c r="H940" s="16">
        <v>3</v>
      </c>
      <c r="I940" s="16">
        <f t="shared" si="138"/>
        <v>22</v>
      </c>
      <c r="J940" s="1">
        <f>SUM(I936:I940)</f>
        <v>984</v>
      </c>
      <c r="K940" s="69">
        <f>((J907-J940)/J907)</f>
        <v>7.5187969924812026E-2</v>
      </c>
    </row>
    <row r="941" spans="1:11" x14ac:dyDescent="0.3">
      <c r="A941" s="15" t="s">
        <v>14</v>
      </c>
      <c r="B941" s="16">
        <v>0</v>
      </c>
      <c r="C941" s="16">
        <v>0</v>
      </c>
      <c r="D941" s="16">
        <v>0</v>
      </c>
      <c r="E941" s="16">
        <v>0</v>
      </c>
      <c r="F941" s="16">
        <v>0</v>
      </c>
      <c r="G941" s="16">
        <v>0</v>
      </c>
      <c r="H941" s="16">
        <v>0</v>
      </c>
      <c r="I941" s="16">
        <f t="shared" si="138"/>
        <v>0</v>
      </c>
    </row>
    <row r="942" spans="1:11" x14ac:dyDescent="0.3">
      <c r="A942" s="15" t="s">
        <v>32</v>
      </c>
      <c r="B942" s="16">
        <v>0</v>
      </c>
      <c r="C942" s="16">
        <v>0</v>
      </c>
      <c r="D942" s="16">
        <v>0</v>
      </c>
      <c r="E942" s="16">
        <v>0</v>
      </c>
      <c r="F942" s="16">
        <v>0</v>
      </c>
      <c r="G942" s="16">
        <v>0</v>
      </c>
      <c r="H942" s="16">
        <v>0</v>
      </c>
      <c r="I942" s="16">
        <f t="shared" si="138"/>
        <v>0</v>
      </c>
    </row>
    <row r="943" spans="1:11" x14ac:dyDescent="0.3">
      <c r="A943" s="15" t="s">
        <v>33</v>
      </c>
      <c r="B943" s="16">
        <v>0</v>
      </c>
      <c r="C943" s="16">
        <v>0</v>
      </c>
      <c r="D943" s="16">
        <v>0</v>
      </c>
      <c r="E943" s="16">
        <v>0</v>
      </c>
      <c r="F943" s="16">
        <v>0</v>
      </c>
      <c r="G943" s="16">
        <v>0</v>
      </c>
      <c r="H943" s="16">
        <v>0</v>
      </c>
      <c r="I943" s="16">
        <f t="shared" si="138"/>
        <v>0</v>
      </c>
    </row>
    <row r="944" spans="1:11" ht="19.5" thickBot="1" x14ac:dyDescent="0.35">
      <c r="A944" s="30" t="s">
        <v>15</v>
      </c>
      <c r="B944" s="31">
        <f t="shared" ref="B944:H944" si="139">(B935+B934)/B933*100%</f>
        <v>0.59615384615384615</v>
      </c>
      <c r="C944" s="31">
        <f t="shared" si="139"/>
        <v>0.56862745098039214</v>
      </c>
      <c r="D944" s="31">
        <f t="shared" si="139"/>
        <v>0.33333333333333331</v>
      </c>
      <c r="E944" s="31">
        <f t="shared" si="139"/>
        <v>0.41176470588235292</v>
      </c>
      <c r="F944" s="31">
        <f t="shared" si="139"/>
        <v>0.43396226415094341</v>
      </c>
      <c r="G944" s="31">
        <f t="shared" si="139"/>
        <v>0.45283018867924529</v>
      </c>
      <c r="H944" s="31">
        <f t="shared" si="139"/>
        <v>0.37735849056603776</v>
      </c>
      <c r="I944" s="32">
        <f>(B944+C944+D944+E944+F944+G944+H944)/7</f>
        <v>0.45343289710659296</v>
      </c>
    </row>
    <row r="945" spans="1:12" x14ac:dyDescent="0.3">
      <c r="A945" s="67" t="s">
        <v>16</v>
      </c>
      <c r="B945" s="16"/>
      <c r="C945" s="17"/>
      <c r="D945" s="16"/>
      <c r="E945" s="18"/>
      <c r="F945" s="16"/>
      <c r="G945" s="16"/>
      <c r="H945" s="16"/>
      <c r="I945" s="16"/>
    </row>
    <row r="946" spans="1:12" x14ac:dyDescent="0.3">
      <c r="A946" s="15" t="s">
        <v>17</v>
      </c>
      <c r="B946" s="28">
        <v>78193.629000000001</v>
      </c>
      <c r="C946" s="28">
        <v>63742.595000000001</v>
      </c>
      <c r="D946" s="28">
        <v>21130.256000000001</v>
      </c>
      <c r="E946" s="28">
        <v>46542.771999999997</v>
      </c>
      <c r="F946" s="28">
        <v>64423.972000000002</v>
      </c>
      <c r="G946" s="28">
        <v>80497.83600000001</v>
      </c>
      <c r="H946" s="28">
        <v>43335.838000000003</v>
      </c>
      <c r="I946" s="19">
        <f>SUM(B946:H946)</f>
        <v>397866.89799999999</v>
      </c>
      <c r="J946" s="29">
        <f t="shared" ref="J946:J950" si="140">I946-I916</f>
        <v>-21865.768400000001</v>
      </c>
      <c r="K946" s="68">
        <f>((I916-I946)/I916)</f>
        <v>5.2094511936705439E-2</v>
      </c>
    </row>
    <row r="947" spans="1:12" x14ac:dyDescent="0.3">
      <c r="A947" s="15" t="s">
        <v>18</v>
      </c>
      <c r="B947" s="28">
        <v>71717.156900000002</v>
      </c>
      <c r="C947" s="28">
        <v>62287.322</v>
      </c>
      <c r="D947" s="28">
        <v>37247.502200000003</v>
      </c>
      <c r="E947" s="28">
        <v>39687.475899999998</v>
      </c>
      <c r="F947" s="28">
        <v>76018.832400000014</v>
      </c>
      <c r="G947" s="28">
        <v>145189.65320000003</v>
      </c>
      <c r="H947" s="28">
        <v>51769.403700000003</v>
      </c>
      <c r="I947" s="19">
        <f t="shared" ref="I947:I950" si="141">SUM(B947:H947)</f>
        <v>483917.34630000009</v>
      </c>
      <c r="J947" s="29">
        <f t="shared" si="140"/>
        <v>-12244.036979999975</v>
      </c>
      <c r="K947" s="68">
        <f t="shared" ref="K947:K952" si="142">((I917-I947)/I917)</f>
        <v>2.4677529111712962E-2</v>
      </c>
    </row>
    <row r="948" spans="1:12" x14ac:dyDescent="0.3">
      <c r="A948" s="15" t="s">
        <v>19</v>
      </c>
      <c r="B948" s="28">
        <v>47559.9303</v>
      </c>
      <c r="C948" s="28">
        <v>48198.725999999995</v>
      </c>
      <c r="D948" s="28">
        <v>16159.121800000001</v>
      </c>
      <c r="E948" s="28">
        <v>30439.943099999997</v>
      </c>
      <c r="F948" s="28">
        <v>45667.300599999995</v>
      </c>
      <c r="G948" s="28">
        <v>76567.942800000004</v>
      </c>
      <c r="H948" s="28">
        <v>27818.966499999999</v>
      </c>
      <c r="I948" s="19">
        <f t="shared" si="141"/>
        <v>292411.93109999999</v>
      </c>
      <c r="J948" s="29">
        <f t="shared" si="140"/>
        <v>-17916.992920000048</v>
      </c>
      <c r="K948" s="68">
        <f t="shared" si="142"/>
        <v>5.7735491387342727E-2</v>
      </c>
    </row>
    <row r="949" spans="1:12" x14ac:dyDescent="0.3">
      <c r="A949" s="15" t="s">
        <v>21</v>
      </c>
      <c r="B949" s="28">
        <v>5440.1007999999993</v>
      </c>
      <c r="C949" s="28">
        <v>5596.3280000000004</v>
      </c>
      <c r="D949" s="28">
        <v>320</v>
      </c>
      <c r="E949" s="28">
        <v>0</v>
      </c>
      <c r="F949" s="28">
        <v>0</v>
      </c>
      <c r="G949" s="28">
        <v>0</v>
      </c>
      <c r="H949" s="28">
        <v>3311.7728000000002</v>
      </c>
      <c r="I949" s="19">
        <f t="shared" si="141"/>
        <v>14668.2016</v>
      </c>
      <c r="J949" s="29">
        <f t="shared" si="140"/>
        <v>-17188.427199999998</v>
      </c>
      <c r="K949" s="68">
        <f t="shared" si="142"/>
        <v>0.53955574859823208</v>
      </c>
    </row>
    <row r="950" spans="1:12" ht="19.5" thickBot="1" x14ac:dyDescent="0.35">
      <c r="A950" s="15" t="s">
        <v>22</v>
      </c>
      <c r="B950" s="28">
        <v>0</v>
      </c>
      <c r="C950" s="28">
        <v>0</v>
      </c>
      <c r="D950" s="28">
        <v>0</v>
      </c>
      <c r="E950" s="28">
        <v>0</v>
      </c>
      <c r="F950" s="28">
        <v>0</v>
      </c>
      <c r="G950" s="28">
        <v>204417.4</v>
      </c>
      <c r="H950" s="28">
        <v>0</v>
      </c>
      <c r="I950" s="19">
        <f t="shared" si="141"/>
        <v>204417.4</v>
      </c>
      <c r="J950" s="29">
        <f t="shared" si="140"/>
        <v>198721.71</v>
      </c>
      <c r="K950" s="41">
        <f t="shared" si="142"/>
        <v>-34.889839510226153</v>
      </c>
      <c r="L950" s="41">
        <f>(J950/I951)</f>
        <v>0.1426285144042331</v>
      </c>
    </row>
    <row r="951" spans="1:12" ht="19.5" thickBot="1" x14ac:dyDescent="0.35">
      <c r="A951" s="20" t="s">
        <v>7</v>
      </c>
      <c r="B951" s="21">
        <f>SUM(B946:B950)</f>
        <v>202910.81700000001</v>
      </c>
      <c r="C951" s="21">
        <f>SUM(C946:C950)</f>
        <v>179824.97099999999</v>
      </c>
      <c r="D951" s="21">
        <f t="shared" ref="D951:H951" si="143">SUM(D946:D950)</f>
        <v>74856.88</v>
      </c>
      <c r="E951" s="21">
        <f t="shared" si="143"/>
        <v>116670.19099999999</v>
      </c>
      <c r="F951" s="21">
        <f t="shared" si="143"/>
        <v>186110.10500000001</v>
      </c>
      <c r="G951" s="21">
        <f t="shared" si="143"/>
        <v>506672.83200000005</v>
      </c>
      <c r="H951" s="21">
        <f t="shared" si="143"/>
        <v>126235.98100000001</v>
      </c>
      <c r="I951" s="21">
        <f>SUM(I946:I950)</f>
        <v>1393281.777</v>
      </c>
      <c r="J951" s="29">
        <f>I951-I921</f>
        <v>129506.48450000002</v>
      </c>
      <c r="K951" s="41">
        <f>((I921-I951)/I921)</f>
        <v>-0.10247587942933298</v>
      </c>
    </row>
    <row r="952" spans="1:12" ht="19.5" thickTop="1" x14ac:dyDescent="0.3">
      <c r="A952" s="22" t="s">
        <v>20</v>
      </c>
      <c r="B952" s="23">
        <f>0.6*30838.65</f>
        <v>18503.189999999999</v>
      </c>
      <c r="C952" s="23">
        <f>0.6*31107.96</f>
        <v>18664.775999999998</v>
      </c>
      <c r="D952" s="23">
        <f>0.6*14483.59</f>
        <v>8690.1540000000005</v>
      </c>
      <c r="E952" s="23">
        <f>0.6*14483.59</f>
        <v>8690.1540000000005</v>
      </c>
      <c r="F952" s="23">
        <f>0.6*65623.68</f>
        <v>39374.207999999991</v>
      </c>
      <c r="G952" s="23">
        <f>0.6*196403.16</f>
        <v>117841.89599999999</v>
      </c>
      <c r="H952" s="23">
        <f>0.6*36855.85</f>
        <v>22113.51</v>
      </c>
      <c r="I952" s="23">
        <f>SUM(B952:H952)</f>
        <v>233877.88799999998</v>
      </c>
      <c r="J952" s="29">
        <f>I952-I922</f>
        <v>-22908.165600000037</v>
      </c>
      <c r="K952" s="69">
        <f t="shared" si="142"/>
        <v>8.9211097249403098E-2</v>
      </c>
    </row>
    <row r="953" spans="1:12" x14ac:dyDescent="0.3">
      <c r="A953" s="24" t="s">
        <v>25</v>
      </c>
      <c r="B953" s="25"/>
      <c r="C953" s="25"/>
      <c r="D953" s="25"/>
      <c r="E953" s="25"/>
      <c r="F953" s="25"/>
      <c r="G953" s="25"/>
      <c r="H953" s="25"/>
      <c r="I953" s="25"/>
    </row>
    <row r="954" spans="1:12" x14ac:dyDescent="0.3">
      <c r="A954" s="26" t="s">
        <v>23</v>
      </c>
      <c r="B954" s="25">
        <v>4882.0200000000004</v>
      </c>
      <c r="C954" s="25">
        <v>4882.0200000000004</v>
      </c>
      <c r="D954" s="25">
        <v>4882.0200000000004</v>
      </c>
      <c r="E954" s="25">
        <v>4882.0200000000004</v>
      </c>
      <c r="F954" s="25">
        <v>0</v>
      </c>
      <c r="G954" s="25">
        <v>0</v>
      </c>
      <c r="H954" s="25">
        <v>0</v>
      </c>
      <c r="I954" s="25">
        <f>SUM(B954:H954)</f>
        <v>19528.080000000002</v>
      </c>
    </row>
    <row r="955" spans="1:12" ht="19.5" thickBot="1" x14ac:dyDescent="0.35">
      <c r="A955" s="27" t="s">
        <v>24</v>
      </c>
      <c r="B955" s="25">
        <v>0</v>
      </c>
      <c r="C955" s="25">
        <f>G961</f>
        <v>2</v>
      </c>
      <c r="D955" s="25" t="str">
        <f>H959</f>
        <v>GHS</v>
      </c>
      <c r="E955" s="25">
        <v>4882.0200000000004</v>
      </c>
      <c r="F955" s="25">
        <v>17900.73</v>
      </c>
      <c r="G955" s="25">
        <v>13018.71</v>
      </c>
      <c r="H955" s="25">
        <v>13018.71</v>
      </c>
      <c r="I955" s="25">
        <f>SUM(B955:H955)</f>
        <v>48822.17</v>
      </c>
    </row>
    <row r="957" spans="1:12" x14ac:dyDescent="0.3">
      <c r="A957" s="4" t="s">
        <v>81</v>
      </c>
      <c r="B957" s="5" t="s">
        <v>0</v>
      </c>
      <c r="C957" s="5" t="s">
        <v>1</v>
      </c>
      <c r="D957" s="5" t="s">
        <v>2</v>
      </c>
      <c r="E957" s="6" t="s">
        <v>3</v>
      </c>
      <c r="F957" s="5" t="s">
        <v>4</v>
      </c>
      <c r="G957" s="5" t="s">
        <v>5</v>
      </c>
      <c r="H957" s="5" t="s">
        <v>6</v>
      </c>
      <c r="I957" s="5" t="s">
        <v>7</v>
      </c>
    </row>
    <row r="958" spans="1:12" x14ac:dyDescent="0.3">
      <c r="A958" s="7"/>
      <c r="B958" s="8">
        <v>45523</v>
      </c>
      <c r="C958" s="8">
        <v>45524</v>
      </c>
      <c r="D958" s="8">
        <v>45525</v>
      </c>
      <c r="E958" s="8">
        <v>45526</v>
      </c>
      <c r="F958" s="8">
        <v>45527</v>
      </c>
      <c r="G958" s="8">
        <v>45528</v>
      </c>
      <c r="H958" s="8">
        <v>45529</v>
      </c>
      <c r="I958" s="9"/>
    </row>
    <row r="959" spans="1:12" ht="19.5" thickBot="1" x14ac:dyDescent="0.35">
      <c r="A959" s="10" t="s">
        <v>8</v>
      </c>
      <c r="B959" s="11" t="s">
        <v>9</v>
      </c>
      <c r="C959" s="11" t="s">
        <v>9</v>
      </c>
      <c r="D959" s="11" t="s">
        <v>9</v>
      </c>
      <c r="E959" s="11" t="s">
        <v>9</v>
      </c>
      <c r="F959" s="11" t="s">
        <v>9</v>
      </c>
      <c r="G959" s="11" t="s">
        <v>9</v>
      </c>
      <c r="H959" s="11" t="s">
        <v>9</v>
      </c>
      <c r="I959" s="12" t="s">
        <v>9</v>
      </c>
    </row>
    <row r="960" spans="1:12" x14ac:dyDescent="0.3">
      <c r="A960" s="13" t="s">
        <v>10</v>
      </c>
      <c r="B960" s="14">
        <v>53</v>
      </c>
      <c r="C960" s="14">
        <v>53</v>
      </c>
      <c r="D960" s="14">
        <v>53</v>
      </c>
      <c r="E960" s="14">
        <v>53</v>
      </c>
      <c r="F960" s="14">
        <v>53</v>
      </c>
      <c r="G960" s="14">
        <v>53</v>
      </c>
      <c r="H960" s="14">
        <v>54</v>
      </c>
      <c r="I960" s="14"/>
    </row>
    <row r="961" spans="1:10" x14ac:dyDescent="0.3">
      <c r="A961" s="15" t="s">
        <v>11</v>
      </c>
      <c r="B961" s="16">
        <v>2</v>
      </c>
      <c r="C961" s="16">
        <v>2</v>
      </c>
      <c r="D961" s="16">
        <v>3</v>
      </c>
      <c r="E961" s="16">
        <v>2</v>
      </c>
      <c r="F961" s="16">
        <v>1</v>
      </c>
      <c r="G961" s="16">
        <v>2</v>
      </c>
      <c r="H961" s="16">
        <v>2</v>
      </c>
      <c r="I961" s="16">
        <f>SUM(B961:H961)</f>
        <v>14</v>
      </c>
    </row>
    <row r="962" spans="1:10" x14ac:dyDescent="0.3">
      <c r="A962" s="15" t="s">
        <v>12</v>
      </c>
      <c r="B962" s="16">
        <v>16</v>
      </c>
      <c r="C962" s="16">
        <v>35</v>
      </c>
      <c r="D962" s="16">
        <v>43</v>
      </c>
      <c r="E962" s="16">
        <v>43</v>
      </c>
      <c r="F962" s="16">
        <v>43</v>
      </c>
      <c r="G962" s="16">
        <v>34</v>
      </c>
      <c r="H962" s="16">
        <v>34</v>
      </c>
      <c r="I962" s="16">
        <f t="shared" ref="I962:I970" si="144">SUM(B962:H962)</f>
        <v>248</v>
      </c>
    </row>
    <row r="963" spans="1:10" x14ac:dyDescent="0.3">
      <c r="A963" s="15" t="s">
        <v>30</v>
      </c>
      <c r="B963" s="16">
        <v>0</v>
      </c>
      <c r="C963" s="16">
        <v>0</v>
      </c>
      <c r="D963" s="16">
        <v>0</v>
      </c>
      <c r="E963" s="16">
        <v>0</v>
      </c>
      <c r="F963" s="16">
        <v>0</v>
      </c>
      <c r="G963" s="16">
        <v>1</v>
      </c>
      <c r="H963" s="16">
        <v>1</v>
      </c>
      <c r="I963" s="16">
        <f t="shared" si="144"/>
        <v>2</v>
      </c>
    </row>
    <row r="964" spans="1:10" x14ac:dyDescent="0.3">
      <c r="A964" s="15" t="s">
        <v>28</v>
      </c>
      <c r="B964" s="16">
        <v>52</v>
      </c>
      <c r="C964" s="16">
        <v>51</v>
      </c>
      <c r="D964" s="16">
        <v>58</v>
      </c>
      <c r="E964" s="16">
        <v>66</v>
      </c>
      <c r="F964" s="16">
        <v>134</v>
      </c>
      <c r="G964" s="16">
        <v>138</v>
      </c>
      <c r="H964" s="16">
        <v>64</v>
      </c>
      <c r="I964" s="16">
        <f t="shared" si="144"/>
        <v>563</v>
      </c>
    </row>
    <row r="965" spans="1:10" x14ac:dyDescent="0.3">
      <c r="A965" s="15" t="s">
        <v>29</v>
      </c>
      <c r="B965" s="16">
        <v>11</v>
      </c>
      <c r="C965" s="16">
        <v>14</v>
      </c>
      <c r="D965" s="16">
        <v>9</v>
      </c>
      <c r="E965" s="16">
        <v>28</v>
      </c>
      <c r="F965" s="16">
        <v>33</v>
      </c>
      <c r="G965" s="16">
        <v>33</v>
      </c>
      <c r="H965" s="16">
        <v>20</v>
      </c>
      <c r="I965" s="16">
        <f t="shared" si="144"/>
        <v>148</v>
      </c>
      <c r="J965" s="1">
        <f>I964+I965+I966+I967</f>
        <v>783</v>
      </c>
    </row>
    <row r="966" spans="1:10" x14ac:dyDescent="0.3">
      <c r="A966" s="15" t="s">
        <v>31</v>
      </c>
      <c r="B966" s="16">
        <v>10</v>
      </c>
      <c r="C966" s="16">
        <v>3</v>
      </c>
      <c r="D966" s="16">
        <v>4</v>
      </c>
      <c r="E966" s="16">
        <v>8</v>
      </c>
      <c r="F966" s="16">
        <v>8</v>
      </c>
      <c r="G966" s="16">
        <v>18</v>
      </c>
      <c r="H966" s="16">
        <v>12</v>
      </c>
      <c r="I966" s="16">
        <f t="shared" si="144"/>
        <v>63</v>
      </c>
    </row>
    <row r="967" spans="1:10" x14ac:dyDescent="0.3">
      <c r="A967" s="15" t="s">
        <v>13</v>
      </c>
      <c r="B967" s="16">
        <v>0</v>
      </c>
      <c r="C967" s="16">
        <v>1</v>
      </c>
      <c r="D967" s="16">
        <v>3</v>
      </c>
      <c r="E967" s="16">
        <v>0</v>
      </c>
      <c r="F967" s="16">
        <v>5</v>
      </c>
      <c r="G967" s="16">
        <v>0</v>
      </c>
      <c r="H967" s="16">
        <v>0</v>
      </c>
      <c r="I967" s="16">
        <f t="shared" si="144"/>
        <v>9</v>
      </c>
    </row>
    <row r="968" spans="1:10" x14ac:dyDescent="0.3">
      <c r="A968" s="15" t="s">
        <v>14</v>
      </c>
      <c r="B968" s="16">
        <v>0</v>
      </c>
      <c r="C968" s="16">
        <v>0</v>
      </c>
      <c r="D968" s="16">
        <v>0</v>
      </c>
      <c r="E968" s="16">
        <v>0</v>
      </c>
      <c r="F968" s="16">
        <v>0</v>
      </c>
      <c r="G968" s="16">
        <v>0</v>
      </c>
      <c r="H968" s="16">
        <v>0</v>
      </c>
      <c r="I968" s="16">
        <f t="shared" si="144"/>
        <v>0</v>
      </c>
    </row>
    <row r="969" spans="1:10" x14ac:dyDescent="0.3">
      <c r="A969" s="15" t="s">
        <v>32</v>
      </c>
      <c r="B969" s="16">
        <v>0</v>
      </c>
      <c r="C969" s="16">
        <v>0</v>
      </c>
      <c r="D969" s="16">
        <v>0</v>
      </c>
      <c r="E969" s="16">
        <v>0</v>
      </c>
      <c r="F969" s="16">
        <v>0</v>
      </c>
      <c r="G969" s="16">
        <v>0</v>
      </c>
      <c r="H969" s="16">
        <v>0</v>
      </c>
      <c r="I969" s="16">
        <f t="shared" si="144"/>
        <v>0</v>
      </c>
    </row>
    <row r="970" spans="1:10" x14ac:dyDescent="0.3">
      <c r="A970" s="15" t="s">
        <v>33</v>
      </c>
      <c r="B970" s="16">
        <v>0</v>
      </c>
      <c r="C970" s="16">
        <v>0</v>
      </c>
      <c r="D970" s="16">
        <v>0</v>
      </c>
      <c r="E970" s="16">
        <v>0</v>
      </c>
      <c r="F970" s="16">
        <v>0</v>
      </c>
      <c r="G970" s="16">
        <v>0</v>
      </c>
      <c r="H970" s="16">
        <v>0</v>
      </c>
      <c r="I970" s="16">
        <f t="shared" si="144"/>
        <v>0</v>
      </c>
    </row>
    <row r="971" spans="1:10" ht="19.5" thickBot="1" x14ac:dyDescent="0.35">
      <c r="A971" s="30" t="s">
        <v>15</v>
      </c>
      <c r="B971" s="31">
        <f t="shared" ref="B971:H971" si="145">(B962+B961)/B960*100%</f>
        <v>0.33962264150943394</v>
      </c>
      <c r="C971" s="31">
        <f t="shared" si="145"/>
        <v>0.69811320754716977</v>
      </c>
      <c r="D971" s="31">
        <f t="shared" si="145"/>
        <v>0.86792452830188682</v>
      </c>
      <c r="E971" s="31">
        <f t="shared" si="145"/>
        <v>0.84905660377358494</v>
      </c>
      <c r="F971" s="31">
        <f t="shared" si="145"/>
        <v>0.83018867924528306</v>
      </c>
      <c r="G971" s="31">
        <f t="shared" si="145"/>
        <v>0.67924528301886788</v>
      </c>
      <c r="H971" s="31">
        <f t="shared" si="145"/>
        <v>0.66666666666666663</v>
      </c>
      <c r="I971" s="32">
        <f>(B971+C971+D971+E971+F971+G971+H971)/7</f>
        <v>0.70440251572327039</v>
      </c>
    </row>
    <row r="972" spans="1:10" x14ac:dyDescent="0.3">
      <c r="A972" s="67" t="s">
        <v>16</v>
      </c>
      <c r="B972" s="16"/>
      <c r="C972" s="17"/>
      <c r="D972" s="16"/>
      <c r="E972" s="18"/>
      <c r="F972" s="16"/>
      <c r="G972" s="16"/>
      <c r="H972" s="16"/>
      <c r="I972" s="16"/>
    </row>
    <row r="973" spans="1:10" x14ac:dyDescent="0.3">
      <c r="A973" s="15" t="s">
        <v>17</v>
      </c>
      <c r="B973" s="28">
        <v>26538.316500000001</v>
      </c>
      <c r="C973" s="28">
        <v>52387.733499999995</v>
      </c>
      <c r="D973" s="28">
        <v>73306.526000000013</v>
      </c>
      <c r="E973" s="28">
        <v>66304.787499999991</v>
      </c>
      <c r="F973" s="28">
        <v>65844.824000000008</v>
      </c>
      <c r="G973" s="28">
        <v>66760.960500000001</v>
      </c>
      <c r="H973" s="28">
        <v>46492.178499999995</v>
      </c>
      <c r="I973" s="19">
        <f>SUM(B973:H973)</f>
        <v>397635.32649999997</v>
      </c>
    </row>
    <row r="974" spans="1:10" x14ac:dyDescent="0.3">
      <c r="A974" s="15" t="s">
        <v>18</v>
      </c>
      <c r="B974" s="28">
        <v>33977.842199999999</v>
      </c>
      <c r="C974" s="28">
        <v>53967.630100000009</v>
      </c>
      <c r="D974" s="28">
        <v>74957.972400000013</v>
      </c>
      <c r="E974" s="28">
        <v>71660.936700000006</v>
      </c>
      <c r="F974" s="28">
        <v>85085.9467</v>
      </c>
      <c r="G974" s="28">
        <v>89317.811900000015</v>
      </c>
      <c r="H974" s="28">
        <v>52346.178600000007</v>
      </c>
      <c r="I974" s="19">
        <f t="shared" ref="I974:I977" si="146">SUM(B974:H974)</f>
        <v>461314.31860000006</v>
      </c>
    </row>
    <row r="975" spans="1:10" x14ac:dyDescent="0.3">
      <c r="A975" s="15" t="s">
        <v>19</v>
      </c>
      <c r="B975" s="28">
        <v>18993.8361</v>
      </c>
      <c r="C975" s="28">
        <v>33578.581200000001</v>
      </c>
      <c r="D975" s="28">
        <v>45782.065000000002</v>
      </c>
      <c r="E975" s="28">
        <v>43886.190199999997</v>
      </c>
      <c r="F975" s="28">
        <v>48398.089100000005</v>
      </c>
      <c r="G975" s="28">
        <v>50918.072200000002</v>
      </c>
      <c r="H975" s="28">
        <v>29785.0167</v>
      </c>
      <c r="I975" s="19">
        <f t="shared" si="146"/>
        <v>271341.8505</v>
      </c>
    </row>
    <row r="976" spans="1:10" x14ac:dyDescent="0.3">
      <c r="A976" s="15" t="s">
        <v>21</v>
      </c>
      <c r="B976" s="28">
        <v>3834.0792000000001</v>
      </c>
      <c r="C976" s="28">
        <v>9218.0392000000011</v>
      </c>
      <c r="D976" s="28">
        <v>10168.185600000001</v>
      </c>
      <c r="E976" s="28">
        <v>9836.2055999999993</v>
      </c>
      <c r="F976" s="28">
        <v>9779.4272000000001</v>
      </c>
      <c r="G976" s="28">
        <v>7165.5863999999992</v>
      </c>
      <c r="H976" s="28">
        <v>6840.1271999999999</v>
      </c>
      <c r="I976" s="19">
        <f t="shared" si="146"/>
        <v>56841.650400000006</v>
      </c>
    </row>
    <row r="977" spans="1:12" ht="19.5" thickBot="1" x14ac:dyDescent="0.35">
      <c r="A977" s="15" t="s">
        <v>22</v>
      </c>
      <c r="B977" s="70">
        <v>0</v>
      </c>
      <c r="C977" s="28">
        <v>0</v>
      </c>
      <c r="D977" s="28">
        <v>0</v>
      </c>
      <c r="E977" s="28">
        <v>0</v>
      </c>
      <c r="F977" s="28">
        <v>0</v>
      </c>
      <c r="G977" s="28">
        <v>0</v>
      </c>
      <c r="H977" s="28">
        <v>0</v>
      </c>
      <c r="I977" s="19">
        <f t="shared" si="146"/>
        <v>0</v>
      </c>
    </row>
    <row r="978" spans="1:12" ht="19.5" thickBot="1" x14ac:dyDescent="0.35">
      <c r="A978" s="20" t="s">
        <v>7</v>
      </c>
      <c r="B978" s="21">
        <f>SUM(B973:B977)</f>
        <v>83344.073999999993</v>
      </c>
      <c r="C978" s="21">
        <f>SUM(C973:C977)</f>
        <v>149151.984</v>
      </c>
      <c r="D978" s="21">
        <f t="shared" ref="D978:H978" si="147">SUM(D973:D977)</f>
        <v>204214.74900000004</v>
      </c>
      <c r="E978" s="21">
        <f t="shared" si="147"/>
        <v>191688.12</v>
      </c>
      <c r="F978" s="21">
        <f t="shared" si="147"/>
        <v>209108.28700000001</v>
      </c>
      <c r="G978" s="21">
        <f t="shared" si="147"/>
        <v>214162.43100000001</v>
      </c>
      <c r="H978" s="21">
        <f t="shared" si="147"/>
        <v>135463.50099999999</v>
      </c>
      <c r="I978" s="21">
        <f>SUM(I973:I977)</f>
        <v>1187133.1459999999</v>
      </c>
    </row>
    <row r="979" spans="1:12" ht="19.5" thickTop="1" x14ac:dyDescent="0.3">
      <c r="A979" s="22" t="s">
        <v>20</v>
      </c>
      <c r="B979" s="23">
        <f>0.6*29276.38</f>
        <v>17565.828000000001</v>
      </c>
      <c r="C979" s="23">
        <f>0.6*29349.61</f>
        <v>17609.766</v>
      </c>
      <c r="D979" s="23">
        <f>0.6*41009.72</f>
        <v>24605.831999999999</v>
      </c>
      <c r="E979" s="23">
        <f>0.6*42881.19</f>
        <v>25728.714</v>
      </c>
      <c r="F979" s="23">
        <f>0.6*78492.11</f>
        <v>47095.265999999996</v>
      </c>
      <c r="G979" s="23">
        <f>0.6*84547.99</f>
        <v>50728.794000000002</v>
      </c>
      <c r="H979" s="23">
        <f>0.6*41335.18</f>
        <v>24801.108</v>
      </c>
      <c r="I979" s="23">
        <f>SUM(B979:H979)</f>
        <v>208135.30799999999</v>
      </c>
    </row>
    <row r="980" spans="1:12" x14ac:dyDescent="0.3">
      <c r="A980" s="24" t="s">
        <v>25</v>
      </c>
      <c r="B980" s="25"/>
      <c r="C980" s="25"/>
      <c r="D980" s="25"/>
      <c r="E980" s="25"/>
      <c r="F980" s="25"/>
      <c r="G980" s="25"/>
      <c r="H980" s="25"/>
      <c r="I980" s="25"/>
    </row>
    <row r="981" spans="1:12" x14ac:dyDescent="0.3">
      <c r="A981" s="26" t="s">
        <v>23</v>
      </c>
      <c r="B981" s="25">
        <v>0</v>
      </c>
      <c r="C981" s="25">
        <v>0</v>
      </c>
      <c r="D981" s="25">
        <v>0</v>
      </c>
      <c r="E981" s="25">
        <v>0</v>
      </c>
      <c r="F981" s="25">
        <v>0</v>
      </c>
      <c r="G981" s="25">
        <v>0</v>
      </c>
      <c r="H981" s="25">
        <v>0</v>
      </c>
      <c r="I981" s="25">
        <f>SUM(B981:H981)</f>
        <v>0</v>
      </c>
    </row>
    <row r="982" spans="1:12" ht="19.5" thickBot="1" x14ac:dyDescent="0.35">
      <c r="A982" s="27" t="s">
        <v>24</v>
      </c>
      <c r="B982" s="25">
        <v>13018.71</v>
      </c>
      <c r="C982" s="25">
        <v>13018.71</v>
      </c>
      <c r="D982" s="25">
        <v>37428.800000000003</v>
      </c>
      <c r="E982" s="25">
        <v>32546.79</v>
      </c>
      <c r="F982" s="25">
        <v>8136.7</v>
      </c>
      <c r="G982" s="25">
        <v>32546.79</v>
      </c>
      <c r="H982" s="25">
        <v>32546.79</v>
      </c>
      <c r="I982" s="25">
        <f>SUM(B982:H982)</f>
        <v>169243.29</v>
      </c>
    </row>
    <row r="984" spans="1:12" x14ac:dyDescent="0.3">
      <c r="A984" s="4" t="s">
        <v>82</v>
      </c>
      <c r="B984" s="5" t="s">
        <v>0</v>
      </c>
      <c r="C984" s="5" t="s">
        <v>1</v>
      </c>
      <c r="D984" s="5" t="s">
        <v>2</v>
      </c>
      <c r="E984" s="6" t="s">
        <v>3</v>
      </c>
      <c r="F984" s="5" t="s">
        <v>4</v>
      </c>
      <c r="G984" s="5" t="s">
        <v>5</v>
      </c>
      <c r="H984" s="5" t="s">
        <v>6</v>
      </c>
      <c r="I984" s="5" t="s">
        <v>7</v>
      </c>
    </row>
    <row r="985" spans="1:12" x14ac:dyDescent="0.3">
      <c r="A985" s="7"/>
      <c r="B985" s="8">
        <v>45530</v>
      </c>
      <c r="C985" s="8">
        <v>45531</v>
      </c>
      <c r="D985" s="8">
        <v>45532</v>
      </c>
      <c r="E985" s="8">
        <v>45533</v>
      </c>
      <c r="F985" s="8">
        <v>45534</v>
      </c>
      <c r="G985" s="8">
        <v>45535</v>
      </c>
      <c r="H985" s="8">
        <v>45536</v>
      </c>
      <c r="I985" s="9"/>
    </row>
    <row r="986" spans="1:12" ht="19.5" thickBot="1" x14ac:dyDescent="0.35">
      <c r="A986" s="10" t="s">
        <v>8</v>
      </c>
      <c r="B986" s="11" t="s">
        <v>9</v>
      </c>
      <c r="C986" s="11" t="s">
        <v>9</v>
      </c>
      <c r="D986" s="11" t="s">
        <v>9</v>
      </c>
      <c r="E986" s="11" t="s">
        <v>9</v>
      </c>
      <c r="F986" s="11" t="s">
        <v>9</v>
      </c>
      <c r="G986" s="11" t="s">
        <v>9</v>
      </c>
      <c r="H986" s="11" t="s">
        <v>9</v>
      </c>
      <c r="I986" s="12" t="s">
        <v>9</v>
      </c>
    </row>
    <row r="987" spans="1:12" x14ac:dyDescent="0.3">
      <c r="A987" s="13" t="s">
        <v>10</v>
      </c>
      <c r="B987" s="14">
        <v>54</v>
      </c>
      <c r="C987" s="14">
        <v>54</v>
      </c>
      <c r="D987" s="14">
        <v>54</v>
      </c>
      <c r="E987" s="14">
        <v>53</v>
      </c>
      <c r="F987" s="14">
        <v>53</v>
      </c>
      <c r="G987" s="14">
        <v>53</v>
      </c>
      <c r="H987" s="14">
        <v>53</v>
      </c>
      <c r="I987" s="14"/>
    </row>
    <row r="988" spans="1:12" x14ac:dyDescent="0.3">
      <c r="A988" s="15" t="s">
        <v>11</v>
      </c>
      <c r="B988" s="16">
        <v>2</v>
      </c>
      <c r="C988" s="16">
        <v>0</v>
      </c>
      <c r="D988" s="16">
        <v>0</v>
      </c>
      <c r="E988" s="16">
        <v>2</v>
      </c>
      <c r="F988" s="16">
        <v>6</v>
      </c>
      <c r="G988" s="16">
        <v>1</v>
      </c>
      <c r="H988" s="16">
        <v>2</v>
      </c>
      <c r="I988" s="16">
        <f>SUM(B988:H988)</f>
        <v>13</v>
      </c>
      <c r="J988" s="29">
        <f t="shared" ref="J988:J999" si="148">I988+I961+I934+I904+I875-D875-C875-B875</f>
        <v>75</v>
      </c>
    </row>
    <row r="989" spans="1:12" x14ac:dyDescent="0.3">
      <c r="A989" s="15" t="s">
        <v>12</v>
      </c>
      <c r="B989" s="16">
        <v>30</v>
      </c>
      <c r="C989" s="16">
        <v>33</v>
      </c>
      <c r="D989" s="16">
        <v>53</v>
      </c>
      <c r="E989" s="16">
        <v>34</v>
      </c>
      <c r="F989" s="16">
        <v>46</v>
      </c>
      <c r="G989" s="16">
        <v>51</v>
      </c>
      <c r="H989" s="16">
        <v>36</v>
      </c>
      <c r="I989" s="16">
        <f t="shared" ref="I989:I997" si="149">SUM(B989:H989)</f>
        <v>283</v>
      </c>
      <c r="J989" s="29">
        <f t="shared" si="148"/>
        <v>995</v>
      </c>
    </row>
    <row r="990" spans="1:12" x14ac:dyDescent="0.3">
      <c r="A990" s="15" t="s">
        <v>30</v>
      </c>
      <c r="B990" s="16">
        <v>0</v>
      </c>
      <c r="C990" s="16">
        <v>0</v>
      </c>
      <c r="D990" s="16">
        <v>0</v>
      </c>
      <c r="E990" s="16">
        <v>0</v>
      </c>
      <c r="F990" s="16">
        <v>0</v>
      </c>
      <c r="G990" s="16">
        <v>0</v>
      </c>
      <c r="H990" s="16">
        <v>0</v>
      </c>
      <c r="I990" s="16">
        <f t="shared" si="149"/>
        <v>0</v>
      </c>
      <c r="J990" s="29">
        <f t="shared" si="148"/>
        <v>10</v>
      </c>
    </row>
    <row r="991" spans="1:12" x14ac:dyDescent="0.3">
      <c r="A991" s="15" t="s">
        <v>28</v>
      </c>
      <c r="B991" s="16">
        <v>21</v>
      </c>
      <c r="C991" s="16">
        <v>22</v>
      </c>
      <c r="D991" s="16">
        <v>34</v>
      </c>
      <c r="E991" s="16">
        <v>49</v>
      </c>
      <c r="F991" s="16">
        <v>48</v>
      </c>
      <c r="G991" s="16">
        <v>213</v>
      </c>
      <c r="H991" s="16">
        <v>91</v>
      </c>
      <c r="I991" s="16">
        <f t="shared" si="149"/>
        <v>478</v>
      </c>
      <c r="J991" s="29">
        <f t="shared" si="148"/>
        <v>3063</v>
      </c>
    </row>
    <row r="992" spans="1:12" x14ac:dyDescent="0.3">
      <c r="A992" s="15" t="s">
        <v>29</v>
      </c>
      <c r="B992" s="16">
        <v>8</v>
      </c>
      <c r="C992" s="16">
        <v>2</v>
      </c>
      <c r="D992" s="16">
        <v>18</v>
      </c>
      <c r="E992" s="16">
        <v>18</v>
      </c>
      <c r="F992" s="16">
        <v>115</v>
      </c>
      <c r="G992" s="16">
        <v>103</v>
      </c>
      <c r="H992" s="16">
        <v>29</v>
      </c>
      <c r="I992" s="16">
        <f t="shared" si="149"/>
        <v>293</v>
      </c>
      <c r="J992" s="29">
        <f t="shared" si="148"/>
        <v>993</v>
      </c>
      <c r="K992" s="1">
        <f>G991+G992+G993+G994+F991+F992+F993+E991+E992+E993+D991+D992+D993+C991+C992+C993+B991+B992+B993+I964+I965+I966+I967+I937+I938+I939+I940+I907+I908+I909+I910+E878+E879+E880+F878+F879+F880+F881+G878+G879+G880+H878+H879+H880+H881</f>
        <v>4522</v>
      </c>
      <c r="L992" s="1">
        <f>I991+I992+I993+I994</f>
        <v>920</v>
      </c>
    </row>
    <row r="993" spans="1:11" x14ac:dyDescent="0.3">
      <c r="A993" s="15" t="s">
        <v>31</v>
      </c>
      <c r="B993" s="16">
        <v>5</v>
      </c>
      <c r="C993" s="16">
        <v>1</v>
      </c>
      <c r="D993" s="16">
        <v>2</v>
      </c>
      <c r="E993" s="16">
        <v>7</v>
      </c>
      <c r="F993" s="16">
        <v>47</v>
      </c>
      <c r="G993" s="16">
        <v>72</v>
      </c>
      <c r="H993" s="16">
        <v>10</v>
      </c>
      <c r="I993" s="16">
        <f t="shared" si="149"/>
        <v>144</v>
      </c>
      <c r="J993" s="29">
        <f t="shared" si="148"/>
        <v>539</v>
      </c>
    </row>
    <row r="994" spans="1:11" x14ac:dyDescent="0.3">
      <c r="A994" s="15" t="s">
        <v>13</v>
      </c>
      <c r="B994" s="16">
        <v>0</v>
      </c>
      <c r="C994" s="16">
        <v>0</v>
      </c>
      <c r="D994" s="16">
        <v>0</v>
      </c>
      <c r="E994" s="16">
        <v>0</v>
      </c>
      <c r="F994" s="16">
        <v>0</v>
      </c>
      <c r="G994" s="16">
        <v>4</v>
      </c>
      <c r="H994" s="16">
        <v>1</v>
      </c>
      <c r="I994" s="16">
        <f t="shared" si="149"/>
        <v>5</v>
      </c>
      <c r="J994" s="29">
        <f t="shared" si="148"/>
        <v>58</v>
      </c>
    </row>
    <row r="995" spans="1:11" x14ac:dyDescent="0.3">
      <c r="A995" s="15" t="s">
        <v>14</v>
      </c>
      <c r="B995" s="16">
        <v>0</v>
      </c>
      <c r="C995" s="16">
        <v>0</v>
      </c>
      <c r="D995" s="16">
        <v>0</v>
      </c>
      <c r="E995" s="16">
        <v>0</v>
      </c>
      <c r="F995" s="16">
        <v>0</v>
      </c>
      <c r="G995" s="16">
        <v>0</v>
      </c>
      <c r="H995" s="16">
        <v>0</v>
      </c>
      <c r="I995" s="16">
        <f t="shared" si="149"/>
        <v>0</v>
      </c>
      <c r="J995" s="29">
        <f t="shared" si="148"/>
        <v>0</v>
      </c>
    </row>
    <row r="996" spans="1:11" x14ac:dyDescent="0.3">
      <c r="A996" s="15" t="s">
        <v>32</v>
      </c>
      <c r="B996" s="16">
        <v>0</v>
      </c>
      <c r="C996" s="16">
        <v>0</v>
      </c>
      <c r="D996" s="16">
        <v>0</v>
      </c>
      <c r="E996" s="16">
        <v>0</v>
      </c>
      <c r="F996" s="16">
        <v>0</v>
      </c>
      <c r="G996" s="16">
        <v>0</v>
      </c>
      <c r="H996" s="16">
        <v>0</v>
      </c>
      <c r="I996" s="16">
        <f t="shared" si="149"/>
        <v>0</v>
      </c>
      <c r="J996" s="29">
        <f t="shared" si="148"/>
        <v>0</v>
      </c>
    </row>
    <row r="997" spans="1:11" x14ac:dyDescent="0.3">
      <c r="A997" s="15" t="s">
        <v>33</v>
      </c>
      <c r="B997" s="16">
        <v>0</v>
      </c>
      <c r="C997" s="16">
        <v>0</v>
      </c>
      <c r="D997" s="16">
        <v>0</v>
      </c>
      <c r="E997" s="16">
        <v>0</v>
      </c>
      <c r="F997" s="16">
        <v>0</v>
      </c>
      <c r="G997" s="16">
        <v>0</v>
      </c>
      <c r="H997" s="16">
        <v>0</v>
      </c>
      <c r="I997" s="16">
        <f t="shared" si="149"/>
        <v>0</v>
      </c>
      <c r="J997" s="29">
        <f t="shared" si="148"/>
        <v>0</v>
      </c>
    </row>
    <row r="998" spans="1:11" ht="19.5" thickBot="1" x14ac:dyDescent="0.35">
      <c r="A998" s="30" t="s">
        <v>15</v>
      </c>
      <c r="B998" s="31">
        <f t="shared" ref="B998:H998" si="150">(B989+B988)/B987*100%</f>
        <v>0.59259259259259256</v>
      </c>
      <c r="C998" s="31">
        <f t="shared" si="150"/>
        <v>0.61111111111111116</v>
      </c>
      <c r="D998" s="31">
        <f t="shared" si="150"/>
        <v>0.98148148148148151</v>
      </c>
      <c r="E998" s="31">
        <f t="shared" si="150"/>
        <v>0.67924528301886788</v>
      </c>
      <c r="F998" s="31">
        <f t="shared" si="150"/>
        <v>0.98113207547169812</v>
      </c>
      <c r="G998" s="31">
        <f t="shared" si="150"/>
        <v>0.98113207547169812</v>
      </c>
      <c r="H998" s="31">
        <f t="shared" si="150"/>
        <v>0.71698113207547165</v>
      </c>
      <c r="I998" s="32">
        <f>(B998+C998+D998+E998+F998+G998+H998)/7</f>
        <v>0.79195367874613154</v>
      </c>
      <c r="J998" s="29">
        <f t="shared" si="148"/>
        <v>0.6034279055921673</v>
      </c>
    </row>
    <row r="999" spans="1:11" x14ac:dyDescent="0.3">
      <c r="A999" s="67" t="s">
        <v>16</v>
      </c>
      <c r="B999" s="16"/>
      <c r="C999" s="17"/>
      <c r="D999" s="16"/>
      <c r="E999" s="18"/>
      <c r="F999" s="16"/>
      <c r="G999" s="16"/>
      <c r="H999" s="16"/>
      <c r="I999" s="16"/>
      <c r="J999" s="29">
        <f t="shared" si="148"/>
        <v>0</v>
      </c>
    </row>
    <row r="1000" spans="1:11" x14ac:dyDescent="0.3">
      <c r="A1000" s="15" t="s">
        <v>17</v>
      </c>
      <c r="B1000" s="28">
        <v>37466.324499999995</v>
      </c>
      <c r="C1000" s="28">
        <v>43459.686499999996</v>
      </c>
      <c r="D1000" s="28">
        <v>89271.040499999988</v>
      </c>
      <c r="E1000" s="28">
        <v>61635.122500000005</v>
      </c>
      <c r="F1000" s="28">
        <v>89983.911999999997</v>
      </c>
      <c r="G1000" s="28">
        <v>102513.43299999999</v>
      </c>
      <c r="H1000" s="28">
        <v>64064.423500000004</v>
      </c>
      <c r="I1000" s="19">
        <f>SUM(B1000:H1000)</f>
        <v>488393.9425</v>
      </c>
      <c r="J1000" s="29">
        <f t="shared" ref="J1000:J1004" si="151">I1000+I973+I946+I916+I887-D887-C887-B887</f>
        <v>2053619.0859999997</v>
      </c>
    </row>
    <row r="1001" spans="1:11" x14ac:dyDescent="0.3">
      <c r="A1001" s="15" t="s">
        <v>18</v>
      </c>
      <c r="B1001" s="28">
        <v>36390.583700000003</v>
      </c>
      <c r="C1001" s="28">
        <v>39794.297300000006</v>
      </c>
      <c r="D1001" s="28">
        <v>81123.276700000002</v>
      </c>
      <c r="E1001" s="28">
        <v>63002.415800000002</v>
      </c>
      <c r="F1001" s="28">
        <v>89045.627399999998</v>
      </c>
      <c r="G1001" s="28">
        <v>140452.3279</v>
      </c>
      <c r="H1001" s="28">
        <v>74025.762200000012</v>
      </c>
      <c r="I1001" s="19">
        <f t="shared" ref="I1001:I1004" si="152">SUM(B1001:H1001)</f>
        <v>523834.29099999997</v>
      </c>
      <c r="J1001" s="29">
        <f t="shared" si="151"/>
        <v>2363277.9394999999</v>
      </c>
    </row>
    <row r="1002" spans="1:11" x14ac:dyDescent="0.3">
      <c r="A1002" s="15" t="s">
        <v>19</v>
      </c>
      <c r="B1002" s="28">
        <v>22118.630400000002</v>
      </c>
      <c r="C1002" s="28">
        <v>25599.592199999999</v>
      </c>
      <c r="D1002" s="28">
        <v>51694.53899999999</v>
      </c>
      <c r="E1002" s="28">
        <v>43942.242299999998</v>
      </c>
      <c r="F1002" s="28">
        <v>57665.442600000002</v>
      </c>
      <c r="G1002" s="28">
        <v>79841.864699999991</v>
      </c>
      <c r="H1002" s="28">
        <v>42677.200300000004</v>
      </c>
      <c r="I1002" s="19">
        <f t="shared" si="152"/>
        <v>323539.51150000002</v>
      </c>
      <c r="J1002" s="29">
        <f t="shared" si="151"/>
        <v>1445019.9787999997</v>
      </c>
    </row>
    <row r="1003" spans="1:11" x14ac:dyDescent="0.3">
      <c r="A1003" s="15" t="s">
        <v>21</v>
      </c>
      <c r="B1003" s="28">
        <v>7072.1304000000009</v>
      </c>
      <c r="C1003" s="28">
        <v>8520.155999999999</v>
      </c>
      <c r="D1003" s="28">
        <v>19508.360799999999</v>
      </c>
      <c r="E1003" s="28">
        <v>7615.7464</v>
      </c>
      <c r="F1003" s="28">
        <v>6886.688000000001</v>
      </c>
      <c r="G1003" s="28">
        <v>7365.0544</v>
      </c>
      <c r="H1003" s="28">
        <v>7427.076</v>
      </c>
      <c r="I1003" s="19">
        <f t="shared" si="152"/>
        <v>64395.212</v>
      </c>
      <c r="J1003" s="29">
        <f t="shared" si="151"/>
        <v>167761.69280000005</v>
      </c>
    </row>
    <row r="1004" spans="1:11" ht="19.5" thickBot="1" x14ac:dyDescent="0.35">
      <c r="A1004" s="15" t="s">
        <v>22</v>
      </c>
      <c r="B1004" s="28">
        <v>0</v>
      </c>
      <c r="C1004" s="28">
        <v>0</v>
      </c>
      <c r="D1004" s="28">
        <v>0</v>
      </c>
      <c r="E1004" s="28">
        <v>0</v>
      </c>
      <c r="F1004" s="28">
        <v>0</v>
      </c>
      <c r="G1004" s="28">
        <v>0</v>
      </c>
      <c r="H1004" s="28">
        <v>0</v>
      </c>
      <c r="I1004" s="19">
        <f t="shared" si="152"/>
        <v>0</v>
      </c>
      <c r="J1004" s="29">
        <f t="shared" si="151"/>
        <v>210113.09</v>
      </c>
    </row>
    <row r="1005" spans="1:11" ht="19.5" thickBot="1" x14ac:dyDescent="0.35">
      <c r="A1005" s="20" t="s">
        <v>7</v>
      </c>
      <c r="B1005" s="21">
        <f>SUM(B1000:B1004)</f>
        <v>103047.66899999999</v>
      </c>
      <c r="C1005" s="21">
        <f>SUM(C1000:C1004)</f>
        <v>117373.732</v>
      </c>
      <c r="D1005" s="21">
        <f t="shared" ref="D1005:H1005" si="153">SUM(D1000:D1004)</f>
        <v>241597.21699999998</v>
      </c>
      <c r="E1005" s="21">
        <f t="shared" si="153"/>
        <v>176195.527</v>
      </c>
      <c r="F1005" s="21">
        <f t="shared" si="153"/>
        <v>243581.67</v>
      </c>
      <c r="G1005" s="21">
        <f t="shared" si="153"/>
        <v>330172.68</v>
      </c>
      <c r="H1005" s="21">
        <f t="shared" si="153"/>
        <v>188194.46200000003</v>
      </c>
      <c r="I1005" s="21">
        <f>SUM(I1000:I1004)</f>
        <v>1400162.9570000002</v>
      </c>
      <c r="J1005" s="46">
        <f>I1005+I978+I951+I921+I892-D892-C892-B892-H1005</f>
        <v>6051597.3250999991</v>
      </c>
      <c r="K1005" s="29">
        <f>J1005+'ECO PARK'!J786</f>
        <v>7322060.2109999992</v>
      </c>
    </row>
    <row r="1006" spans="1:11" ht="19.5" thickTop="1" x14ac:dyDescent="0.3">
      <c r="A1006" s="22" t="s">
        <v>20</v>
      </c>
      <c r="B1006" s="23">
        <f>0.6*12970.13</f>
        <v>7782.0779999999995</v>
      </c>
      <c r="C1006" s="23">
        <f>0.6*12327.33</f>
        <v>7396.3979999999992</v>
      </c>
      <c r="D1006" s="23">
        <f>0.6*24491.91</f>
        <v>14695.145999999999</v>
      </c>
      <c r="E1006" s="23">
        <f>0.6*31570.98</f>
        <v>18942.588</v>
      </c>
      <c r="F1006" s="23">
        <f>0.6*53499.78</f>
        <v>32099.867999999999</v>
      </c>
      <c r="G1006" s="23">
        <f>0.6*142036.83</f>
        <v>85222.097999999984</v>
      </c>
      <c r="H1006" s="23">
        <f>0.6*55086.46</f>
        <v>33051.875999999997</v>
      </c>
      <c r="I1006" s="23">
        <f>SUM(B1006:H1006)</f>
        <v>199190.05199999997</v>
      </c>
      <c r="J1006" s="46">
        <f>I1006+I979+I952+I922+I893-D893-C893-B893-H1006</f>
        <v>1076754.8411999999</v>
      </c>
      <c r="K1006" s="29">
        <f>J1006+'ECO PARK'!J785</f>
        <v>1821386.0436</v>
      </c>
    </row>
    <row r="1007" spans="1:11" x14ac:dyDescent="0.3">
      <c r="A1007" s="24" t="s">
        <v>25</v>
      </c>
      <c r="B1007" s="25"/>
      <c r="C1007" s="25"/>
      <c r="D1007" s="25"/>
      <c r="E1007" s="25"/>
      <c r="F1007" s="25"/>
      <c r="G1007" s="25"/>
      <c r="H1007" s="25"/>
      <c r="I1007" s="25"/>
    </row>
    <row r="1008" spans="1:11" x14ac:dyDescent="0.3">
      <c r="A1008" s="26" t="s">
        <v>23</v>
      </c>
      <c r="B1008" s="25">
        <v>0</v>
      </c>
      <c r="C1008" s="25">
        <v>0</v>
      </c>
      <c r="D1008" s="25">
        <v>0</v>
      </c>
      <c r="E1008" s="25">
        <f>10000/1.229</f>
        <v>8136.6965012205037</v>
      </c>
      <c r="F1008" s="25">
        <f>30000/1.229</f>
        <v>24410.089503661511</v>
      </c>
      <c r="G1008" s="25">
        <v>0</v>
      </c>
      <c r="H1008" s="25">
        <f>10000/1.229</f>
        <v>8136.6965012205037</v>
      </c>
      <c r="I1008" s="25">
        <f>SUM(B1008:H1008)</f>
        <v>40683.482506102519</v>
      </c>
    </row>
    <row r="1009" spans="1:11" ht="19.5" thickBot="1" x14ac:dyDescent="0.35">
      <c r="A1009" s="27" t="s">
        <v>24</v>
      </c>
      <c r="B1009" s="25">
        <f>40000/1.229</f>
        <v>32546.786004882015</v>
      </c>
      <c r="C1009" s="25">
        <v>0</v>
      </c>
      <c r="D1009" s="25">
        <v>0</v>
      </c>
      <c r="E1009" s="25">
        <f>6000/1.229</f>
        <v>4882.0179007323022</v>
      </c>
      <c r="F1009" s="25">
        <v>47192.84</v>
      </c>
      <c r="G1009" s="25">
        <f>10000/1.229</f>
        <v>8136.6965012205037</v>
      </c>
      <c r="H1009" s="25">
        <f>30000/1.229</f>
        <v>24410.089503661511</v>
      </c>
      <c r="I1009" s="25">
        <f>SUM(B1009:H1009)</f>
        <v>117168.42991049633</v>
      </c>
    </row>
    <row r="1011" spans="1:11" x14ac:dyDescent="0.3">
      <c r="A1011" s="4" t="s">
        <v>84</v>
      </c>
      <c r="B1011" s="5" t="s">
        <v>0</v>
      </c>
      <c r="C1011" s="5" t="s">
        <v>1</v>
      </c>
      <c r="D1011" s="5" t="s">
        <v>2</v>
      </c>
      <c r="E1011" s="6" t="s">
        <v>3</v>
      </c>
      <c r="F1011" s="5" t="s">
        <v>4</v>
      </c>
      <c r="G1011" s="5" t="s">
        <v>5</v>
      </c>
      <c r="H1011" s="5" t="s">
        <v>6</v>
      </c>
      <c r="I1011" s="5" t="s">
        <v>7</v>
      </c>
    </row>
    <row r="1012" spans="1:11" x14ac:dyDescent="0.3">
      <c r="A1012" s="7"/>
      <c r="B1012" s="8">
        <v>45537</v>
      </c>
      <c r="C1012" s="8">
        <v>45538</v>
      </c>
      <c r="D1012" s="8">
        <v>45539</v>
      </c>
      <c r="E1012" s="8">
        <v>45540</v>
      </c>
      <c r="F1012" s="8">
        <v>45541</v>
      </c>
      <c r="G1012" s="8">
        <v>45542</v>
      </c>
      <c r="H1012" s="8">
        <v>45543</v>
      </c>
      <c r="I1012" s="9"/>
    </row>
    <row r="1013" spans="1:11" ht="19.5" thickBot="1" x14ac:dyDescent="0.35">
      <c r="A1013" s="10" t="s">
        <v>8</v>
      </c>
      <c r="B1013" s="11" t="s">
        <v>9</v>
      </c>
      <c r="C1013" s="11" t="s">
        <v>9</v>
      </c>
      <c r="D1013" s="11" t="s">
        <v>9</v>
      </c>
      <c r="E1013" s="11" t="s">
        <v>9</v>
      </c>
      <c r="F1013" s="11" t="s">
        <v>9</v>
      </c>
      <c r="G1013" s="11" t="s">
        <v>9</v>
      </c>
      <c r="H1013" s="11" t="s">
        <v>9</v>
      </c>
      <c r="I1013" s="12" t="s">
        <v>9</v>
      </c>
    </row>
    <row r="1014" spans="1:11" x14ac:dyDescent="0.3">
      <c r="A1014" s="13" t="s">
        <v>10</v>
      </c>
      <c r="B1014" s="14">
        <v>53</v>
      </c>
      <c r="C1014" s="14">
        <v>53</v>
      </c>
      <c r="D1014" s="14">
        <v>53</v>
      </c>
      <c r="E1014" s="14">
        <v>53</v>
      </c>
      <c r="F1014" s="14">
        <v>53</v>
      </c>
      <c r="G1014" s="14">
        <v>53</v>
      </c>
      <c r="H1014" s="14">
        <v>53</v>
      </c>
      <c r="I1014" s="14"/>
    </row>
    <row r="1015" spans="1:11" x14ac:dyDescent="0.3">
      <c r="A1015" s="15" t="s">
        <v>11</v>
      </c>
      <c r="B1015" s="16">
        <v>1</v>
      </c>
      <c r="C1015" s="16">
        <v>2</v>
      </c>
      <c r="D1015" s="16">
        <v>2</v>
      </c>
      <c r="E1015" s="16">
        <v>2</v>
      </c>
      <c r="F1015" s="16">
        <v>4</v>
      </c>
      <c r="G1015" s="16">
        <v>2</v>
      </c>
      <c r="H1015" s="16">
        <v>1</v>
      </c>
      <c r="I1015" s="16">
        <f>SUM(B1015:H1015)</f>
        <v>14</v>
      </c>
    </row>
    <row r="1016" spans="1:11" x14ac:dyDescent="0.3">
      <c r="A1016" s="15" t="s">
        <v>12</v>
      </c>
      <c r="B1016" s="16">
        <v>43</v>
      </c>
      <c r="C1016" s="16">
        <v>19</v>
      </c>
      <c r="D1016" s="16">
        <v>15</v>
      </c>
      <c r="E1016" s="16">
        <v>29</v>
      </c>
      <c r="F1016" s="16">
        <v>20</v>
      </c>
      <c r="G1016" s="16">
        <v>11</v>
      </c>
      <c r="H1016" s="16">
        <v>5</v>
      </c>
      <c r="I1016" s="16">
        <f t="shared" ref="I1016:I1024" si="154">SUM(B1016:H1016)</f>
        <v>142</v>
      </c>
    </row>
    <row r="1017" spans="1:11" x14ac:dyDescent="0.3">
      <c r="A1017" s="15" t="s">
        <v>30</v>
      </c>
      <c r="B1017" s="16">
        <v>0</v>
      </c>
      <c r="C1017" s="16">
        <v>0</v>
      </c>
      <c r="D1017" s="16">
        <v>0</v>
      </c>
      <c r="E1017" s="16">
        <v>0</v>
      </c>
      <c r="F1017" s="16">
        <v>0</v>
      </c>
      <c r="G1017" s="16">
        <v>0</v>
      </c>
      <c r="H1017" s="16">
        <v>0</v>
      </c>
      <c r="I1017" s="16">
        <f t="shared" si="154"/>
        <v>0</v>
      </c>
    </row>
    <row r="1018" spans="1:11" x14ac:dyDescent="0.3">
      <c r="A1018" s="15" t="s">
        <v>28</v>
      </c>
      <c r="B1018" s="16">
        <v>41</v>
      </c>
      <c r="C1018" s="16">
        <v>25</v>
      </c>
      <c r="D1018" s="16">
        <v>29</v>
      </c>
      <c r="E1018" s="16">
        <v>51</v>
      </c>
      <c r="F1018" s="16">
        <v>28</v>
      </c>
      <c r="G1018" s="16">
        <v>408</v>
      </c>
      <c r="H1018" s="16">
        <v>30</v>
      </c>
      <c r="I1018" s="16">
        <f t="shared" si="154"/>
        <v>612</v>
      </c>
    </row>
    <row r="1019" spans="1:11" x14ac:dyDescent="0.3">
      <c r="A1019" s="15" t="s">
        <v>29</v>
      </c>
      <c r="B1019" s="16">
        <v>4</v>
      </c>
      <c r="C1019" s="16">
        <v>7</v>
      </c>
      <c r="D1019" s="16">
        <v>10</v>
      </c>
      <c r="E1019" s="16">
        <v>8</v>
      </c>
      <c r="F1019" s="16">
        <v>9</v>
      </c>
      <c r="G1019" s="16">
        <v>152</v>
      </c>
      <c r="H1019" s="16">
        <v>5</v>
      </c>
      <c r="I1019" s="16">
        <f t="shared" si="154"/>
        <v>195</v>
      </c>
    </row>
    <row r="1020" spans="1:11" x14ac:dyDescent="0.3">
      <c r="A1020" s="15" t="s">
        <v>31</v>
      </c>
      <c r="B1020" s="16">
        <v>2</v>
      </c>
      <c r="C1020" s="16">
        <v>1</v>
      </c>
      <c r="D1020" s="16">
        <v>2</v>
      </c>
      <c r="E1020" s="16">
        <v>4</v>
      </c>
      <c r="F1020" s="16">
        <v>1</v>
      </c>
      <c r="G1020" s="16">
        <v>16</v>
      </c>
      <c r="H1020" s="16">
        <v>5</v>
      </c>
      <c r="I1020" s="16">
        <f t="shared" si="154"/>
        <v>31</v>
      </c>
    </row>
    <row r="1021" spans="1:11" x14ac:dyDescent="0.3">
      <c r="A1021" s="15" t="s">
        <v>13</v>
      </c>
      <c r="B1021" s="16">
        <v>0</v>
      </c>
      <c r="C1021" s="16">
        <v>1</v>
      </c>
      <c r="D1021" s="16">
        <v>0</v>
      </c>
      <c r="E1021" s="16">
        <v>13</v>
      </c>
      <c r="F1021" s="16">
        <v>1</v>
      </c>
      <c r="G1021" s="16">
        <v>3</v>
      </c>
      <c r="H1021" s="16">
        <v>0</v>
      </c>
      <c r="I1021" s="16">
        <f t="shared" si="154"/>
        <v>18</v>
      </c>
    </row>
    <row r="1022" spans="1:11" x14ac:dyDescent="0.3">
      <c r="A1022" s="15" t="s">
        <v>14</v>
      </c>
      <c r="B1022" s="16">
        <v>0</v>
      </c>
      <c r="C1022" s="16">
        <v>0</v>
      </c>
      <c r="D1022" s="16">
        <v>0</v>
      </c>
      <c r="E1022" s="16">
        <v>2</v>
      </c>
      <c r="F1022" s="16">
        <v>0</v>
      </c>
      <c r="G1022" s="16">
        <v>0</v>
      </c>
      <c r="H1022" s="16">
        <v>0</v>
      </c>
      <c r="I1022" s="16">
        <f t="shared" si="154"/>
        <v>2</v>
      </c>
      <c r="K1022" s="1">
        <v>859</v>
      </c>
    </row>
    <row r="1023" spans="1:11" x14ac:dyDescent="0.3">
      <c r="A1023" s="15" t="s">
        <v>32</v>
      </c>
      <c r="B1023" s="16">
        <v>0</v>
      </c>
      <c r="C1023" s="16">
        <v>0</v>
      </c>
      <c r="D1023" s="16">
        <v>0</v>
      </c>
      <c r="E1023" s="16">
        <v>0</v>
      </c>
      <c r="F1023" s="16">
        <v>0</v>
      </c>
      <c r="G1023" s="16">
        <v>0</v>
      </c>
      <c r="H1023" s="16">
        <v>0</v>
      </c>
      <c r="I1023" s="16">
        <f t="shared" si="154"/>
        <v>0</v>
      </c>
    </row>
    <row r="1024" spans="1:11" x14ac:dyDescent="0.3">
      <c r="A1024" s="15" t="s">
        <v>33</v>
      </c>
      <c r="B1024" s="16">
        <v>0</v>
      </c>
      <c r="C1024" s="16">
        <v>0</v>
      </c>
      <c r="D1024" s="16">
        <v>0</v>
      </c>
      <c r="E1024" s="16">
        <v>1</v>
      </c>
      <c r="F1024" s="16">
        <v>0</v>
      </c>
      <c r="G1024" s="16">
        <v>0</v>
      </c>
      <c r="H1024" s="16">
        <v>0</v>
      </c>
      <c r="I1024" s="16">
        <f t="shared" si="154"/>
        <v>1</v>
      </c>
    </row>
    <row r="1025" spans="1:9" ht="19.5" thickBot="1" x14ac:dyDescent="0.35">
      <c r="A1025" s="30" t="s">
        <v>15</v>
      </c>
      <c r="B1025" s="31">
        <f t="shared" ref="B1025:H1025" si="155">(B1016+B1015)/B1014*100%</f>
        <v>0.83018867924528306</v>
      </c>
      <c r="C1025" s="31">
        <f t="shared" si="155"/>
        <v>0.39622641509433965</v>
      </c>
      <c r="D1025" s="31">
        <f t="shared" si="155"/>
        <v>0.32075471698113206</v>
      </c>
      <c r="E1025" s="31">
        <f t="shared" si="155"/>
        <v>0.58490566037735847</v>
      </c>
      <c r="F1025" s="31">
        <f t="shared" si="155"/>
        <v>0.45283018867924529</v>
      </c>
      <c r="G1025" s="31">
        <f t="shared" si="155"/>
        <v>0.24528301886792453</v>
      </c>
      <c r="H1025" s="31">
        <f t="shared" si="155"/>
        <v>0.11320754716981132</v>
      </c>
      <c r="I1025" s="32">
        <f>(B1025+C1025+D1025+E1025+F1025+G1025+H1025)/7</f>
        <v>0.42048517520215628</v>
      </c>
    </row>
    <row r="1026" spans="1:9" x14ac:dyDescent="0.3">
      <c r="A1026" s="67" t="s">
        <v>16</v>
      </c>
      <c r="B1026" s="16"/>
      <c r="C1026" s="17"/>
      <c r="D1026" s="16"/>
      <c r="E1026" s="18"/>
      <c r="F1026" s="16"/>
      <c r="G1026" s="16"/>
      <c r="H1026" s="16"/>
      <c r="I1026" s="16"/>
    </row>
    <row r="1027" spans="1:9" x14ac:dyDescent="0.3">
      <c r="A1027" s="15" t="s">
        <v>17</v>
      </c>
      <c r="B1027" s="28">
        <v>64432.557500000003</v>
      </c>
      <c r="C1027" s="28">
        <v>36981.152999999991</v>
      </c>
      <c r="D1027" s="28">
        <v>21000.384999999998</v>
      </c>
      <c r="E1027" s="28">
        <v>72374.725000000006</v>
      </c>
      <c r="F1027" s="28">
        <v>57500.411500000002</v>
      </c>
      <c r="G1027" s="28">
        <v>27795.476000000002</v>
      </c>
      <c r="H1027" s="28">
        <v>18568.295999999998</v>
      </c>
      <c r="I1027" s="19">
        <f>SUM(B1027:H1027)</f>
        <v>298653.00399999996</v>
      </c>
    </row>
    <row r="1028" spans="1:9" x14ac:dyDescent="0.3">
      <c r="A1028" s="15" t="s">
        <v>18</v>
      </c>
      <c r="B1028" s="28">
        <v>58343.575300000004</v>
      </c>
      <c r="C1028" s="28">
        <v>33875.484499999999</v>
      </c>
      <c r="D1028" s="28">
        <v>24996.145500000002</v>
      </c>
      <c r="E1028" s="28">
        <v>76646.523000000016</v>
      </c>
      <c r="F1028" s="28">
        <v>49785.180300000007</v>
      </c>
      <c r="G1028" s="28">
        <v>115211.51220000001</v>
      </c>
      <c r="H1028" s="28">
        <v>18873.423200000001</v>
      </c>
      <c r="I1028" s="19">
        <f t="shared" ref="I1028:I1031" si="156">SUM(B1028:H1028)</f>
        <v>377731.84400000004</v>
      </c>
    </row>
    <row r="1029" spans="1:9" x14ac:dyDescent="0.3">
      <c r="A1029" s="15" t="s">
        <v>19</v>
      </c>
      <c r="B1029" s="28">
        <v>43932.451800000003</v>
      </c>
      <c r="C1029" s="28">
        <v>25017.226300000002</v>
      </c>
      <c r="D1029" s="28">
        <v>14687.4915</v>
      </c>
      <c r="E1029" s="28">
        <v>43513.195</v>
      </c>
      <c r="F1029" s="28">
        <v>37220.1512</v>
      </c>
      <c r="G1029" s="28">
        <v>50766.344800000006</v>
      </c>
      <c r="H1029" s="28">
        <v>10996.9488</v>
      </c>
      <c r="I1029" s="19">
        <f t="shared" si="156"/>
        <v>226133.80940000003</v>
      </c>
    </row>
    <row r="1030" spans="1:9" x14ac:dyDescent="0.3">
      <c r="A1030" s="15" t="s">
        <v>21</v>
      </c>
      <c r="B1030" s="28">
        <v>11115.610400000001</v>
      </c>
      <c r="C1030" s="28">
        <v>5320.8431999999993</v>
      </c>
      <c r="D1030" s="28">
        <v>4800.0879999999997</v>
      </c>
      <c r="E1030" s="28">
        <v>11800.216</v>
      </c>
      <c r="F1030" s="28">
        <v>6743.2040000000006</v>
      </c>
      <c r="G1030" s="28">
        <v>0</v>
      </c>
      <c r="H1030" s="28">
        <v>0</v>
      </c>
      <c r="I1030" s="19">
        <f t="shared" si="156"/>
        <v>39779.961599999995</v>
      </c>
    </row>
    <row r="1031" spans="1:9" ht="19.5" thickBot="1" x14ac:dyDescent="0.35">
      <c r="A1031" s="15" t="s">
        <v>22</v>
      </c>
      <c r="B1031" s="28">
        <v>7500</v>
      </c>
      <c r="C1031" s="28">
        <v>0</v>
      </c>
      <c r="D1031" s="28">
        <v>0</v>
      </c>
      <c r="E1031" s="28">
        <v>2000</v>
      </c>
      <c r="F1031" s="28">
        <v>0</v>
      </c>
      <c r="G1031" s="28">
        <v>0</v>
      </c>
      <c r="H1031" s="28">
        <v>0</v>
      </c>
      <c r="I1031" s="19">
        <f t="shared" si="156"/>
        <v>9500</v>
      </c>
    </row>
    <row r="1032" spans="1:9" ht="19.5" thickBot="1" x14ac:dyDescent="0.35">
      <c r="A1032" s="20" t="s">
        <v>7</v>
      </c>
      <c r="B1032" s="21">
        <f>SUM(B1027:B1031)</f>
        <v>185324.19500000001</v>
      </c>
      <c r="C1032" s="21">
        <f>SUM(C1027:C1031)</f>
        <v>101194.70699999999</v>
      </c>
      <c r="D1032" s="21">
        <f t="shared" ref="D1032:H1032" si="157">SUM(D1027:D1031)</f>
        <v>65484.11</v>
      </c>
      <c r="E1032" s="21">
        <f t="shared" si="157"/>
        <v>206334.65900000004</v>
      </c>
      <c r="F1032" s="21">
        <f t="shared" si="157"/>
        <v>151248.94700000001</v>
      </c>
      <c r="G1032" s="21">
        <f t="shared" si="157"/>
        <v>193773.33300000004</v>
      </c>
      <c r="H1032" s="21">
        <f t="shared" si="157"/>
        <v>48438.667999999998</v>
      </c>
      <c r="I1032" s="21">
        <f>SUM(I1027:I1031)</f>
        <v>951798.61900000006</v>
      </c>
    </row>
    <row r="1033" spans="1:9" ht="19.5" thickTop="1" x14ac:dyDescent="0.3">
      <c r="A1033" s="22" t="s">
        <v>20</v>
      </c>
      <c r="B1033" s="23">
        <f>20667.61*0.6</f>
        <v>12400.566000000001</v>
      </c>
      <c r="C1033" s="23">
        <f>0.6*15053.17</f>
        <v>9031.902</v>
      </c>
      <c r="D1033" s="23">
        <f>0.6*17941.75</f>
        <v>10765.05</v>
      </c>
      <c r="E1033" s="23">
        <f>0.6*34874.54</f>
        <v>20924.723999999998</v>
      </c>
      <c r="F1033" s="23">
        <f>17209.43*0.6</f>
        <v>10325.657999999999</v>
      </c>
      <c r="G1033" s="23">
        <f>210283.82*0.6</f>
        <v>126170.292</v>
      </c>
      <c r="H1033" s="23">
        <f>18307.92*0.6</f>
        <v>10984.751999999999</v>
      </c>
      <c r="I1033" s="23">
        <f>SUM(B1033:H1033)</f>
        <v>200602.94399999999</v>
      </c>
    </row>
    <row r="1034" spans="1:9" x14ac:dyDescent="0.3">
      <c r="A1034" s="24" t="s">
        <v>25</v>
      </c>
      <c r="B1034" s="25"/>
      <c r="C1034" s="25"/>
      <c r="D1034" s="25"/>
      <c r="E1034" s="25"/>
      <c r="F1034" s="25"/>
      <c r="G1034" s="25"/>
      <c r="H1034" s="25"/>
      <c r="I1034" s="25"/>
    </row>
    <row r="1035" spans="1:9" x14ac:dyDescent="0.3">
      <c r="A1035" s="26" t="s">
        <v>23</v>
      </c>
      <c r="B1035" s="25">
        <v>0</v>
      </c>
      <c r="C1035" s="25">
        <v>0</v>
      </c>
      <c r="D1035" s="25">
        <v>0</v>
      </c>
      <c r="E1035" s="25">
        <v>0</v>
      </c>
      <c r="F1035" s="25">
        <f>10000/1.229</f>
        <v>8136.6965012205037</v>
      </c>
      <c r="G1035" s="25">
        <v>0</v>
      </c>
      <c r="H1035" s="25">
        <v>0</v>
      </c>
      <c r="I1035" s="25">
        <f>SUM(B1035:H1035)</f>
        <v>8136.6965012205037</v>
      </c>
    </row>
    <row r="1036" spans="1:9" ht="19.5" thickBot="1" x14ac:dyDescent="0.35">
      <c r="A1036" s="27" t="s">
        <v>24</v>
      </c>
      <c r="B1036" s="25">
        <f>30000/1.229</f>
        <v>24410.089503661511</v>
      </c>
      <c r="C1036" s="25">
        <f>16000/1.229</f>
        <v>13018.714401952806</v>
      </c>
      <c r="D1036" s="25">
        <f>16000/1.229</f>
        <v>13018.714401952806</v>
      </c>
      <c r="E1036" s="25">
        <f>12000/1.229</f>
        <v>9764.0358014646044</v>
      </c>
      <c r="F1036" s="25">
        <f>22000/1.229</f>
        <v>17900.732302685108</v>
      </c>
      <c r="G1036" s="25">
        <f>16000/1.229</f>
        <v>13018.714401952806</v>
      </c>
      <c r="H1036" s="25">
        <f>10000/1.229</f>
        <v>8136.6965012205037</v>
      </c>
      <c r="I1036" s="25">
        <f>SUM(B1036:H1036)</f>
        <v>99267.697314890145</v>
      </c>
    </row>
    <row r="1038" spans="1:9" x14ac:dyDescent="0.3">
      <c r="A1038" s="4" t="s">
        <v>85</v>
      </c>
      <c r="B1038" s="5" t="s">
        <v>0</v>
      </c>
      <c r="C1038" s="5" t="s">
        <v>1</v>
      </c>
      <c r="D1038" s="5" t="s">
        <v>2</v>
      </c>
      <c r="E1038" s="6" t="s">
        <v>3</v>
      </c>
      <c r="F1038" s="5" t="s">
        <v>4</v>
      </c>
      <c r="G1038" s="5" t="s">
        <v>5</v>
      </c>
      <c r="H1038" s="5" t="s">
        <v>6</v>
      </c>
      <c r="I1038" s="5" t="s">
        <v>7</v>
      </c>
    </row>
    <row r="1039" spans="1:9" x14ac:dyDescent="0.3">
      <c r="A1039" s="7"/>
      <c r="B1039" s="8">
        <v>45544</v>
      </c>
      <c r="C1039" s="8">
        <v>45545</v>
      </c>
      <c r="D1039" s="8">
        <v>45546</v>
      </c>
      <c r="E1039" s="8">
        <v>45547</v>
      </c>
      <c r="F1039" s="8">
        <v>45548</v>
      </c>
      <c r="G1039" s="8">
        <v>45549</v>
      </c>
      <c r="H1039" s="8">
        <v>45550</v>
      </c>
      <c r="I1039" s="9"/>
    </row>
    <row r="1040" spans="1:9" ht="19.5" thickBot="1" x14ac:dyDescent="0.35">
      <c r="A1040" s="10" t="s">
        <v>8</v>
      </c>
      <c r="B1040" s="11" t="s">
        <v>9</v>
      </c>
      <c r="C1040" s="11" t="s">
        <v>9</v>
      </c>
      <c r="D1040" s="11" t="s">
        <v>9</v>
      </c>
      <c r="E1040" s="11" t="s">
        <v>9</v>
      </c>
      <c r="F1040" s="11" t="s">
        <v>9</v>
      </c>
      <c r="G1040" s="11" t="s">
        <v>9</v>
      </c>
      <c r="H1040" s="11" t="s">
        <v>9</v>
      </c>
      <c r="I1040" s="12" t="s">
        <v>9</v>
      </c>
    </row>
    <row r="1041" spans="1:11" x14ac:dyDescent="0.3">
      <c r="A1041" s="13" t="s">
        <v>10</v>
      </c>
      <c r="B1041" s="14">
        <v>53</v>
      </c>
      <c r="C1041" s="14">
        <v>53</v>
      </c>
      <c r="D1041" s="14">
        <v>52</v>
      </c>
      <c r="E1041" s="14">
        <v>51</v>
      </c>
      <c r="F1041" s="14">
        <v>51</v>
      </c>
      <c r="G1041" s="14">
        <v>50</v>
      </c>
      <c r="H1041" s="14">
        <v>52</v>
      </c>
      <c r="I1041" s="14"/>
    </row>
    <row r="1042" spans="1:11" x14ac:dyDescent="0.3">
      <c r="A1042" s="15" t="s">
        <v>11</v>
      </c>
      <c r="B1042" s="16">
        <v>0</v>
      </c>
      <c r="C1042" s="16">
        <v>0</v>
      </c>
      <c r="D1042" s="16">
        <v>1</v>
      </c>
      <c r="E1042" s="16">
        <v>2</v>
      </c>
      <c r="F1042" s="16">
        <v>3</v>
      </c>
      <c r="G1042" s="16">
        <v>2</v>
      </c>
      <c r="H1042" s="16">
        <v>0</v>
      </c>
      <c r="I1042" s="16">
        <f>SUM(B1042:H1042)</f>
        <v>8</v>
      </c>
    </row>
    <row r="1043" spans="1:11" x14ac:dyDescent="0.3">
      <c r="A1043" s="15" t="s">
        <v>12</v>
      </c>
      <c r="B1043" s="16">
        <v>3</v>
      </c>
      <c r="C1043" s="16">
        <v>2</v>
      </c>
      <c r="D1043" s="16">
        <v>11</v>
      </c>
      <c r="E1043" s="16">
        <v>8</v>
      </c>
      <c r="F1043" s="16">
        <v>16</v>
      </c>
      <c r="G1043" s="16">
        <v>18</v>
      </c>
      <c r="H1043" s="16">
        <v>9</v>
      </c>
      <c r="I1043" s="16">
        <f t="shared" ref="I1043:I1051" si="158">SUM(B1043:H1043)</f>
        <v>67</v>
      </c>
    </row>
    <row r="1044" spans="1:11" x14ac:dyDescent="0.3">
      <c r="A1044" s="15" t="s">
        <v>30</v>
      </c>
      <c r="B1044" s="16">
        <v>0</v>
      </c>
      <c r="C1044" s="16">
        <v>0</v>
      </c>
      <c r="D1044" s="16">
        <v>0</v>
      </c>
      <c r="E1044" s="16">
        <v>0</v>
      </c>
      <c r="F1044" s="16">
        <v>0</v>
      </c>
      <c r="G1044" s="16">
        <v>0</v>
      </c>
      <c r="H1044" s="16">
        <v>0</v>
      </c>
      <c r="I1044" s="16">
        <f t="shared" si="158"/>
        <v>0</v>
      </c>
    </row>
    <row r="1045" spans="1:11" x14ac:dyDescent="0.3">
      <c r="A1045" s="15" t="s">
        <v>28</v>
      </c>
      <c r="B1045" s="16">
        <v>11</v>
      </c>
      <c r="C1045" s="16">
        <v>26</v>
      </c>
      <c r="D1045" s="16">
        <v>27</v>
      </c>
      <c r="E1045" s="16">
        <v>20</v>
      </c>
      <c r="F1045" s="16">
        <v>39</v>
      </c>
      <c r="G1045" s="16">
        <v>92</v>
      </c>
      <c r="H1045" s="16">
        <v>44</v>
      </c>
      <c r="I1045" s="16">
        <f t="shared" si="158"/>
        <v>259</v>
      </c>
    </row>
    <row r="1046" spans="1:11" x14ac:dyDescent="0.3">
      <c r="A1046" s="15" t="s">
        <v>29</v>
      </c>
      <c r="B1046" s="16">
        <v>0</v>
      </c>
      <c r="C1046" s="16">
        <v>6</v>
      </c>
      <c r="D1046" s="16">
        <v>3</v>
      </c>
      <c r="E1046" s="16">
        <v>0</v>
      </c>
      <c r="F1046" s="16">
        <v>1</v>
      </c>
      <c r="G1046" s="16">
        <v>12</v>
      </c>
      <c r="H1046" s="16">
        <v>5</v>
      </c>
      <c r="I1046" s="16">
        <f t="shared" si="158"/>
        <v>27</v>
      </c>
    </row>
    <row r="1047" spans="1:11" x14ac:dyDescent="0.3">
      <c r="A1047" s="15" t="s">
        <v>31</v>
      </c>
      <c r="B1047" s="16">
        <v>0</v>
      </c>
      <c r="C1047" s="16">
        <v>0</v>
      </c>
      <c r="D1047" s="16">
        <v>1</v>
      </c>
      <c r="E1047" s="16">
        <v>0</v>
      </c>
      <c r="F1047" s="16">
        <v>2</v>
      </c>
      <c r="G1047" s="16">
        <v>2</v>
      </c>
      <c r="H1047" s="16">
        <v>2</v>
      </c>
      <c r="I1047" s="16">
        <f t="shared" si="158"/>
        <v>7</v>
      </c>
      <c r="K1047" s="1">
        <v>308</v>
      </c>
    </row>
    <row r="1048" spans="1:11" x14ac:dyDescent="0.3">
      <c r="A1048" s="15" t="s">
        <v>13</v>
      </c>
      <c r="B1048" s="16">
        <v>0</v>
      </c>
      <c r="C1048" s="16">
        <v>0</v>
      </c>
      <c r="D1048" s="16">
        <v>0</v>
      </c>
      <c r="E1048" s="16">
        <v>0</v>
      </c>
      <c r="F1048" s="16">
        <v>0</v>
      </c>
      <c r="G1048" s="16">
        <v>1</v>
      </c>
      <c r="H1048" s="16">
        <v>0</v>
      </c>
      <c r="I1048" s="16">
        <f t="shared" si="158"/>
        <v>1</v>
      </c>
    </row>
    <row r="1049" spans="1:11" x14ac:dyDescent="0.3">
      <c r="A1049" s="15" t="s">
        <v>14</v>
      </c>
      <c r="B1049" s="16">
        <v>0</v>
      </c>
      <c r="C1049" s="16">
        <v>0</v>
      </c>
      <c r="D1049" s="16">
        <v>0</v>
      </c>
      <c r="E1049" s="16">
        <v>0</v>
      </c>
      <c r="F1049" s="16">
        <v>0</v>
      </c>
      <c r="G1049" s="16">
        <v>0</v>
      </c>
      <c r="H1049" s="16">
        <v>0</v>
      </c>
      <c r="I1049" s="16">
        <f t="shared" si="158"/>
        <v>0</v>
      </c>
    </row>
    <row r="1050" spans="1:11" x14ac:dyDescent="0.3">
      <c r="A1050" s="15" t="s">
        <v>32</v>
      </c>
      <c r="B1050" s="16">
        <v>0</v>
      </c>
      <c r="C1050" s="16">
        <v>0</v>
      </c>
      <c r="D1050" s="16">
        <v>0</v>
      </c>
      <c r="E1050" s="16">
        <v>0</v>
      </c>
      <c r="F1050" s="16">
        <v>0</v>
      </c>
      <c r="G1050" s="16">
        <v>0</v>
      </c>
      <c r="H1050" s="16">
        <v>0</v>
      </c>
      <c r="I1050" s="16">
        <f t="shared" si="158"/>
        <v>0</v>
      </c>
    </row>
    <row r="1051" spans="1:11" x14ac:dyDescent="0.3">
      <c r="A1051" s="15" t="s">
        <v>33</v>
      </c>
      <c r="B1051" s="16">
        <v>0</v>
      </c>
      <c r="C1051" s="16">
        <v>0</v>
      </c>
      <c r="D1051" s="16">
        <v>0</v>
      </c>
      <c r="E1051" s="16">
        <v>0</v>
      </c>
      <c r="F1051" s="16">
        <v>14</v>
      </c>
      <c r="G1051" s="16">
        <v>0</v>
      </c>
      <c r="H1051" s="16">
        <v>0</v>
      </c>
      <c r="I1051" s="16">
        <f t="shared" si="158"/>
        <v>14</v>
      </c>
    </row>
    <row r="1052" spans="1:11" ht="19.5" thickBot="1" x14ac:dyDescent="0.35">
      <c r="A1052" s="30" t="s">
        <v>15</v>
      </c>
      <c r="B1052" s="31">
        <f t="shared" ref="B1052:H1052" si="159">(B1043+B1042)/B1041*100%</f>
        <v>5.6603773584905662E-2</v>
      </c>
      <c r="C1052" s="31">
        <f t="shared" si="159"/>
        <v>3.7735849056603772E-2</v>
      </c>
      <c r="D1052" s="31">
        <f t="shared" si="159"/>
        <v>0.23076923076923078</v>
      </c>
      <c r="E1052" s="31">
        <f t="shared" si="159"/>
        <v>0.19607843137254902</v>
      </c>
      <c r="F1052" s="31">
        <f t="shared" si="159"/>
        <v>0.37254901960784315</v>
      </c>
      <c r="G1052" s="31">
        <f t="shared" si="159"/>
        <v>0.4</v>
      </c>
      <c r="H1052" s="31">
        <f t="shared" si="159"/>
        <v>0.17307692307692307</v>
      </c>
      <c r="I1052" s="32">
        <f>(B1052+C1052+D1052+E1052+F1052+G1052+H1052)/7</f>
        <v>0.20954474678115079</v>
      </c>
    </row>
    <row r="1053" spans="1:11" x14ac:dyDescent="0.3">
      <c r="A1053" s="67" t="s">
        <v>16</v>
      </c>
      <c r="B1053" s="16"/>
      <c r="C1053" s="17"/>
      <c r="D1053" s="16"/>
      <c r="E1053" s="18"/>
      <c r="F1053" s="16"/>
      <c r="G1053" s="16"/>
      <c r="H1053" s="16"/>
      <c r="I1053" s="16"/>
    </row>
    <row r="1054" spans="1:11" x14ac:dyDescent="0.3">
      <c r="A1054" s="15" t="s">
        <v>17</v>
      </c>
      <c r="B1054" s="28">
        <v>11814.718000000001</v>
      </c>
      <c r="C1054" s="28">
        <v>5233.6360000000004</v>
      </c>
      <c r="D1054" s="28">
        <v>28288.188000000002</v>
      </c>
      <c r="E1054" s="28">
        <v>17555.688000000002</v>
      </c>
      <c r="F1054" s="28">
        <v>43143.188000000002</v>
      </c>
      <c r="G1054" s="28">
        <v>49322.858000000007</v>
      </c>
      <c r="H1054" s="28">
        <v>32457.89</v>
      </c>
      <c r="I1054" s="19">
        <f>SUM(B1054:H1054)</f>
        <v>187816.16600000003</v>
      </c>
    </row>
    <row r="1055" spans="1:11" x14ac:dyDescent="0.3">
      <c r="A1055" s="15" t="s">
        <v>18</v>
      </c>
      <c r="B1055" s="28">
        <v>9452.9920999999995</v>
      </c>
      <c r="C1055" s="28">
        <v>9808.8991999999998</v>
      </c>
      <c r="D1055" s="28">
        <v>26650.557600000004</v>
      </c>
      <c r="E1055" s="28">
        <v>19172.7961</v>
      </c>
      <c r="F1055" s="28">
        <v>40747.371100000004</v>
      </c>
      <c r="G1055" s="28">
        <v>56629.749100000001</v>
      </c>
      <c r="H1055" s="28">
        <v>31145.823499999999</v>
      </c>
      <c r="I1055" s="19">
        <f t="shared" ref="I1055:I1058" si="160">SUM(B1055:H1055)</f>
        <v>193608.1887</v>
      </c>
    </row>
    <row r="1056" spans="1:11" x14ac:dyDescent="0.3">
      <c r="A1056" s="15" t="s">
        <v>19</v>
      </c>
      <c r="B1056" s="28">
        <v>6959.0429000000004</v>
      </c>
      <c r="C1056" s="28">
        <v>4992.0478000000003</v>
      </c>
      <c r="D1056" s="28">
        <v>17566.407400000004</v>
      </c>
      <c r="E1056" s="28">
        <v>11175.329900000001</v>
      </c>
      <c r="F1056" s="28">
        <v>27505.869899999998</v>
      </c>
      <c r="G1056" s="28">
        <v>35282.725900000005</v>
      </c>
      <c r="H1056" s="28">
        <v>20762.178499999998</v>
      </c>
      <c r="I1056" s="19">
        <f t="shared" si="160"/>
        <v>124243.6023</v>
      </c>
    </row>
    <row r="1057" spans="1:9" x14ac:dyDescent="0.3">
      <c r="A1057" s="15" t="s">
        <v>21</v>
      </c>
      <c r="B1057" s="28">
        <v>0</v>
      </c>
      <c r="C1057" s="28">
        <v>0</v>
      </c>
      <c r="D1057" s="28">
        <v>3120</v>
      </c>
      <c r="E1057" s="28">
        <v>3120</v>
      </c>
      <c r="F1057" s="28">
        <v>1120</v>
      </c>
      <c r="G1057" s="28">
        <v>0</v>
      </c>
      <c r="H1057" s="28">
        <v>0</v>
      </c>
      <c r="I1057" s="19">
        <f t="shared" si="160"/>
        <v>7360</v>
      </c>
    </row>
    <row r="1058" spans="1:9" ht="19.5" thickBot="1" x14ac:dyDescent="0.35">
      <c r="A1058" s="15" t="s">
        <v>22</v>
      </c>
      <c r="B1058" s="28">
        <v>0</v>
      </c>
      <c r="C1058" s="28">
        <v>0</v>
      </c>
      <c r="D1058" s="28">
        <v>0</v>
      </c>
      <c r="E1058" s="28">
        <v>0</v>
      </c>
      <c r="F1058" s="28">
        <v>0</v>
      </c>
      <c r="G1058" s="28">
        <v>0</v>
      </c>
      <c r="H1058" s="28">
        <v>0</v>
      </c>
      <c r="I1058" s="19">
        <f t="shared" si="160"/>
        <v>0</v>
      </c>
    </row>
    <row r="1059" spans="1:9" ht="19.5" thickBot="1" x14ac:dyDescent="0.35">
      <c r="A1059" s="20" t="s">
        <v>7</v>
      </c>
      <c r="B1059" s="21">
        <f>SUM(B1054:B1058)</f>
        <v>28226.753000000001</v>
      </c>
      <c r="C1059" s="21">
        <f>SUM(C1054:C1058)</f>
        <v>20034.582999999999</v>
      </c>
      <c r="D1059" s="21">
        <f t="shared" ref="D1059:H1059" si="161">SUM(D1054:D1058)</f>
        <v>75625.15300000002</v>
      </c>
      <c r="E1059" s="21">
        <f t="shared" si="161"/>
        <v>51023.813999999998</v>
      </c>
      <c r="F1059" s="21">
        <f t="shared" si="161"/>
        <v>112516.429</v>
      </c>
      <c r="G1059" s="21">
        <f t="shared" si="161"/>
        <v>141235.33300000001</v>
      </c>
      <c r="H1059" s="21">
        <f t="shared" si="161"/>
        <v>84365.891999999993</v>
      </c>
      <c r="I1059" s="21">
        <f>SUM(I1054:I1058)</f>
        <v>513027.95700000005</v>
      </c>
    </row>
    <row r="1060" spans="1:9" ht="19.5" thickTop="1" x14ac:dyDescent="0.3">
      <c r="A1060" s="22" t="s">
        <v>20</v>
      </c>
      <c r="B1060" s="23">
        <f>5817.85*0.6</f>
        <v>3490.71</v>
      </c>
      <c r="C1060" s="23">
        <f>13385.12*0.6</f>
        <v>8031.0720000000001</v>
      </c>
      <c r="D1060" s="23">
        <f>15175.22*0.6</f>
        <v>9105.1319999999996</v>
      </c>
      <c r="E1060" s="23">
        <f>10049.01*0.6</f>
        <v>6029.4059999999999</v>
      </c>
      <c r="F1060" s="23">
        <f>21399.91*0.6</f>
        <v>12839.946</v>
      </c>
      <c r="G1060" s="23">
        <f>50204.35*0.6</f>
        <v>30122.609999999997</v>
      </c>
      <c r="H1060" s="23">
        <f>24858.07*0.6</f>
        <v>14914.841999999999</v>
      </c>
      <c r="I1060" s="23">
        <f>SUM(B1060:H1060)</f>
        <v>84533.717999999993</v>
      </c>
    </row>
    <row r="1061" spans="1:9" x14ac:dyDescent="0.3">
      <c r="A1061" s="24" t="s">
        <v>25</v>
      </c>
      <c r="B1061" s="25"/>
      <c r="C1061" s="25"/>
      <c r="D1061" s="25"/>
      <c r="E1061" s="25"/>
      <c r="F1061" s="25"/>
      <c r="G1061" s="25"/>
      <c r="H1061" s="25"/>
      <c r="I1061" s="25"/>
    </row>
    <row r="1062" spans="1:9" x14ac:dyDescent="0.3">
      <c r="A1062" s="26" t="s">
        <v>23</v>
      </c>
      <c r="B1062" s="25">
        <v>0</v>
      </c>
      <c r="C1062" s="25">
        <v>0</v>
      </c>
      <c r="D1062" s="25">
        <f>6000/1.229</f>
        <v>4882.0179007323022</v>
      </c>
      <c r="E1062" s="25">
        <f>6000/1.229</f>
        <v>4882.0179007323022</v>
      </c>
      <c r="F1062" s="25">
        <f>30000/1.229</f>
        <v>24410.089503661511</v>
      </c>
      <c r="G1062" s="25"/>
      <c r="H1062" s="25">
        <v>0</v>
      </c>
      <c r="I1062" s="25">
        <f>SUM(B1062:H1062)</f>
        <v>34174.125305126116</v>
      </c>
    </row>
    <row r="1063" spans="1:9" ht="19.5" thickBot="1" x14ac:dyDescent="0.35">
      <c r="A1063" s="27" t="s">
        <v>24</v>
      </c>
      <c r="B1063" s="25">
        <v>0</v>
      </c>
      <c r="C1063" s="25">
        <v>0</v>
      </c>
      <c r="D1063" s="25">
        <v>0</v>
      </c>
      <c r="E1063" s="25">
        <f>10000/1.229</f>
        <v>8136.6965012205037</v>
      </c>
      <c r="F1063" s="25">
        <f>20000/1.229</f>
        <v>16273.393002441007</v>
      </c>
      <c r="G1063" s="25">
        <f>20000/1.229</f>
        <v>16273.393002441007</v>
      </c>
      <c r="H1063" s="25">
        <v>0</v>
      </c>
      <c r="I1063" s="25">
        <f>SUM(B1063:H1063)</f>
        <v>40683.482506102519</v>
      </c>
    </row>
    <row r="1065" spans="1:9" x14ac:dyDescent="0.3">
      <c r="A1065" s="4" t="s">
        <v>86</v>
      </c>
      <c r="B1065" s="5" t="s">
        <v>0</v>
      </c>
      <c r="C1065" s="5" t="s">
        <v>1</v>
      </c>
      <c r="D1065" s="5" t="s">
        <v>2</v>
      </c>
      <c r="E1065" s="6" t="s">
        <v>3</v>
      </c>
      <c r="F1065" s="5" t="s">
        <v>4</v>
      </c>
      <c r="G1065" s="5" t="s">
        <v>5</v>
      </c>
      <c r="H1065" s="5" t="s">
        <v>6</v>
      </c>
      <c r="I1065" s="5" t="s">
        <v>7</v>
      </c>
    </row>
    <row r="1066" spans="1:9" x14ac:dyDescent="0.3">
      <c r="A1066" s="7"/>
      <c r="B1066" s="8">
        <v>45551</v>
      </c>
      <c r="C1066" s="8">
        <v>45552</v>
      </c>
      <c r="D1066" s="8">
        <v>45553</v>
      </c>
      <c r="E1066" s="8">
        <v>45554</v>
      </c>
      <c r="F1066" s="8">
        <v>45555</v>
      </c>
      <c r="G1066" s="8">
        <v>45556</v>
      </c>
      <c r="H1066" s="8">
        <v>45557</v>
      </c>
      <c r="I1066" s="9"/>
    </row>
    <row r="1067" spans="1:9" ht="19.5" thickBot="1" x14ac:dyDescent="0.35">
      <c r="A1067" s="10" t="s">
        <v>8</v>
      </c>
      <c r="B1067" s="11" t="s">
        <v>9</v>
      </c>
      <c r="C1067" s="11" t="s">
        <v>9</v>
      </c>
      <c r="D1067" s="11" t="s">
        <v>9</v>
      </c>
      <c r="E1067" s="11" t="s">
        <v>9</v>
      </c>
      <c r="F1067" s="11" t="s">
        <v>9</v>
      </c>
      <c r="G1067" s="11" t="s">
        <v>9</v>
      </c>
      <c r="H1067" s="11" t="s">
        <v>9</v>
      </c>
      <c r="I1067" s="12" t="s">
        <v>9</v>
      </c>
    </row>
    <row r="1068" spans="1:9" x14ac:dyDescent="0.3">
      <c r="A1068" s="13" t="s">
        <v>10</v>
      </c>
      <c r="B1068" s="14">
        <v>52</v>
      </c>
      <c r="C1068" s="14">
        <v>46</v>
      </c>
      <c r="D1068" s="14">
        <v>48</v>
      </c>
      <c r="E1068" s="14">
        <v>47</v>
      </c>
      <c r="F1068" s="14">
        <v>47</v>
      </c>
      <c r="G1068" s="14">
        <v>47</v>
      </c>
      <c r="H1068" s="14">
        <v>47</v>
      </c>
      <c r="I1068" s="14"/>
    </row>
    <row r="1069" spans="1:9" x14ac:dyDescent="0.3">
      <c r="A1069" s="15" t="s">
        <v>11</v>
      </c>
      <c r="B1069" s="16">
        <v>1</v>
      </c>
      <c r="C1069" s="16">
        <v>2</v>
      </c>
      <c r="D1069" s="16">
        <v>2</v>
      </c>
      <c r="E1069" s="16">
        <v>1</v>
      </c>
      <c r="F1069" s="16">
        <v>1</v>
      </c>
      <c r="G1069" s="16">
        <v>1</v>
      </c>
      <c r="H1069" s="16">
        <v>2</v>
      </c>
      <c r="I1069" s="16">
        <f>SUM(B1069:H1069)</f>
        <v>10</v>
      </c>
    </row>
    <row r="1070" spans="1:9" x14ac:dyDescent="0.3">
      <c r="A1070" s="15" t="s">
        <v>12</v>
      </c>
      <c r="B1070" s="16">
        <v>21</v>
      </c>
      <c r="C1070" s="16">
        <v>26</v>
      </c>
      <c r="D1070" s="16">
        <v>22</v>
      </c>
      <c r="E1070" s="16">
        <v>21</v>
      </c>
      <c r="F1070" s="16">
        <v>28</v>
      </c>
      <c r="G1070" s="16">
        <v>22</v>
      </c>
      <c r="H1070" s="16">
        <v>24</v>
      </c>
      <c r="I1070" s="16">
        <f t="shared" ref="I1070:I1078" si="162">SUM(B1070:H1070)</f>
        <v>164</v>
      </c>
    </row>
    <row r="1071" spans="1:9" x14ac:dyDescent="0.3">
      <c r="A1071" s="15" t="s">
        <v>30</v>
      </c>
      <c r="B1071" s="16">
        <v>0</v>
      </c>
      <c r="C1071" s="16">
        <v>0</v>
      </c>
      <c r="D1071" s="16">
        <v>0</v>
      </c>
      <c r="E1071" s="16">
        <v>0</v>
      </c>
      <c r="F1071" s="16">
        <v>0</v>
      </c>
      <c r="G1071" s="16">
        <v>0</v>
      </c>
      <c r="H1071" s="16">
        <v>0</v>
      </c>
      <c r="I1071" s="16">
        <f t="shared" si="162"/>
        <v>0</v>
      </c>
    </row>
    <row r="1072" spans="1:9" x14ac:dyDescent="0.3">
      <c r="A1072" s="15" t="s">
        <v>28</v>
      </c>
      <c r="B1072" s="16">
        <v>22</v>
      </c>
      <c r="C1072" s="16">
        <v>16</v>
      </c>
      <c r="D1072" s="16">
        <v>18</v>
      </c>
      <c r="E1072" s="16">
        <v>33</v>
      </c>
      <c r="F1072" s="16">
        <v>118</v>
      </c>
      <c r="G1072" s="16">
        <v>321</v>
      </c>
      <c r="H1072" s="16">
        <v>70</v>
      </c>
      <c r="I1072" s="16">
        <f t="shared" si="162"/>
        <v>598</v>
      </c>
    </row>
    <row r="1073" spans="1:10" x14ac:dyDescent="0.3">
      <c r="A1073" s="15" t="s">
        <v>29</v>
      </c>
      <c r="B1073" s="16">
        <v>0</v>
      </c>
      <c r="C1073" s="16">
        <v>0</v>
      </c>
      <c r="D1073" s="16">
        <v>0</v>
      </c>
      <c r="E1073" s="16">
        <v>0</v>
      </c>
      <c r="F1073" s="16">
        <v>2</v>
      </c>
      <c r="G1073" s="16">
        <v>27</v>
      </c>
      <c r="H1073" s="16">
        <v>22</v>
      </c>
      <c r="I1073" s="16">
        <f t="shared" si="162"/>
        <v>51</v>
      </c>
      <c r="J1073" s="1">
        <v>697</v>
      </c>
    </row>
    <row r="1074" spans="1:10" x14ac:dyDescent="0.3">
      <c r="A1074" s="15" t="s">
        <v>31</v>
      </c>
      <c r="B1074" s="16">
        <v>1</v>
      </c>
      <c r="C1074" s="16">
        <v>0</v>
      </c>
      <c r="D1074" s="16">
        <v>0</v>
      </c>
      <c r="E1074" s="16">
        <v>2</v>
      </c>
      <c r="F1074" s="16">
        <v>0</v>
      </c>
      <c r="G1074" s="16">
        <v>17</v>
      </c>
      <c r="H1074" s="16">
        <v>16</v>
      </c>
      <c r="I1074" s="16">
        <f t="shared" si="162"/>
        <v>36</v>
      </c>
    </row>
    <row r="1075" spans="1:10" x14ac:dyDescent="0.3">
      <c r="A1075" s="15" t="s">
        <v>13</v>
      </c>
      <c r="B1075" s="16">
        <v>0</v>
      </c>
      <c r="C1075" s="16">
        <v>0</v>
      </c>
      <c r="D1075" s="16">
        <v>0</v>
      </c>
      <c r="E1075" s="16">
        <v>0</v>
      </c>
      <c r="F1075" s="16">
        <v>5</v>
      </c>
      <c r="G1075" s="16">
        <v>3</v>
      </c>
      <c r="H1075" s="16">
        <v>2</v>
      </c>
      <c r="I1075" s="16">
        <f t="shared" si="162"/>
        <v>10</v>
      </c>
    </row>
    <row r="1076" spans="1:10" x14ac:dyDescent="0.3">
      <c r="A1076" s="15" t="s">
        <v>14</v>
      </c>
      <c r="B1076" s="16">
        <v>0</v>
      </c>
      <c r="C1076" s="16">
        <v>0</v>
      </c>
      <c r="D1076" s="16">
        <v>0</v>
      </c>
      <c r="E1076" s="16">
        <v>0</v>
      </c>
      <c r="F1076" s="16">
        <v>2</v>
      </c>
      <c r="G1076" s="16">
        <v>0</v>
      </c>
      <c r="H1076" s="16">
        <v>0</v>
      </c>
      <c r="I1076" s="16">
        <f t="shared" si="162"/>
        <v>2</v>
      </c>
    </row>
    <row r="1077" spans="1:10" x14ac:dyDescent="0.3">
      <c r="A1077" s="15" t="s">
        <v>32</v>
      </c>
      <c r="B1077" s="16">
        <v>0</v>
      </c>
      <c r="C1077" s="16">
        <v>0</v>
      </c>
      <c r="D1077" s="16">
        <v>0</v>
      </c>
      <c r="E1077" s="16">
        <v>0</v>
      </c>
      <c r="F1077" s="16">
        <v>0</v>
      </c>
      <c r="G1077" s="16">
        <v>0</v>
      </c>
      <c r="H1077" s="16">
        <v>0</v>
      </c>
      <c r="I1077" s="16">
        <f t="shared" si="162"/>
        <v>0</v>
      </c>
    </row>
    <row r="1078" spans="1:10" x14ac:dyDescent="0.3">
      <c r="A1078" s="15" t="s">
        <v>33</v>
      </c>
      <c r="B1078" s="16">
        <v>0</v>
      </c>
      <c r="C1078" s="16">
        <v>0</v>
      </c>
      <c r="D1078" s="16">
        <v>0</v>
      </c>
      <c r="E1078" s="16">
        <v>0</v>
      </c>
      <c r="F1078" s="16">
        <v>0</v>
      </c>
      <c r="G1078" s="16">
        <v>0</v>
      </c>
      <c r="H1078" s="16">
        <v>0</v>
      </c>
      <c r="I1078" s="16">
        <f t="shared" si="162"/>
        <v>0</v>
      </c>
    </row>
    <row r="1079" spans="1:10" ht="19.5" thickBot="1" x14ac:dyDescent="0.35">
      <c r="A1079" s="30" t="s">
        <v>15</v>
      </c>
      <c r="B1079" s="31">
        <f t="shared" ref="B1079:H1079" si="163">(B1070+B1069)/B1068*100%</f>
        <v>0.42307692307692307</v>
      </c>
      <c r="C1079" s="31">
        <f t="shared" si="163"/>
        <v>0.60869565217391308</v>
      </c>
      <c r="D1079" s="31">
        <f t="shared" si="163"/>
        <v>0.5</v>
      </c>
      <c r="E1079" s="31">
        <f t="shared" si="163"/>
        <v>0.46808510638297873</v>
      </c>
      <c r="F1079" s="31">
        <f t="shared" si="163"/>
        <v>0.61702127659574468</v>
      </c>
      <c r="G1079" s="31">
        <f t="shared" si="163"/>
        <v>0.48936170212765956</v>
      </c>
      <c r="H1079" s="31">
        <f t="shared" si="163"/>
        <v>0.55319148936170215</v>
      </c>
      <c r="I1079" s="32">
        <f>(B1079+C1079+D1079+E1079+F1079+G1079+H1079)/7</f>
        <v>0.52277602138841739</v>
      </c>
    </row>
    <row r="1080" spans="1:10" x14ac:dyDescent="0.3">
      <c r="A1080" s="67" t="s">
        <v>16</v>
      </c>
      <c r="B1080" s="16"/>
      <c r="C1080" s="17"/>
      <c r="D1080" s="16"/>
      <c r="E1080" s="18"/>
      <c r="F1080" s="16"/>
      <c r="G1080" s="16"/>
      <c r="H1080" s="16"/>
      <c r="I1080" s="16"/>
    </row>
    <row r="1081" spans="1:10" x14ac:dyDescent="0.3">
      <c r="A1081" s="15" t="s">
        <v>17</v>
      </c>
      <c r="B1081" s="28">
        <v>27581.6875</v>
      </c>
      <c r="C1081" s="28">
        <v>51012.194300000003</v>
      </c>
      <c r="D1081" s="28">
        <v>39620.604999999996</v>
      </c>
      <c r="E1081" s="28">
        <v>30641.123649999998</v>
      </c>
      <c r="F1081" s="28">
        <v>58501.691699999996</v>
      </c>
      <c r="G1081" s="28">
        <v>67137.135999999999</v>
      </c>
      <c r="H1081" s="28">
        <v>75070.570000000007</v>
      </c>
      <c r="I1081" s="19">
        <f>SUM(B1081:H1081)</f>
        <v>349565.00815000001</v>
      </c>
    </row>
    <row r="1082" spans="1:10" x14ac:dyDescent="0.3">
      <c r="A1082" s="15" t="s">
        <v>18</v>
      </c>
      <c r="B1082" s="28">
        <v>26827.428400000004</v>
      </c>
      <c r="C1082" s="28">
        <v>41574.621310000002</v>
      </c>
      <c r="D1082" s="28">
        <v>34076.512400000007</v>
      </c>
      <c r="E1082" s="28">
        <v>30582.581560000002</v>
      </c>
      <c r="F1082" s="28">
        <v>71472.988060000003</v>
      </c>
      <c r="G1082" s="28">
        <v>115336.02720000001</v>
      </c>
      <c r="H1082" s="28">
        <v>70084.709000000003</v>
      </c>
      <c r="I1082" s="19">
        <f t="shared" ref="I1082:I1085" si="164">SUM(B1082:H1082)</f>
        <v>389954.86793000007</v>
      </c>
    </row>
    <row r="1083" spans="1:10" x14ac:dyDescent="0.3">
      <c r="A1083" s="15" t="s">
        <v>19</v>
      </c>
      <c r="B1083" s="28">
        <v>17076.583899999998</v>
      </c>
      <c r="C1083" s="28">
        <v>30456.53919</v>
      </c>
      <c r="D1083" s="28">
        <v>23190.3318</v>
      </c>
      <c r="E1083" s="28">
        <v>20416.746149999999</v>
      </c>
      <c r="F1083" s="28">
        <v>41414.806879999996</v>
      </c>
      <c r="G1083" s="28">
        <v>61460.418799999999</v>
      </c>
      <c r="H1083" s="28">
        <v>51671.813999999998</v>
      </c>
      <c r="I1083" s="19">
        <f t="shared" si="164"/>
        <v>245687.24072</v>
      </c>
    </row>
    <row r="1084" spans="1:10" x14ac:dyDescent="0.3">
      <c r="A1084" s="15" t="s">
        <v>21</v>
      </c>
      <c r="B1084" s="28">
        <v>4928.0712000000003</v>
      </c>
      <c r="C1084" s="28">
        <v>4704.0871999999999</v>
      </c>
      <c r="D1084" s="28">
        <v>4704.0879999999997</v>
      </c>
      <c r="E1084" s="28">
        <v>4928.0914400000001</v>
      </c>
      <c r="F1084" s="28">
        <v>4928.0913600000003</v>
      </c>
      <c r="G1084" s="28">
        <v>0</v>
      </c>
      <c r="H1084" s="28">
        <v>0</v>
      </c>
      <c r="I1084" s="19">
        <f t="shared" si="164"/>
        <v>24192.429199999999</v>
      </c>
    </row>
    <row r="1085" spans="1:10" ht="19.5" thickBot="1" x14ac:dyDescent="0.35">
      <c r="A1085" s="15" t="s">
        <v>22</v>
      </c>
      <c r="B1085" s="28">
        <v>0</v>
      </c>
      <c r="C1085" s="28">
        <v>0</v>
      </c>
      <c r="D1085" s="28">
        <v>0</v>
      </c>
      <c r="E1085" s="28">
        <v>0</v>
      </c>
      <c r="F1085" s="28">
        <v>0</v>
      </c>
      <c r="G1085" s="28">
        <v>0</v>
      </c>
      <c r="H1085" s="28">
        <v>0</v>
      </c>
      <c r="I1085" s="19">
        <f t="shared" si="164"/>
        <v>0</v>
      </c>
    </row>
    <row r="1086" spans="1:10" ht="19.5" thickBot="1" x14ac:dyDescent="0.35">
      <c r="A1086" s="20" t="s">
        <v>7</v>
      </c>
      <c r="B1086" s="21">
        <f>SUM(B1081:B1085)</f>
        <v>76413.771000000008</v>
      </c>
      <c r="C1086" s="21">
        <f>SUM(C1081:C1085)</f>
        <v>127747.442</v>
      </c>
      <c r="D1086" s="21">
        <f t="shared" ref="D1086:H1086" si="165">SUM(D1081:D1085)</f>
        <v>101591.53720000001</v>
      </c>
      <c r="E1086" s="21">
        <f t="shared" si="165"/>
        <v>86568.54280000001</v>
      </c>
      <c r="F1086" s="21">
        <f t="shared" si="165"/>
        <v>176317.57799999998</v>
      </c>
      <c r="G1086" s="21">
        <f t="shared" si="165"/>
        <v>243933.58199999999</v>
      </c>
      <c r="H1086" s="21">
        <f t="shared" si="165"/>
        <v>196827.09299999999</v>
      </c>
      <c r="I1086" s="21">
        <f>SUM(I1081:I1085)</f>
        <v>1009399.5460000001</v>
      </c>
    </row>
    <row r="1087" spans="1:10" ht="19.5" thickTop="1" x14ac:dyDescent="0.3">
      <c r="A1087" s="22" t="s">
        <v>20</v>
      </c>
      <c r="B1087" s="23">
        <f>11920.48*0.6</f>
        <v>7152.2879999999996</v>
      </c>
      <c r="C1087" s="23">
        <f>8462.327*0.6</f>
        <v>5077.3961999999992</v>
      </c>
      <c r="D1087" s="23">
        <f>9520.112*0.6</f>
        <v>5712.0671999999995</v>
      </c>
      <c r="E1087" s="23">
        <f>18023.12*0.6</f>
        <v>10813.871999999999</v>
      </c>
      <c r="F1087" s="23">
        <f>59147.442*0.6</f>
        <v>35488.465199999999</v>
      </c>
      <c r="G1087" s="23">
        <f>152313.36*0.6</f>
        <v>91388.015999999989</v>
      </c>
      <c r="H1087" s="23">
        <f>46257.98*0.6</f>
        <v>27754.788</v>
      </c>
      <c r="I1087" s="23">
        <f>SUM(B1087:H1087)</f>
        <v>183386.89259999999</v>
      </c>
    </row>
    <row r="1088" spans="1:10" x14ac:dyDescent="0.3">
      <c r="A1088" s="24" t="s">
        <v>25</v>
      </c>
      <c r="B1088" s="25"/>
      <c r="C1088" s="25"/>
      <c r="D1088" s="25"/>
      <c r="E1088" s="25"/>
      <c r="F1088" s="25"/>
      <c r="G1088" s="25"/>
      <c r="H1088" s="25"/>
      <c r="I1088" s="25"/>
    </row>
    <row r="1089" spans="1:10" x14ac:dyDescent="0.3">
      <c r="A1089" s="26" t="s">
        <v>23</v>
      </c>
      <c r="B1089" s="25">
        <f t="shared" ref="B1089:G1089" si="166">30000/1.229</f>
        <v>24410.089503661511</v>
      </c>
      <c r="C1089" s="25">
        <f t="shared" si="166"/>
        <v>24410.089503661511</v>
      </c>
      <c r="D1089" s="25">
        <f t="shared" si="166"/>
        <v>24410.089503661511</v>
      </c>
      <c r="E1089" s="25">
        <f t="shared" si="166"/>
        <v>24410.089503661511</v>
      </c>
      <c r="F1089" s="25">
        <f t="shared" si="166"/>
        <v>24410.089503661511</v>
      </c>
      <c r="G1089" s="25">
        <f t="shared" si="166"/>
        <v>24410.089503661511</v>
      </c>
      <c r="H1089" s="25">
        <f>60000/1.229</f>
        <v>48820.179007323022</v>
      </c>
      <c r="I1089" s="25">
        <f>SUM(B1089:H1089)</f>
        <v>195280.71602929209</v>
      </c>
    </row>
    <row r="1090" spans="1:10" ht="19.5" thickBot="1" x14ac:dyDescent="0.35">
      <c r="A1090" s="27" t="s">
        <v>24</v>
      </c>
      <c r="B1090" s="25">
        <v>0</v>
      </c>
      <c r="C1090" s="25">
        <f>30000/1.229</f>
        <v>24410.089503661511</v>
      </c>
      <c r="D1090" s="25">
        <f>30000/1.229</f>
        <v>24410.089503661511</v>
      </c>
      <c r="E1090" s="25">
        <v>0</v>
      </c>
      <c r="F1090" s="25">
        <v>0</v>
      </c>
      <c r="G1090" s="25">
        <v>0</v>
      </c>
      <c r="H1090" s="25">
        <v>0</v>
      </c>
      <c r="I1090" s="25">
        <f>SUM(B1090:H1090)</f>
        <v>48820.179007323022</v>
      </c>
    </row>
    <row r="1091" spans="1:10" x14ac:dyDescent="0.3">
      <c r="A1091" s="16"/>
      <c r="B1091" s="19"/>
      <c r="C1091" s="19"/>
      <c r="D1091" s="19"/>
      <c r="E1091" s="19"/>
      <c r="F1091" s="19"/>
      <c r="G1091" s="19"/>
      <c r="H1091" s="19"/>
      <c r="I1091" s="19"/>
    </row>
    <row r="1093" spans="1:10" x14ac:dyDescent="0.3">
      <c r="A1093" s="4" t="s">
        <v>87</v>
      </c>
      <c r="B1093" s="5" t="s">
        <v>0</v>
      </c>
      <c r="C1093" s="5" t="s">
        <v>1</v>
      </c>
      <c r="D1093" s="5" t="s">
        <v>2</v>
      </c>
      <c r="E1093" s="6" t="s">
        <v>3</v>
      </c>
      <c r="F1093" s="5" t="s">
        <v>4</v>
      </c>
      <c r="G1093" s="5" t="s">
        <v>5</v>
      </c>
      <c r="H1093" s="5" t="s">
        <v>6</v>
      </c>
      <c r="I1093" s="5" t="s">
        <v>7</v>
      </c>
    </row>
    <row r="1094" spans="1:10" x14ac:dyDescent="0.3">
      <c r="A1094" s="7"/>
      <c r="B1094" s="8">
        <v>45558</v>
      </c>
      <c r="C1094" s="8">
        <v>45559</v>
      </c>
      <c r="D1094" s="8">
        <v>45560</v>
      </c>
      <c r="E1094" s="8">
        <v>45561</v>
      </c>
      <c r="F1094" s="8">
        <v>45562</v>
      </c>
      <c r="G1094" s="8">
        <v>45563</v>
      </c>
      <c r="H1094" s="8">
        <v>45564</v>
      </c>
      <c r="I1094" s="9"/>
    </row>
    <row r="1095" spans="1:10" ht="19.5" thickBot="1" x14ac:dyDescent="0.35">
      <c r="A1095" s="10" t="s">
        <v>8</v>
      </c>
      <c r="B1095" s="11" t="s">
        <v>9</v>
      </c>
      <c r="C1095" s="11" t="s">
        <v>9</v>
      </c>
      <c r="D1095" s="11" t="s">
        <v>9</v>
      </c>
      <c r="E1095" s="11" t="s">
        <v>9</v>
      </c>
      <c r="F1095" s="11" t="s">
        <v>9</v>
      </c>
      <c r="G1095" s="11" t="s">
        <v>9</v>
      </c>
      <c r="H1095" s="11" t="s">
        <v>9</v>
      </c>
      <c r="I1095" s="12" t="s">
        <v>9</v>
      </c>
    </row>
    <row r="1096" spans="1:10" x14ac:dyDescent="0.3">
      <c r="A1096" s="13" t="s">
        <v>10</v>
      </c>
      <c r="B1096" s="14">
        <v>48</v>
      </c>
      <c r="C1096" s="14">
        <v>51</v>
      </c>
      <c r="D1096" s="14">
        <v>51</v>
      </c>
      <c r="E1096" s="14">
        <v>50</v>
      </c>
      <c r="F1096" s="14">
        <v>53</v>
      </c>
      <c r="G1096" s="14">
        <v>49</v>
      </c>
      <c r="H1096" s="14">
        <v>48</v>
      </c>
      <c r="I1096" s="14"/>
    </row>
    <row r="1097" spans="1:10" x14ac:dyDescent="0.3">
      <c r="A1097" s="15" t="s">
        <v>11</v>
      </c>
      <c r="B1097" s="16">
        <v>2</v>
      </c>
      <c r="C1097" s="16">
        <v>2</v>
      </c>
      <c r="D1097" s="16">
        <v>2</v>
      </c>
      <c r="E1097" s="16">
        <v>2</v>
      </c>
      <c r="F1097" s="16">
        <v>0</v>
      </c>
      <c r="G1097" s="16">
        <v>0</v>
      </c>
      <c r="H1097" s="16">
        <v>0</v>
      </c>
      <c r="I1097" s="16">
        <f>SUM(B1097:H1097)</f>
        <v>8</v>
      </c>
      <c r="J1097" s="1">
        <f t="shared" ref="J1097:J1099" si="167">I1097+I1069+I1042+I1015+H988+B1125</f>
        <v>42</v>
      </c>
    </row>
    <row r="1098" spans="1:10" x14ac:dyDescent="0.3">
      <c r="A1098" s="15" t="s">
        <v>12</v>
      </c>
      <c r="B1098" s="16">
        <v>18</v>
      </c>
      <c r="C1098" s="16">
        <v>15</v>
      </c>
      <c r="D1098" s="16">
        <v>23</v>
      </c>
      <c r="E1098" s="16">
        <v>11</v>
      </c>
      <c r="F1098" s="16">
        <v>13</v>
      </c>
      <c r="G1098" s="16">
        <v>17</v>
      </c>
      <c r="H1098" s="16">
        <v>1</v>
      </c>
      <c r="I1098" s="16">
        <f t="shared" ref="I1098:I1106" si="168">SUM(B1098:H1098)</f>
        <v>98</v>
      </c>
      <c r="J1098" s="1">
        <f t="shared" si="167"/>
        <v>507</v>
      </c>
    </row>
    <row r="1099" spans="1:10" x14ac:dyDescent="0.3">
      <c r="A1099" s="15" t="s">
        <v>30</v>
      </c>
      <c r="B1099" s="16">
        <v>0</v>
      </c>
      <c r="C1099" s="16">
        <v>0</v>
      </c>
      <c r="D1099" s="16">
        <v>0</v>
      </c>
      <c r="E1099" s="16">
        <v>0</v>
      </c>
      <c r="F1099" s="16">
        <v>0</v>
      </c>
      <c r="G1099" s="16">
        <v>1</v>
      </c>
      <c r="H1099" s="16">
        <v>1</v>
      </c>
      <c r="I1099" s="16">
        <f t="shared" si="168"/>
        <v>2</v>
      </c>
      <c r="J1099" s="1">
        <f t="shared" si="167"/>
        <v>2</v>
      </c>
    </row>
    <row r="1100" spans="1:10" x14ac:dyDescent="0.3">
      <c r="A1100" s="15" t="s">
        <v>28</v>
      </c>
      <c r="B1100" s="16">
        <v>145</v>
      </c>
      <c r="C1100" s="16">
        <v>68</v>
      </c>
      <c r="D1100" s="16">
        <v>80</v>
      </c>
      <c r="E1100" s="16">
        <v>8</v>
      </c>
      <c r="F1100" s="16">
        <v>52</v>
      </c>
      <c r="G1100" s="16">
        <v>225</v>
      </c>
      <c r="H1100" s="16">
        <v>20</v>
      </c>
      <c r="I1100" s="16">
        <f t="shared" si="168"/>
        <v>598</v>
      </c>
      <c r="J1100" s="1">
        <f>I1100+I1072+I1045+I1018+H991+B1128</f>
        <v>2167</v>
      </c>
    </row>
    <row r="1101" spans="1:10" x14ac:dyDescent="0.3">
      <c r="A1101" s="15" t="s">
        <v>29</v>
      </c>
      <c r="B1101" s="16">
        <v>39</v>
      </c>
      <c r="C1101" s="16">
        <v>0</v>
      </c>
      <c r="D1101" s="16">
        <v>0</v>
      </c>
      <c r="E1101" s="16">
        <v>1</v>
      </c>
      <c r="F1101" s="16">
        <v>0</v>
      </c>
      <c r="G1101" s="16">
        <v>45</v>
      </c>
      <c r="H1101" s="16">
        <v>3</v>
      </c>
      <c r="I1101" s="16">
        <f t="shared" si="168"/>
        <v>88</v>
      </c>
      <c r="J1101" s="1">
        <f>I1101+I1073+I1046+I1019+H992+B1129</f>
        <v>390</v>
      </c>
    </row>
    <row r="1102" spans="1:10" x14ac:dyDescent="0.3">
      <c r="A1102" s="15" t="s">
        <v>31</v>
      </c>
      <c r="B1102" s="16">
        <v>22</v>
      </c>
      <c r="C1102" s="16">
        <v>0</v>
      </c>
      <c r="D1102" s="16">
        <v>0</v>
      </c>
      <c r="E1102" s="16">
        <v>1</v>
      </c>
      <c r="F1102" s="16">
        <v>1</v>
      </c>
      <c r="G1102" s="16">
        <v>28</v>
      </c>
      <c r="H1102" s="16">
        <v>0</v>
      </c>
      <c r="I1102" s="16">
        <f t="shared" si="168"/>
        <v>52</v>
      </c>
      <c r="J1102" s="1">
        <f t="shared" ref="J1102:J1118" si="169">I1102+I1074+I1047+I1020+H993+B1130</f>
        <v>136</v>
      </c>
    </row>
    <row r="1103" spans="1:10" x14ac:dyDescent="0.3">
      <c r="A1103" s="15" t="s">
        <v>13</v>
      </c>
      <c r="B1103" s="16">
        <v>0</v>
      </c>
      <c r="C1103" s="16">
        <v>0</v>
      </c>
      <c r="D1103" s="16">
        <v>0</v>
      </c>
      <c r="E1103" s="16">
        <v>1</v>
      </c>
      <c r="F1103" s="16">
        <v>0</v>
      </c>
      <c r="G1103" s="16">
        <v>0</v>
      </c>
      <c r="H1103" s="16">
        <v>0</v>
      </c>
      <c r="I1103" s="16">
        <f t="shared" si="168"/>
        <v>1</v>
      </c>
      <c r="J1103" s="1">
        <f t="shared" si="169"/>
        <v>31</v>
      </c>
    </row>
    <row r="1104" spans="1:10" x14ac:dyDescent="0.3">
      <c r="A1104" s="15" t="s">
        <v>14</v>
      </c>
      <c r="B1104" s="16">
        <v>0</v>
      </c>
      <c r="C1104" s="16">
        <v>0</v>
      </c>
      <c r="D1104" s="16">
        <v>0</v>
      </c>
      <c r="E1104" s="16">
        <v>0</v>
      </c>
      <c r="F1104" s="16">
        <v>0</v>
      </c>
      <c r="G1104" s="16">
        <v>0</v>
      </c>
      <c r="H1104" s="16">
        <v>0</v>
      </c>
      <c r="I1104" s="16">
        <f t="shared" si="168"/>
        <v>0</v>
      </c>
      <c r="J1104" s="1">
        <f t="shared" si="169"/>
        <v>4</v>
      </c>
    </row>
    <row r="1105" spans="1:10" x14ac:dyDescent="0.3">
      <c r="A1105" s="15" t="s">
        <v>32</v>
      </c>
      <c r="B1105" s="16">
        <v>0</v>
      </c>
      <c r="C1105" s="16">
        <v>0</v>
      </c>
      <c r="D1105" s="16">
        <v>0</v>
      </c>
      <c r="E1105" s="16">
        <v>0</v>
      </c>
      <c r="F1105" s="16">
        <v>0</v>
      </c>
      <c r="G1105" s="16">
        <v>0</v>
      </c>
      <c r="H1105" s="16">
        <v>0</v>
      </c>
      <c r="I1105" s="16">
        <f t="shared" si="168"/>
        <v>0</v>
      </c>
      <c r="J1105" s="1">
        <f t="shared" si="169"/>
        <v>0</v>
      </c>
    </row>
    <row r="1106" spans="1:10" x14ac:dyDescent="0.3">
      <c r="A1106" s="15" t="s">
        <v>33</v>
      </c>
      <c r="B1106" s="16">
        <v>0</v>
      </c>
      <c r="C1106" s="16">
        <v>0</v>
      </c>
      <c r="D1106" s="16">
        <v>0</v>
      </c>
      <c r="E1106" s="16">
        <v>0</v>
      </c>
      <c r="F1106" s="16">
        <v>0</v>
      </c>
      <c r="G1106" s="16">
        <v>0</v>
      </c>
      <c r="H1106" s="16">
        <v>0</v>
      </c>
      <c r="I1106" s="16">
        <f t="shared" si="168"/>
        <v>0</v>
      </c>
      <c r="J1106" s="1">
        <f t="shared" si="169"/>
        <v>15</v>
      </c>
    </row>
    <row r="1107" spans="1:10" ht="19.5" thickBot="1" x14ac:dyDescent="0.35">
      <c r="A1107" s="30" t="s">
        <v>15</v>
      </c>
      <c r="B1107" s="31">
        <f t="shared" ref="B1107:H1107" si="170">(B1098+B1097)/B1096*100%</f>
        <v>0.41666666666666669</v>
      </c>
      <c r="C1107" s="31">
        <f t="shared" si="170"/>
        <v>0.33333333333333331</v>
      </c>
      <c r="D1107" s="31">
        <f t="shared" si="170"/>
        <v>0.49019607843137253</v>
      </c>
      <c r="E1107" s="31">
        <f t="shared" si="170"/>
        <v>0.26</v>
      </c>
      <c r="F1107" s="31">
        <f t="shared" si="170"/>
        <v>0.24528301886792453</v>
      </c>
      <c r="G1107" s="31">
        <f t="shared" si="170"/>
        <v>0.34693877551020408</v>
      </c>
      <c r="H1107" s="31">
        <f t="shared" si="170"/>
        <v>2.0833333333333332E-2</v>
      </c>
      <c r="I1107" s="32">
        <f>(B1107+C1107+D1107+E1107+F1107+G1107+H1107)/7</f>
        <v>0.30189302944897639</v>
      </c>
      <c r="J1107" s="1">
        <f t="shared" si="169"/>
        <v>2.1716801048961725</v>
      </c>
    </row>
    <row r="1108" spans="1:10" x14ac:dyDescent="0.3">
      <c r="A1108" s="67" t="s">
        <v>16</v>
      </c>
      <c r="B1108" s="16"/>
      <c r="C1108" s="17"/>
      <c r="D1108" s="16"/>
      <c r="E1108" s="18"/>
      <c r="F1108" s="16"/>
      <c r="G1108" s="16"/>
      <c r="H1108" s="16"/>
      <c r="I1108" s="16"/>
      <c r="J1108" s="1">
        <f t="shared" si="169"/>
        <v>0</v>
      </c>
    </row>
    <row r="1109" spans="1:10" x14ac:dyDescent="0.3">
      <c r="A1109" s="15" t="s">
        <v>17</v>
      </c>
      <c r="B1109" s="28">
        <v>32760.085000000003</v>
      </c>
      <c r="C1109" s="28">
        <v>36308.453500000003</v>
      </c>
      <c r="D1109" s="28">
        <v>56036.358050000003</v>
      </c>
      <c r="E1109" s="28">
        <v>20607.86565</v>
      </c>
      <c r="F1109" s="28">
        <v>31348.505649999999</v>
      </c>
      <c r="G1109" s="28">
        <v>41600.934450000001</v>
      </c>
      <c r="H1109" s="28">
        <v>11704.883600000001</v>
      </c>
      <c r="I1109" s="19">
        <f>SUM(B1109:H1109)</f>
        <v>230367.08590000001</v>
      </c>
      <c r="J1109" s="1">
        <f t="shared" si="169"/>
        <v>1131930.3195499999</v>
      </c>
    </row>
    <row r="1110" spans="1:10" x14ac:dyDescent="0.3">
      <c r="A1110" s="15" t="s">
        <v>18</v>
      </c>
      <c r="B1110" s="28">
        <v>69360.034230000005</v>
      </c>
      <c r="C1110" s="28">
        <v>42016.894110000008</v>
      </c>
      <c r="D1110" s="28">
        <v>77512.499940000009</v>
      </c>
      <c r="E1110" s="28">
        <v>18274.360750000003</v>
      </c>
      <c r="F1110" s="28">
        <v>36683.984500000006</v>
      </c>
      <c r="G1110" s="28">
        <v>77259.657260000007</v>
      </c>
      <c r="H1110" s="28">
        <v>13191.700070000001</v>
      </c>
      <c r="I1110" s="19">
        <f t="shared" ref="I1110:I1113" si="171">SUM(B1110:H1110)</f>
        <v>334299.13086000003</v>
      </c>
      <c r="J1110" s="1">
        <f t="shared" si="169"/>
        <v>1372046.6083400003</v>
      </c>
    </row>
    <row r="1111" spans="1:10" x14ac:dyDescent="0.3">
      <c r="A1111" s="15" t="s">
        <v>19</v>
      </c>
      <c r="B1111" s="28">
        <v>31990.264729999999</v>
      </c>
      <c r="C1111" s="28">
        <v>24412.249710000004</v>
      </c>
      <c r="D1111" s="28">
        <v>36534.181669999998</v>
      </c>
      <c r="E1111" s="28">
        <v>13638.934940000003</v>
      </c>
      <c r="F1111" s="28">
        <v>21250.955190000001</v>
      </c>
      <c r="G1111" s="28">
        <v>37997.285629999998</v>
      </c>
      <c r="H1111" s="28">
        <v>9265.8491300000005</v>
      </c>
      <c r="I1111" s="19">
        <f t="shared" si="171"/>
        <v>175089.72099999999</v>
      </c>
      <c r="J1111" s="1">
        <f t="shared" si="169"/>
        <v>815583.02827000013</v>
      </c>
    </row>
    <row r="1112" spans="1:10" x14ac:dyDescent="0.3">
      <c r="A1112" s="15" t="s">
        <v>21</v>
      </c>
      <c r="B1112" s="28">
        <v>3143.4518400000002</v>
      </c>
      <c r="C1112" s="28">
        <v>5472.1012800000008</v>
      </c>
      <c r="D1112" s="28">
        <v>10952.17304</v>
      </c>
      <c r="E1112" s="28">
        <v>3520.0645600000003</v>
      </c>
      <c r="F1112" s="28">
        <v>3520.0645600000003</v>
      </c>
      <c r="G1112" s="28">
        <v>3520.0645600000003</v>
      </c>
      <c r="H1112" s="28">
        <v>0</v>
      </c>
      <c r="I1112" s="19">
        <f t="shared" si="171"/>
        <v>30127.919839999995</v>
      </c>
      <c r="J1112" s="1">
        <f t="shared" si="169"/>
        <v>108887.38663999998</v>
      </c>
    </row>
    <row r="1113" spans="1:10" ht="19.5" thickBot="1" x14ac:dyDescent="0.35">
      <c r="A1113" s="15" t="s">
        <v>22</v>
      </c>
      <c r="B1113" s="28">
        <v>0</v>
      </c>
      <c r="C1113" s="28">
        <v>0</v>
      </c>
      <c r="D1113" s="28">
        <v>0</v>
      </c>
      <c r="E1113" s="28">
        <v>0</v>
      </c>
      <c r="F1113" s="28">
        <v>0</v>
      </c>
      <c r="G1113" s="28">
        <v>0</v>
      </c>
      <c r="H1113" s="28">
        <v>0</v>
      </c>
      <c r="I1113" s="19">
        <f t="shared" si="171"/>
        <v>0</v>
      </c>
      <c r="J1113" s="1">
        <f t="shared" si="169"/>
        <v>9500</v>
      </c>
    </row>
    <row r="1114" spans="1:10" ht="19.5" thickBot="1" x14ac:dyDescent="0.35">
      <c r="A1114" s="20" t="s">
        <v>7</v>
      </c>
      <c r="B1114" s="21">
        <f>SUM(B1109:B1113)</f>
        <v>137253.8358</v>
      </c>
      <c r="C1114" s="21">
        <f>SUM(C1109:C1113)</f>
        <v>108209.69860000002</v>
      </c>
      <c r="D1114" s="21">
        <f t="shared" ref="D1114:H1114" si="172">SUM(D1109:D1113)</f>
        <v>181035.2127</v>
      </c>
      <c r="E1114" s="21">
        <f t="shared" si="172"/>
        <v>56041.225900000005</v>
      </c>
      <c r="F1114" s="21">
        <f t="shared" si="172"/>
        <v>92803.509900000005</v>
      </c>
      <c r="G1114" s="21">
        <f t="shared" si="172"/>
        <v>160377.94190000001</v>
      </c>
      <c r="H1114" s="21">
        <f t="shared" si="172"/>
        <v>34162.432800000002</v>
      </c>
      <c r="I1114" s="21">
        <f>SUM(I1109:I1113)</f>
        <v>769883.85759999999</v>
      </c>
      <c r="J1114" s="1">
        <f t="shared" si="169"/>
        <v>3437947.3428000002</v>
      </c>
    </row>
    <row r="1115" spans="1:10" ht="19.5" thickTop="1" x14ac:dyDescent="0.3">
      <c r="A1115" s="22" t="s">
        <v>20</v>
      </c>
      <c r="B1115" s="23">
        <f>85750.179*0.6</f>
        <v>51450.107400000001</v>
      </c>
      <c r="C1115" s="23">
        <f>26688.863*0.6</f>
        <v>16013.317800000001</v>
      </c>
      <c r="D1115" s="23">
        <f>40538.994*0.6</f>
        <v>24323.396399999998</v>
      </c>
      <c r="E1115" s="23">
        <f>5004.159*0.6</f>
        <v>3002.4953999999998</v>
      </c>
      <c r="F1115" s="23">
        <f>24858.074*0.6</f>
        <v>14914.8444</v>
      </c>
      <c r="G1115" s="23">
        <f>106507.866*0.6</f>
        <v>63904.719599999997</v>
      </c>
      <c r="H1115" s="23">
        <f>11188.167*0.6</f>
        <v>6712.9001999999991</v>
      </c>
      <c r="I1115" s="23">
        <f>SUM(B1115:H1115)</f>
        <v>180321.7812</v>
      </c>
      <c r="J1115" s="1">
        <f t="shared" si="169"/>
        <v>684753.24600000004</v>
      </c>
    </row>
    <row r="1116" spans="1:10" x14ac:dyDescent="0.3">
      <c r="A1116" s="24" t="s">
        <v>25</v>
      </c>
      <c r="B1116" s="25"/>
      <c r="C1116" s="25"/>
      <c r="D1116" s="25"/>
      <c r="E1116" s="25"/>
      <c r="F1116" s="25"/>
      <c r="G1116" s="25"/>
      <c r="H1116" s="25"/>
      <c r="I1116" s="25"/>
      <c r="J1116" s="1">
        <f t="shared" si="169"/>
        <v>0</v>
      </c>
    </row>
    <row r="1117" spans="1:10" x14ac:dyDescent="0.3">
      <c r="A1117" s="26" t="s">
        <v>23</v>
      </c>
      <c r="B1117" s="25">
        <f>60000/1.229</f>
        <v>48820.179007323022</v>
      </c>
      <c r="C1117" s="25">
        <f>30000/1.229</f>
        <v>24410.089503661511</v>
      </c>
      <c r="D1117" s="25">
        <f>30000/1.229</f>
        <v>24410.089503661511</v>
      </c>
      <c r="E1117" s="25">
        <f>30000/1.229</f>
        <v>24410.089503661511</v>
      </c>
      <c r="F1117" s="25">
        <v>0</v>
      </c>
      <c r="G1117" s="25">
        <v>0</v>
      </c>
      <c r="H1117" s="25">
        <v>0</v>
      </c>
      <c r="I1117" s="25">
        <f>SUM(B1117:H1117)</f>
        <v>122050.44751830756</v>
      </c>
      <c r="J1117" s="1">
        <f t="shared" si="169"/>
        <v>367778.6818551668</v>
      </c>
    </row>
    <row r="1118" spans="1:10" ht="19.5" thickBot="1" x14ac:dyDescent="0.35">
      <c r="A1118" s="27" t="s">
        <v>24</v>
      </c>
      <c r="B1118" s="25">
        <v>0</v>
      </c>
      <c r="C1118" s="25">
        <f>6000/1.229</f>
        <v>4882.0179007323022</v>
      </c>
      <c r="D1118" s="25">
        <f>6000/1.229</f>
        <v>4882.0179007323022</v>
      </c>
      <c r="E1118" s="25">
        <f>6000/1.229</f>
        <v>4882.0179007323022</v>
      </c>
      <c r="F1118" s="25">
        <v>0</v>
      </c>
      <c r="G1118" s="25">
        <v>0</v>
      </c>
      <c r="H1118" s="25">
        <v>0</v>
      </c>
      <c r="I1118" s="25">
        <f>SUM(B1118:H1118)</f>
        <v>14646.053702196907</v>
      </c>
      <c r="J1118" s="1">
        <f t="shared" si="169"/>
        <v>227827.5020341741</v>
      </c>
    </row>
    <row r="1121" spans="1:9" x14ac:dyDescent="0.3">
      <c r="A1121" s="4" t="s">
        <v>88</v>
      </c>
      <c r="B1121" s="5" t="s">
        <v>0</v>
      </c>
      <c r="C1121" s="5" t="s">
        <v>1</v>
      </c>
      <c r="D1121" s="5" t="s">
        <v>2</v>
      </c>
      <c r="E1121" s="6" t="s">
        <v>3</v>
      </c>
      <c r="F1121" s="5" t="s">
        <v>4</v>
      </c>
      <c r="G1121" s="5" t="s">
        <v>5</v>
      </c>
      <c r="H1121" s="5" t="s">
        <v>6</v>
      </c>
      <c r="I1121" s="5" t="s">
        <v>7</v>
      </c>
    </row>
    <row r="1122" spans="1:9" x14ac:dyDescent="0.3">
      <c r="A1122" s="7"/>
      <c r="B1122" s="8">
        <v>45565</v>
      </c>
      <c r="C1122" s="8">
        <v>45566</v>
      </c>
      <c r="D1122" s="8">
        <v>45567</v>
      </c>
      <c r="E1122" s="8">
        <v>45568</v>
      </c>
      <c r="F1122" s="8">
        <v>45569</v>
      </c>
      <c r="G1122" s="8">
        <v>45570</v>
      </c>
      <c r="H1122" s="8">
        <v>45571</v>
      </c>
      <c r="I1122" s="9"/>
    </row>
    <row r="1123" spans="1:9" ht="19.5" thickBot="1" x14ac:dyDescent="0.35">
      <c r="A1123" s="10" t="s">
        <v>8</v>
      </c>
      <c r="B1123" s="11" t="s">
        <v>9</v>
      </c>
      <c r="C1123" s="11" t="s">
        <v>9</v>
      </c>
      <c r="D1123" s="11" t="s">
        <v>9</v>
      </c>
      <c r="E1123" s="11" t="s">
        <v>9</v>
      </c>
      <c r="F1123" s="11" t="s">
        <v>9</v>
      </c>
      <c r="G1123" s="11" t="s">
        <v>9</v>
      </c>
      <c r="H1123" s="11" t="s">
        <v>9</v>
      </c>
      <c r="I1123" s="12" t="s">
        <v>9</v>
      </c>
    </row>
    <row r="1124" spans="1:9" x14ac:dyDescent="0.3">
      <c r="A1124" s="13" t="s">
        <v>10</v>
      </c>
      <c r="B1124" s="14">
        <v>49</v>
      </c>
      <c r="C1124" s="14">
        <v>50</v>
      </c>
      <c r="D1124" s="14">
        <v>50</v>
      </c>
      <c r="E1124" s="14">
        <v>49</v>
      </c>
      <c r="F1124" s="14">
        <v>45</v>
      </c>
      <c r="G1124" s="14">
        <v>45</v>
      </c>
      <c r="H1124" s="14">
        <v>50</v>
      </c>
      <c r="I1124" s="14"/>
    </row>
    <row r="1125" spans="1:9" x14ac:dyDescent="0.3">
      <c r="A1125" s="15" t="s">
        <v>11</v>
      </c>
      <c r="B1125" s="16">
        <v>0</v>
      </c>
      <c r="C1125" s="16">
        <v>0</v>
      </c>
      <c r="D1125" s="16">
        <v>0</v>
      </c>
      <c r="E1125" s="16">
        <v>0</v>
      </c>
      <c r="F1125" s="16">
        <v>0</v>
      </c>
      <c r="G1125" s="16">
        <v>1</v>
      </c>
      <c r="H1125" s="16">
        <v>1</v>
      </c>
      <c r="I1125" s="16">
        <f>SUM(B1125:H1125)</f>
        <v>2</v>
      </c>
    </row>
    <row r="1126" spans="1:9" x14ac:dyDescent="0.3">
      <c r="A1126" s="15" t="s">
        <v>12</v>
      </c>
      <c r="B1126" s="16">
        <v>0</v>
      </c>
      <c r="C1126" s="16">
        <v>0</v>
      </c>
      <c r="D1126" s="16">
        <v>11</v>
      </c>
      <c r="E1126" s="16">
        <v>14</v>
      </c>
      <c r="F1126" s="16">
        <v>27</v>
      </c>
      <c r="G1126" s="16">
        <v>29</v>
      </c>
      <c r="H1126" s="16">
        <v>4</v>
      </c>
      <c r="I1126" s="16">
        <f t="shared" ref="I1126:I1134" si="173">SUM(B1126:H1126)</f>
        <v>85</v>
      </c>
    </row>
    <row r="1127" spans="1:9" x14ac:dyDescent="0.3">
      <c r="A1127" s="15" t="s">
        <v>30</v>
      </c>
      <c r="B1127" s="16">
        <v>0</v>
      </c>
      <c r="C1127" s="16">
        <v>0</v>
      </c>
      <c r="D1127" s="16">
        <v>0</v>
      </c>
      <c r="E1127" s="16">
        <v>0</v>
      </c>
      <c r="F1127" s="16">
        <v>0</v>
      </c>
      <c r="G1127" s="16">
        <v>0</v>
      </c>
      <c r="H1127" s="16">
        <v>0</v>
      </c>
      <c r="I1127" s="16">
        <f t="shared" si="173"/>
        <v>0</v>
      </c>
    </row>
    <row r="1128" spans="1:9" x14ac:dyDescent="0.3">
      <c r="A1128" s="15" t="s">
        <v>28</v>
      </c>
      <c r="B1128" s="16">
        <v>9</v>
      </c>
      <c r="C1128" s="16">
        <v>13</v>
      </c>
      <c r="D1128" s="16">
        <v>11</v>
      </c>
      <c r="E1128" s="16">
        <v>34</v>
      </c>
      <c r="F1128" s="16">
        <v>30</v>
      </c>
      <c r="G1128" s="16">
        <v>206</v>
      </c>
      <c r="H1128" s="16">
        <v>56</v>
      </c>
      <c r="I1128" s="16">
        <f t="shared" si="173"/>
        <v>359</v>
      </c>
    </row>
    <row r="1129" spans="1:9" x14ac:dyDescent="0.3">
      <c r="A1129" s="15" t="s">
        <v>29</v>
      </c>
      <c r="B1129" s="16">
        <v>0</v>
      </c>
      <c r="C1129" s="16">
        <v>1</v>
      </c>
      <c r="D1129" s="16">
        <v>1</v>
      </c>
      <c r="E1129" s="16">
        <v>0</v>
      </c>
      <c r="F1129" s="16">
        <v>0</v>
      </c>
      <c r="G1129" s="16">
        <v>31</v>
      </c>
      <c r="H1129" s="16">
        <v>8</v>
      </c>
      <c r="I1129" s="16">
        <f t="shared" si="173"/>
        <v>41</v>
      </c>
    </row>
    <row r="1130" spans="1:9" x14ac:dyDescent="0.3">
      <c r="A1130" s="15" t="s">
        <v>31</v>
      </c>
      <c r="B1130" s="16">
        <v>0</v>
      </c>
      <c r="C1130" s="16">
        <v>1</v>
      </c>
      <c r="D1130" s="16">
        <v>0</v>
      </c>
      <c r="E1130" s="16">
        <v>1</v>
      </c>
      <c r="F1130" s="16">
        <v>2</v>
      </c>
      <c r="G1130" s="16">
        <v>5</v>
      </c>
      <c r="H1130" s="16">
        <v>2</v>
      </c>
      <c r="I1130" s="16">
        <f t="shared" si="173"/>
        <v>11</v>
      </c>
    </row>
    <row r="1131" spans="1:9" x14ac:dyDescent="0.3">
      <c r="A1131" s="15" t="s">
        <v>13</v>
      </c>
      <c r="B1131" s="16">
        <v>0</v>
      </c>
      <c r="C1131" s="16">
        <v>1</v>
      </c>
      <c r="D1131" s="16">
        <v>0</v>
      </c>
      <c r="E1131" s="16">
        <v>0</v>
      </c>
      <c r="F1131" s="16">
        <v>4</v>
      </c>
      <c r="G1131" s="16">
        <v>3</v>
      </c>
      <c r="H1131" s="16">
        <v>0</v>
      </c>
      <c r="I1131" s="16">
        <f t="shared" si="173"/>
        <v>8</v>
      </c>
    </row>
    <row r="1132" spans="1:9" x14ac:dyDescent="0.3">
      <c r="A1132" s="15" t="s">
        <v>14</v>
      </c>
      <c r="B1132" s="16">
        <v>0</v>
      </c>
      <c r="C1132" s="16">
        <v>0</v>
      </c>
      <c r="D1132" s="16">
        <v>0</v>
      </c>
      <c r="E1132" s="16">
        <v>0</v>
      </c>
      <c r="F1132" s="16">
        <v>0</v>
      </c>
      <c r="G1132" s="16">
        <v>0</v>
      </c>
      <c r="H1132" s="16">
        <v>0</v>
      </c>
      <c r="I1132" s="16">
        <f t="shared" si="173"/>
        <v>0</v>
      </c>
    </row>
    <row r="1133" spans="1:9" x14ac:dyDescent="0.3">
      <c r="A1133" s="15" t="s">
        <v>32</v>
      </c>
      <c r="B1133" s="16">
        <v>0</v>
      </c>
      <c r="C1133" s="16">
        <v>0</v>
      </c>
      <c r="D1133" s="16">
        <v>0</v>
      </c>
      <c r="E1133" s="16">
        <v>0</v>
      </c>
      <c r="F1133" s="16">
        <v>0</v>
      </c>
      <c r="G1133" s="16">
        <v>0</v>
      </c>
      <c r="H1133" s="16">
        <v>0</v>
      </c>
      <c r="I1133" s="16">
        <f t="shared" si="173"/>
        <v>0</v>
      </c>
    </row>
    <row r="1134" spans="1:9" x14ac:dyDescent="0.3">
      <c r="A1134" s="15" t="s">
        <v>33</v>
      </c>
      <c r="B1134" s="16">
        <v>0</v>
      </c>
      <c r="C1134" s="16">
        <v>0</v>
      </c>
      <c r="D1134" s="16">
        <v>0</v>
      </c>
      <c r="E1134" s="16">
        <v>0</v>
      </c>
      <c r="F1134" s="16">
        <v>0</v>
      </c>
      <c r="G1134" s="16">
        <v>0</v>
      </c>
      <c r="H1134" s="16">
        <v>0</v>
      </c>
      <c r="I1134" s="16">
        <f t="shared" si="173"/>
        <v>0</v>
      </c>
    </row>
    <row r="1135" spans="1:9" ht="19.5" thickBot="1" x14ac:dyDescent="0.35">
      <c r="A1135" s="30" t="s">
        <v>15</v>
      </c>
      <c r="B1135" s="31">
        <f t="shared" ref="B1135:H1135" si="174">(B1126+B1125)/B1124*100%</f>
        <v>0</v>
      </c>
      <c r="C1135" s="31">
        <f t="shared" si="174"/>
        <v>0</v>
      </c>
      <c r="D1135" s="31">
        <f t="shared" si="174"/>
        <v>0.22</v>
      </c>
      <c r="E1135" s="31">
        <f t="shared" si="174"/>
        <v>0.2857142857142857</v>
      </c>
      <c r="F1135" s="31">
        <f t="shared" si="174"/>
        <v>0.6</v>
      </c>
      <c r="G1135" s="31">
        <f t="shared" si="174"/>
        <v>0.66666666666666663</v>
      </c>
      <c r="H1135" s="31">
        <f t="shared" si="174"/>
        <v>0.1</v>
      </c>
      <c r="I1135" s="32">
        <f>(B1135+C1135+D1135+E1135+F1135+G1135+H1135)/7</f>
        <v>0.26748299319727892</v>
      </c>
    </row>
    <row r="1136" spans="1:9" x14ac:dyDescent="0.3">
      <c r="A1136" s="67" t="s">
        <v>16</v>
      </c>
      <c r="B1136" s="16"/>
      <c r="C1136" s="17"/>
      <c r="D1136" s="16"/>
      <c r="E1136" s="18"/>
      <c r="F1136" s="16"/>
      <c r="G1136" s="16"/>
      <c r="H1136" s="16"/>
      <c r="I1136" s="16"/>
    </row>
    <row r="1137" spans="1:10" x14ac:dyDescent="0.3">
      <c r="A1137" s="15" t="s">
        <v>17</v>
      </c>
      <c r="B1137" s="28">
        <v>1464.6320000000001</v>
      </c>
      <c r="C1137" s="28">
        <v>0</v>
      </c>
      <c r="D1137" s="28">
        <v>14700.250249999997</v>
      </c>
      <c r="E1137" s="28">
        <v>17466.134699999999</v>
      </c>
      <c r="F1137" s="28">
        <v>55589.288</v>
      </c>
      <c r="G1137" s="28">
        <v>66094.874500000005</v>
      </c>
      <c r="H1137" s="28">
        <v>24443.1</v>
      </c>
      <c r="I1137" s="19">
        <f>SUM(B1137:H1137)</f>
        <v>179758.27945</v>
      </c>
      <c r="J1137" s="29">
        <f t="shared" ref="J1137:J1141" si="175">B1137+I1109+I1081+I1054+I1027+H1000</f>
        <v>1131930.3195500001</v>
      </c>
    </row>
    <row r="1138" spans="1:10" x14ac:dyDescent="0.3">
      <c r="A1138" s="15" t="s">
        <v>18</v>
      </c>
      <c r="B1138" s="28">
        <v>2426.8146500000003</v>
      </c>
      <c r="C1138" s="28">
        <v>3563.9387500000003</v>
      </c>
      <c r="D1138" s="28">
        <v>14868.8629</v>
      </c>
      <c r="E1138" s="28">
        <v>22722.138009999999</v>
      </c>
      <c r="F1138" s="28">
        <v>49300.673900000002</v>
      </c>
      <c r="G1138" s="28">
        <v>99493.671700000006</v>
      </c>
      <c r="H1138" s="28">
        <v>22441.430500000002</v>
      </c>
      <c r="I1138" s="19">
        <f t="shared" ref="I1138:I1141" si="176">SUM(B1138:H1138)</f>
        <v>214817.53041000001</v>
      </c>
      <c r="J1138" s="29">
        <f t="shared" si="175"/>
        <v>1372046.6083400003</v>
      </c>
    </row>
    <row r="1139" spans="1:10" x14ac:dyDescent="0.3">
      <c r="A1139" s="15" t="s">
        <v>19</v>
      </c>
      <c r="B1139" s="28">
        <v>1751.4545499999999</v>
      </c>
      <c r="C1139" s="28">
        <v>1147.2952499999999</v>
      </c>
      <c r="D1139" s="28">
        <v>9112.6417499999989</v>
      </c>
      <c r="E1139" s="28">
        <v>12807.550730000001</v>
      </c>
      <c r="F1139" s="28">
        <v>37554.255700000002</v>
      </c>
      <c r="G1139" s="28">
        <v>60052.9444</v>
      </c>
      <c r="H1139" s="28">
        <v>12119.837500000001</v>
      </c>
      <c r="I1139" s="19">
        <f t="shared" si="176"/>
        <v>134545.97988</v>
      </c>
      <c r="J1139" s="29">
        <f t="shared" si="175"/>
        <v>815583.02827000001</v>
      </c>
    </row>
    <row r="1140" spans="1:10" x14ac:dyDescent="0.3">
      <c r="A1140" s="15" t="s">
        <v>21</v>
      </c>
      <c r="B1140" s="28">
        <v>0</v>
      </c>
      <c r="C1140" s="28">
        <v>0</v>
      </c>
      <c r="D1140" s="28">
        <v>3360.0571999999997</v>
      </c>
      <c r="E1140" s="28">
        <v>3992.25936</v>
      </c>
      <c r="F1140" s="28">
        <v>8763.2384000000002</v>
      </c>
      <c r="G1140" s="28">
        <v>9974.2103999999999</v>
      </c>
      <c r="H1140" s="28">
        <v>0</v>
      </c>
      <c r="I1140" s="19">
        <f t="shared" si="176"/>
        <v>26089.765359999998</v>
      </c>
      <c r="J1140" s="29">
        <f t="shared" si="175"/>
        <v>108887.38663999998</v>
      </c>
    </row>
    <row r="1141" spans="1:10" ht="19.5" thickBot="1" x14ac:dyDescent="0.35">
      <c r="A1141" s="15" t="s">
        <v>22</v>
      </c>
      <c r="B1141" s="28">
        <v>0</v>
      </c>
      <c r="C1141" s="28">
        <v>0</v>
      </c>
      <c r="D1141" s="28">
        <v>0</v>
      </c>
      <c r="E1141" s="28">
        <v>0</v>
      </c>
      <c r="F1141" s="28">
        <v>4500</v>
      </c>
      <c r="G1141" s="28">
        <v>0</v>
      </c>
      <c r="H1141" s="28">
        <v>0</v>
      </c>
      <c r="I1141" s="19">
        <f t="shared" si="176"/>
        <v>4500</v>
      </c>
      <c r="J1141" s="29">
        <f t="shared" si="175"/>
        <v>9500</v>
      </c>
    </row>
    <row r="1142" spans="1:10" ht="19.5" thickBot="1" x14ac:dyDescent="0.35">
      <c r="A1142" s="20" t="s">
        <v>7</v>
      </c>
      <c r="B1142" s="21">
        <f>SUM(B1137:B1141)</f>
        <v>5642.9012000000002</v>
      </c>
      <c r="C1142" s="21">
        <f>SUM(C1137:C1141)</f>
        <v>4711.2340000000004</v>
      </c>
      <c r="D1142" s="21">
        <f>SUM(D1137:D1141)</f>
        <v>42041.812100000003</v>
      </c>
      <c r="E1142" s="21">
        <f t="shared" ref="E1142:H1142" si="177">SUM(E1137:E1141)</f>
        <v>56988.082800000004</v>
      </c>
      <c r="F1142" s="21">
        <f t="shared" si="177"/>
        <v>155707.45600000001</v>
      </c>
      <c r="G1142" s="21">
        <f t="shared" si="177"/>
        <v>235615.70100000003</v>
      </c>
      <c r="H1142" s="21">
        <f t="shared" si="177"/>
        <v>59004.368000000002</v>
      </c>
      <c r="I1142" s="21">
        <f>SUM(I1137:I1141)</f>
        <v>559711.5551</v>
      </c>
      <c r="J1142" s="29">
        <f>B1142+I1114+I1086+I1059+I1032+H1005</f>
        <v>3437947.3427999998</v>
      </c>
    </row>
    <row r="1143" spans="1:10" ht="19.5" thickTop="1" x14ac:dyDescent="0.3">
      <c r="A1143" s="22" t="s">
        <v>20</v>
      </c>
      <c r="B1143" s="23">
        <f>4760.057*0.6</f>
        <v>2856.0341999999996</v>
      </c>
      <c r="C1143" s="23">
        <f>7648.635*0.6</f>
        <v>4589.1809999999996</v>
      </c>
      <c r="D1143" s="23">
        <f>5597.206*0.6</f>
        <v>3358.3236000000002</v>
      </c>
      <c r="E1143" s="23">
        <f>18267.227*0.6</f>
        <v>10960.3362</v>
      </c>
      <c r="F1143" s="23">
        <f>12937.59*0.6</f>
        <v>7762.5540000000001</v>
      </c>
      <c r="G1143" s="23">
        <f>97158.05*0.6</f>
        <v>58294.83</v>
      </c>
      <c r="H1143" s="23">
        <f>29618.13*0.6</f>
        <v>17770.878000000001</v>
      </c>
      <c r="I1143" s="23">
        <f>SUM(B1143:H1143)</f>
        <v>105592.137</v>
      </c>
    </row>
    <row r="1144" spans="1:10" x14ac:dyDescent="0.3">
      <c r="A1144" s="24" t="s">
        <v>25</v>
      </c>
      <c r="B1144" s="25"/>
      <c r="C1144" s="25"/>
      <c r="D1144" s="25"/>
      <c r="E1144" s="25"/>
      <c r="F1144" s="25"/>
      <c r="G1144" s="25"/>
      <c r="H1144" s="25"/>
      <c r="I1144" s="25"/>
    </row>
    <row r="1145" spans="1:10" x14ac:dyDescent="0.3">
      <c r="A1145" s="26" t="s">
        <v>23</v>
      </c>
      <c r="B1145" s="25">
        <v>0</v>
      </c>
      <c r="C1145" s="25">
        <v>0</v>
      </c>
      <c r="D1145" s="25">
        <v>0</v>
      </c>
      <c r="E1145" s="25">
        <v>0</v>
      </c>
      <c r="F1145" s="25">
        <v>0</v>
      </c>
      <c r="G1145" s="25">
        <f>6000/1.229</f>
        <v>4882.0179007323022</v>
      </c>
      <c r="H1145" s="25">
        <f>6000/1.229</f>
        <v>4882.0179007323022</v>
      </c>
      <c r="I1145" s="25">
        <f>SUM(B1145:H1145)</f>
        <v>9764.0358014646044</v>
      </c>
    </row>
    <row r="1146" spans="1:10" ht="19.5" thickBot="1" x14ac:dyDescent="0.35">
      <c r="A1146" s="27" t="s">
        <v>24</v>
      </c>
      <c r="B1146" s="25">
        <v>0</v>
      </c>
      <c r="C1146" s="25">
        <v>0</v>
      </c>
      <c r="D1146" s="25">
        <v>0</v>
      </c>
      <c r="E1146" s="25">
        <v>0</v>
      </c>
      <c r="F1146" s="25">
        <v>0</v>
      </c>
      <c r="G1146" s="25">
        <v>0</v>
      </c>
      <c r="H1146" s="25">
        <v>0</v>
      </c>
      <c r="I1146" s="25">
        <f>SUM(B1146:H1146)</f>
        <v>0</v>
      </c>
    </row>
    <row r="1148" spans="1:10" x14ac:dyDescent="0.3">
      <c r="A1148" s="4" t="s">
        <v>89</v>
      </c>
      <c r="B1148" s="5" t="s">
        <v>0</v>
      </c>
      <c r="C1148" s="5" t="s">
        <v>1</v>
      </c>
      <c r="D1148" s="5" t="s">
        <v>2</v>
      </c>
      <c r="E1148" s="6" t="s">
        <v>3</v>
      </c>
      <c r="F1148" s="5" t="s">
        <v>4</v>
      </c>
      <c r="G1148" s="5" t="s">
        <v>5</v>
      </c>
      <c r="H1148" s="5" t="s">
        <v>6</v>
      </c>
      <c r="I1148" s="5" t="s">
        <v>7</v>
      </c>
    </row>
    <row r="1149" spans="1:10" x14ac:dyDescent="0.3">
      <c r="A1149" s="7"/>
      <c r="B1149" s="8">
        <v>45572</v>
      </c>
      <c r="C1149" s="8">
        <v>45573</v>
      </c>
      <c r="D1149" s="8">
        <v>45574</v>
      </c>
      <c r="E1149" s="8">
        <v>45575</v>
      </c>
      <c r="F1149" s="8">
        <v>45576</v>
      </c>
      <c r="G1149" s="8">
        <v>45577</v>
      </c>
      <c r="H1149" s="8">
        <v>45578</v>
      </c>
      <c r="I1149" s="9"/>
    </row>
    <row r="1150" spans="1:10" ht="19.5" thickBot="1" x14ac:dyDescent="0.35">
      <c r="A1150" s="10" t="s">
        <v>8</v>
      </c>
      <c r="B1150" s="11" t="s">
        <v>9</v>
      </c>
      <c r="C1150" s="11" t="s">
        <v>9</v>
      </c>
      <c r="D1150" s="11" t="s">
        <v>9</v>
      </c>
      <c r="E1150" s="11" t="s">
        <v>9</v>
      </c>
      <c r="F1150" s="11" t="s">
        <v>9</v>
      </c>
      <c r="G1150" s="11" t="s">
        <v>9</v>
      </c>
      <c r="H1150" s="11" t="s">
        <v>9</v>
      </c>
      <c r="I1150" s="12" t="s">
        <v>9</v>
      </c>
    </row>
    <row r="1151" spans="1:10" x14ac:dyDescent="0.3">
      <c r="A1151" s="13" t="s">
        <v>10</v>
      </c>
      <c r="B1151" s="14">
        <v>50</v>
      </c>
      <c r="C1151" s="14">
        <v>50</v>
      </c>
      <c r="D1151" s="14">
        <v>54</v>
      </c>
      <c r="E1151" s="14">
        <v>54</v>
      </c>
      <c r="F1151" s="14">
        <v>50</v>
      </c>
      <c r="G1151" s="14">
        <v>51</v>
      </c>
      <c r="H1151" s="14">
        <v>51</v>
      </c>
      <c r="I1151" s="14"/>
    </row>
    <row r="1152" spans="1:10" x14ac:dyDescent="0.3">
      <c r="A1152" s="15" t="s">
        <v>11</v>
      </c>
      <c r="B1152" s="16">
        <v>0</v>
      </c>
      <c r="C1152" s="16">
        <v>0</v>
      </c>
      <c r="D1152" s="16">
        <v>6</v>
      </c>
      <c r="E1152" s="16">
        <v>6</v>
      </c>
      <c r="F1152" s="16">
        <v>6</v>
      </c>
      <c r="G1152" s="16">
        <v>7</v>
      </c>
      <c r="H1152" s="16">
        <v>1</v>
      </c>
      <c r="I1152" s="16">
        <f>SUM(B1152:H1152)</f>
        <v>26</v>
      </c>
    </row>
    <row r="1153" spans="1:9" x14ac:dyDescent="0.3">
      <c r="A1153" s="15" t="s">
        <v>12</v>
      </c>
      <c r="B1153" s="16">
        <v>14</v>
      </c>
      <c r="C1153" s="16">
        <v>15</v>
      </c>
      <c r="D1153" s="16">
        <v>15</v>
      </c>
      <c r="E1153" s="16">
        <v>4</v>
      </c>
      <c r="F1153" s="16">
        <v>31</v>
      </c>
      <c r="G1153" s="16">
        <v>29</v>
      </c>
      <c r="H1153" s="16">
        <v>4</v>
      </c>
      <c r="I1153" s="16">
        <f t="shared" ref="I1153:I1161" si="178">SUM(B1153:H1153)</f>
        <v>112</v>
      </c>
    </row>
    <row r="1154" spans="1:9" x14ac:dyDescent="0.3">
      <c r="A1154" s="15" t="s">
        <v>30</v>
      </c>
      <c r="B1154" s="16">
        <v>0</v>
      </c>
      <c r="C1154" s="16">
        <v>2</v>
      </c>
      <c r="D1154" s="16">
        <v>0</v>
      </c>
      <c r="E1154" s="16">
        <v>0</v>
      </c>
      <c r="F1154" s="16">
        <v>0</v>
      </c>
      <c r="G1154" s="16">
        <v>0</v>
      </c>
      <c r="H1154" s="16">
        <v>0</v>
      </c>
      <c r="I1154" s="16">
        <f t="shared" si="178"/>
        <v>2</v>
      </c>
    </row>
    <row r="1155" spans="1:9" x14ac:dyDescent="0.3">
      <c r="A1155" s="15" t="s">
        <v>28</v>
      </c>
      <c r="B1155" s="16">
        <v>10</v>
      </c>
      <c r="C1155" s="16">
        <v>17</v>
      </c>
      <c r="D1155" s="16">
        <v>10</v>
      </c>
      <c r="E1155" s="16">
        <v>27</v>
      </c>
      <c r="F1155" s="16">
        <v>34</v>
      </c>
      <c r="G1155" s="16">
        <v>221</v>
      </c>
      <c r="H1155" s="16">
        <v>27</v>
      </c>
      <c r="I1155" s="16">
        <f t="shared" si="178"/>
        <v>346</v>
      </c>
    </row>
    <row r="1156" spans="1:9" x14ac:dyDescent="0.3">
      <c r="A1156" s="15" t="s">
        <v>29</v>
      </c>
      <c r="B1156" s="16">
        <v>0</v>
      </c>
      <c r="C1156" s="16">
        <v>0</v>
      </c>
      <c r="D1156" s="16">
        <v>3</v>
      </c>
      <c r="E1156" s="16">
        <v>0</v>
      </c>
      <c r="F1156" s="16">
        <v>2</v>
      </c>
      <c r="G1156" s="16">
        <v>45</v>
      </c>
      <c r="H1156" s="16">
        <v>9</v>
      </c>
      <c r="I1156" s="16">
        <f t="shared" si="178"/>
        <v>59</v>
      </c>
    </row>
    <row r="1157" spans="1:9" x14ac:dyDescent="0.3">
      <c r="A1157" s="15" t="s">
        <v>31</v>
      </c>
      <c r="B1157" s="16">
        <v>0</v>
      </c>
      <c r="C1157" s="16">
        <v>0</v>
      </c>
      <c r="D1157" s="16">
        <v>1</v>
      </c>
      <c r="E1157" s="16">
        <v>0</v>
      </c>
      <c r="F1157" s="16">
        <v>1</v>
      </c>
      <c r="G1157" s="16">
        <v>7</v>
      </c>
      <c r="H1157" s="16">
        <v>6</v>
      </c>
      <c r="I1157" s="16">
        <f t="shared" si="178"/>
        <v>15</v>
      </c>
    </row>
    <row r="1158" spans="1:9" x14ac:dyDescent="0.3">
      <c r="A1158" s="15" t="s">
        <v>13</v>
      </c>
      <c r="B1158" s="16">
        <v>3</v>
      </c>
      <c r="C1158" s="16">
        <v>7</v>
      </c>
      <c r="D1158" s="16">
        <v>2</v>
      </c>
      <c r="E1158" s="16">
        <v>0</v>
      </c>
      <c r="F1158" s="16">
        <v>0</v>
      </c>
      <c r="G1158" s="16">
        <v>3</v>
      </c>
      <c r="H1158" s="16">
        <v>0</v>
      </c>
      <c r="I1158" s="16">
        <f t="shared" si="178"/>
        <v>15</v>
      </c>
    </row>
    <row r="1159" spans="1:9" x14ac:dyDescent="0.3">
      <c r="A1159" s="15" t="s">
        <v>14</v>
      </c>
      <c r="B1159" s="16">
        <v>0</v>
      </c>
      <c r="C1159" s="16">
        <v>0</v>
      </c>
      <c r="D1159" s="16">
        <v>0</v>
      </c>
      <c r="E1159" s="16">
        <v>0</v>
      </c>
      <c r="F1159" s="16">
        <v>0</v>
      </c>
      <c r="G1159" s="16">
        <v>4</v>
      </c>
      <c r="H1159" s="16">
        <v>0</v>
      </c>
      <c r="I1159" s="16">
        <f t="shared" si="178"/>
        <v>4</v>
      </c>
    </row>
    <row r="1160" spans="1:9" x14ac:dyDescent="0.3">
      <c r="A1160" s="15" t="s">
        <v>32</v>
      </c>
      <c r="B1160" s="16">
        <v>0</v>
      </c>
      <c r="C1160" s="16">
        <v>0</v>
      </c>
      <c r="D1160" s="16">
        <v>0</v>
      </c>
      <c r="E1160" s="16">
        <v>0</v>
      </c>
      <c r="F1160" s="16">
        <v>0</v>
      </c>
      <c r="G1160" s="16">
        <v>0</v>
      </c>
      <c r="H1160" s="16">
        <v>0</v>
      </c>
      <c r="I1160" s="16">
        <f t="shared" si="178"/>
        <v>0</v>
      </c>
    </row>
    <row r="1161" spans="1:9" x14ac:dyDescent="0.3">
      <c r="A1161" s="15" t="s">
        <v>33</v>
      </c>
      <c r="B1161" s="16">
        <v>0</v>
      </c>
      <c r="C1161" s="16">
        <v>0</v>
      </c>
      <c r="D1161" s="16">
        <v>0</v>
      </c>
      <c r="E1161" s="16">
        <v>0</v>
      </c>
      <c r="F1161" s="16">
        <v>0</v>
      </c>
      <c r="G1161" s="16">
        <v>1</v>
      </c>
      <c r="H1161" s="16">
        <v>0</v>
      </c>
      <c r="I1161" s="16">
        <f t="shared" si="178"/>
        <v>1</v>
      </c>
    </row>
    <row r="1162" spans="1:9" ht="19.5" thickBot="1" x14ac:dyDescent="0.35">
      <c r="A1162" s="30" t="s">
        <v>15</v>
      </c>
      <c r="B1162" s="31">
        <f t="shared" ref="B1162:H1162" si="179">(B1153+B1152)/B1151*100%</f>
        <v>0.28000000000000003</v>
      </c>
      <c r="C1162" s="31">
        <f t="shared" si="179"/>
        <v>0.3</v>
      </c>
      <c r="D1162" s="31">
        <f t="shared" si="179"/>
        <v>0.3888888888888889</v>
      </c>
      <c r="E1162" s="31">
        <f t="shared" si="179"/>
        <v>0.18518518518518517</v>
      </c>
      <c r="F1162" s="31">
        <f t="shared" si="179"/>
        <v>0.74</v>
      </c>
      <c r="G1162" s="31">
        <f t="shared" si="179"/>
        <v>0.70588235294117652</v>
      </c>
      <c r="H1162" s="31">
        <f t="shared" si="179"/>
        <v>9.8039215686274508E-2</v>
      </c>
      <c r="I1162" s="32">
        <f>(B1162+C1162+D1162+E1162+F1162+G1162+H1162)/7</f>
        <v>0.38542794895736071</v>
      </c>
    </row>
    <row r="1163" spans="1:9" x14ac:dyDescent="0.3">
      <c r="A1163" s="67" t="s">
        <v>16</v>
      </c>
      <c r="B1163" s="16"/>
      <c r="C1163" s="17"/>
      <c r="D1163" s="16"/>
      <c r="E1163" s="18"/>
      <c r="F1163" s="16"/>
      <c r="G1163" s="16"/>
      <c r="H1163" s="16"/>
      <c r="I1163" s="16"/>
    </row>
    <row r="1164" spans="1:9" x14ac:dyDescent="0.3">
      <c r="A1164" s="15" t="s">
        <v>17</v>
      </c>
      <c r="B1164" s="28">
        <v>28120.211349999998</v>
      </c>
      <c r="C1164" s="28">
        <v>28889.575799999999</v>
      </c>
      <c r="D1164" s="28">
        <v>25305.1512</v>
      </c>
      <c r="E1164" s="28">
        <v>10740.640100000001</v>
      </c>
      <c r="F1164" s="28">
        <v>61946.112000000001</v>
      </c>
      <c r="G1164" s="28">
        <v>69641.560000000012</v>
      </c>
      <c r="H1164" s="28">
        <v>20594.71</v>
      </c>
      <c r="I1164" s="19">
        <f>SUM(B1164:H1164)</f>
        <v>245237.96044999998</v>
      </c>
    </row>
    <row r="1165" spans="1:9" x14ac:dyDescent="0.3">
      <c r="A1165" s="15" t="s">
        <v>18</v>
      </c>
      <c r="B1165" s="28">
        <v>25609.553249999997</v>
      </c>
      <c r="C1165" s="28">
        <v>28397.576050000003</v>
      </c>
      <c r="D1165" s="28">
        <v>27026.187600000001</v>
      </c>
      <c r="E1165" s="28">
        <v>14461.211749999999</v>
      </c>
      <c r="F1165" s="28">
        <v>57606.269199999995</v>
      </c>
      <c r="G1165" s="28">
        <v>100328.39450000001</v>
      </c>
      <c r="H1165" s="28">
        <v>22016.316000000003</v>
      </c>
      <c r="I1165" s="19">
        <f t="shared" ref="I1165:I1168" si="180">SUM(B1165:H1165)</f>
        <v>275445.50835000002</v>
      </c>
    </row>
    <row r="1166" spans="1:9" x14ac:dyDescent="0.3">
      <c r="A1166" s="15" t="s">
        <v>19</v>
      </c>
      <c r="B1166" s="28">
        <v>17439.483260000001</v>
      </c>
      <c r="C1166" s="28">
        <v>23988.497929999998</v>
      </c>
      <c r="D1166" s="28">
        <v>22967.472419999998</v>
      </c>
      <c r="E1166" s="28">
        <v>9880.1657099999993</v>
      </c>
      <c r="F1166" s="28">
        <v>37227.856400000004</v>
      </c>
      <c r="G1166" s="28">
        <v>56921.341500000002</v>
      </c>
      <c r="H1166" s="28">
        <v>16053.123</v>
      </c>
      <c r="I1166" s="19">
        <f t="shared" si="180"/>
        <v>184477.94021999999</v>
      </c>
    </row>
    <row r="1167" spans="1:9" x14ac:dyDescent="0.3">
      <c r="A1167" s="15" t="s">
        <v>21</v>
      </c>
      <c r="B1167" s="28">
        <v>5272.1002399999998</v>
      </c>
      <c r="C1167" s="28">
        <v>3960.0739199999998</v>
      </c>
      <c r="D1167" s="28">
        <v>5040.0940799999998</v>
      </c>
      <c r="E1167" s="28">
        <v>1041.5166400000001</v>
      </c>
      <c r="F1167" s="28">
        <v>5520.1023999999998</v>
      </c>
      <c r="G1167" s="28">
        <v>5936.2240000000002</v>
      </c>
      <c r="H1167" s="28">
        <v>240</v>
      </c>
      <c r="I1167" s="19">
        <f t="shared" si="180"/>
        <v>27010.111279999997</v>
      </c>
    </row>
    <row r="1168" spans="1:9" ht="19.5" thickBot="1" x14ac:dyDescent="0.35">
      <c r="A1168" s="15" t="s">
        <v>22</v>
      </c>
      <c r="B1168" s="28">
        <v>0</v>
      </c>
      <c r="C1168" s="28">
        <v>2000</v>
      </c>
      <c r="D1168" s="28">
        <v>2000</v>
      </c>
      <c r="E1168" s="28">
        <v>0</v>
      </c>
      <c r="F1168" s="28">
        <v>0</v>
      </c>
      <c r="G1168" s="28">
        <v>0</v>
      </c>
      <c r="H1168" s="28">
        <v>0</v>
      </c>
      <c r="I1168" s="19">
        <f t="shared" si="180"/>
        <v>4000</v>
      </c>
    </row>
    <row r="1169" spans="1:9" ht="19.5" thickBot="1" x14ac:dyDescent="0.35">
      <c r="A1169" s="20" t="s">
        <v>7</v>
      </c>
      <c r="B1169" s="21">
        <f>SUM(B1164:B1168)</f>
        <v>76441.348100000003</v>
      </c>
      <c r="C1169" s="21">
        <f>SUM(C1164:C1168)</f>
        <v>87235.723700000002</v>
      </c>
      <c r="D1169" s="21">
        <f>SUM(D1164:D1168)</f>
        <v>82338.905299999999</v>
      </c>
      <c r="E1169" s="21">
        <f t="shared" ref="E1169:H1169" si="181">SUM(E1164:E1168)</f>
        <v>36123.534200000002</v>
      </c>
      <c r="F1169" s="21">
        <f t="shared" si="181"/>
        <v>162300.34</v>
      </c>
      <c r="G1169" s="21">
        <f t="shared" si="181"/>
        <v>232827.52000000002</v>
      </c>
      <c r="H1169" s="21">
        <f t="shared" si="181"/>
        <v>58904.148999999998</v>
      </c>
      <c r="I1169" s="21">
        <f>SUM(I1164:I1168)</f>
        <v>736171.52029999997</v>
      </c>
    </row>
    <row r="1170" spans="1:9" ht="19.5" thickTop="1" x14ac:dyDescent="0.3">
      <c r="A1170" s="22" t="s">
        <v>20</v>
      </c>
      <c r="B1170" s="23">
        <f>6143.321*0.6</f>
        <v>3685.9925999999996</v>
      </c>
      <c r="C1170" s="23">
        <f>10699.957*0.6</f>
        <v>6419.9741999999997</v>
      </c>
      <c r="D1170" s="23">
        <f>6753.588*0.6</f>
        <v>4052.1527999999998</v>
      </c>
      <c r="E1170" s="23">
        <f>14280.167*0.6</f>
        <v>8568.1001999999989</v>
      </c>
      <c r="F1170" s="23">
        <f>18755.44*0.6</f>
        <v>11253.263999999999</v>
      </c>
      <c r="G1170" s="23">
        <f>112319.25*0.6</f>
        <v>67391.55</v>
      </c>
      <c r="H1170" s="23">
        <f>17241.44*0.6</f>
        <v>10344.864</v>
      </c>
      <c r="I1170" s="23">
        <f>SUM(B1170:H1170)</f>
        <v>111715.89780000001</v>
      </c>
    </row>
    <row r="1171" spans="1:9" x14ac:dyDescent="0.3">
      <c r="A1171" s="24" t="s">
        <v>25</v>
      </c>
      <c r="B1171" s="25"/>
      <c r="C1171" s="25"/>
      <c r="D1171" s="25"/>
      <c r="E1171" s="25"/>
      <c r="F1171" s="25"/>
      <c r="G1171" s="25"/>
      <c r="H1171" s="25"/>
      <c r="I1171" s="25"/>
    </row>
    <row r="1172" spans="1:9" x14ac:dyDescent="0.3">
      <c r="A1172" s="26" t="s">
        <v>23</v>
      </c>
      <c r="B1172" s="25">
        <v>0</v>
      </c>
      <c r="C1172" s="25">
        <v>0</v>
      </c>
      <c r="D1172" s="25">
        <f>30000/1.229</f>
        <v>24410.089503661511</v>
      </c>
      <c r="E1172" s="25">
        <f>30000/1.229</f>
        <v>24410.089503661511</v>
      </c>
      <c r="F1172" s="25">
        <f>30000/1.229</f>
        <v>24410.089503661511</v>
      </c>
      <c r="G1172" s="25">
        <f>30000/1.229</f>
        <v>24410.089503661511</v>
      </c>
      <c r="H1172" s="25">
        <v>0</v>
      </c>
      <c r="I1172" s="25">
        <f>SUM(B1172:H1172)</f>
        <v>97640.358014646044</v>
      </c>
    </row>
    <row r="1173" spans="1:9" ht="19.5" thickBot="1" x14ac:dyDescent="0.35">
      <c r="A1173" s="27" t="s">
        <v>24</v>
      </c>
      <c r="B1173" s="25">
        <v>0</v>
      </c>
      <c r="C1173" s="25">
        <v>0</v>
      </c>
      <c r="D1173" s="25">
        <f>(6000/1.229)*5</f>
        <v>24410.089503661511</v>
      </c>
      <c r="E1173" s="25">
        <f>(6000/1.229)*5</f>
        <v>24410.089503661511</v>
      </c>
      <c r="F1173" s="25">
        <f>(6000/1.229)*5</f>
        <v>24410.089503661511</v>
      </c>
      <c r="G1173" s="25">
        <f>(6000/1.229)*5+8136.7</f>
        <v>32546.789503661512</v>
      </c>
      <c r="H1173" s="25">
        <f>10000/1.229</f>
        <v>8136.6965012205037</v>
      </c>
      <c r="I1173" s="25">
        <f>SUM(B1173:H1173)</f>
        <v>113913.75451586655</v>
      </c>
    </row>
    <row r="1176" spans="1:9" x14ac:dyDescent="0.3">
      <c r="A1176" s="4" t="s">
        <v>90</v>
      </c>
      <c r="B1176" s="5" t="s">
        <v>0</v>
      </c>
      <c r="C1176" s="5" t="s">
        <v>1</v>
      </c>
      <c r="D1176" s="5" t="s">
        <v>2</v>
      </c>
      <c r="E1176" s="6" t="s">
        <v>3</v>
      </c>
      <c r="F1176" s="5" t="s">
        <v>4</v>
      </c>
      <c r="G1176" s="5" t="s">
        <v>5</v>
      </c>
      <c r="H1176" s="5" t="s">
        <v>6</v>
      </c>
      <c r="I1176" s="5" t="s">
        <v>7</v>
      </c>
    </row>
    <row r="1177" spans="1:9" x14ac:dyDescent="0.3">
      <c r="A1177" s="7"/>
      <c r="B1177" s="8">
        <v>45579</v>
      </c>
      <c r="C1177" s="8">
        <v>45580</v>
      </c>
      <c r="D1177" s="8">
        <v>45581</v>
      </c>
      <c r="E1177" s="8">
        <v>45582</v>
      </c>
      <c r="F1177" s="8">
        <v>45583</v>
      </c>
      <c r="G1177" s="8">
        <v>45584</v>
      </c>
      <c r="H1177" s="8">
        <v>45585</v>
      </c>
      <c r="I1177" s="9"/>
    </row>
    <row r="1178" spans="1:9" ht="19.5" thickBot="1" x14ac:dyDescent="0.35">
      <c r="A1178" s="10" t="s">
        <v>8</v>
      </c>
      <c r="B1178" s="11" t="s">
        <v>9</v>
      </c>
      <c r="C1178" s="11" t="s">
        <v>9</v>
      </c>
      <c r="D1178" s="11" t="s">
        <v>9</v>
      </c>
      <c r="E1178" s="11" t="s">
        <v>9</v>
      </c>
      <c r="F1178" s="11" t="s">
        <v>9</v>
      </c>
      <c r="G1178" s="11" t="s">
        <v>9</v>
      </c>
      <c r="H1178" s="11" t="s">
        <v>9</v>
      </c>
      <c r="I1178" s="12" t="s">
        <v>9</v>
      </c>
    </row>
    <row r="1179" spans="1:9" x14ac:dyDescent="0.3">
      <c r="A1179" s="13" t="s">
        <v>10</v>
      </c>
      <c r="B1179" s="14">
        <v>51</v>
      </c>
      <c r="C1179" s="14">
        <v>52</v>
      </c>
      <c r="D1179" s="14">
        <v>51</v>
      </c>
      <c r="E1179" s="14">
        <v>51</v>
      </c>
      <c r="F1179" s="14">
        <v>50</v>
      </c>
      <c r="G1179" s="14">
        <v>50</v>
      </c>
      <c r="H1179" s="14">
        <v>53</v>
      </c>
      <c r="I1179" s="14"/>
    </row>
    <row r="1180" spans="1:9" x14ac:dyDescent="0.3">
      <c r="A1180" s="15" t="s">
        <v>11</v>
      </c>
      <c r="B1180" s="16">
        <v>1</v>
      </c>
      <c r="C1180" s="16">
        <v>0</v>
      </c>
      <c r="D1180" s="16">
        <v>1</v>
      </c>
      <c r="E1180" s="16">
        <v>1</v>
      </c>
      <c r="F1180" s="16">
        <v>2</v>
      </c>
      <c r="G1180" s="16">
        <v>3</v>
      </c>
      <c r="H1180" s="16">
        <v>0</v>
      </c>
      <c r="I1180" s="16">
        <f>SUM(B1180:H1180)</f>
        <v>8</v>
      </c>
    </row>
    <row r="1181" spans="1:9" x14ac:dyDescent="0.3">
      <c r="A1181" s="15" t="s">
        <v>12</v>
      </c>
      <c r="B1181" s="16">
        <v>1</v>
      </c>
      <c r="C1181" s="16">
        <v>27</v>
      </c>
      <c r="D1181" s="16">
        <v>28</v>
      </c>
      <c r="E1181" s="16">
        <v>23</v>
      </c>
      <c r="F1181" s="16">
        <v>17</v>
      </c>
      <c r="G1181" s="16">
        <v>38</v>
      </c>
      <c r="H1181" s="16">
        <v>34</v>
      </c>
      <c r="I1181" s="16">
        <f t="shared" ref="I1181:I1189" si="182">SUM(B1181:H1181)</f>
        <v>168</v>
      </c>
    </row>
    <row r="1182" spans="1:9" x14ac:dyDescent="0.3">
      <c r="A1182" s="15" t="s">
        <v>30</v>
      </c>
      <c r="B1182" s="16">
        <v>0</v>
      </c>
      <c r="C1182" s="16">
        <v>0</v>
      </c>
      <c r="D1182" s="16">
        <v>0</v>
      </c>
      <c r="E1182" s="16">
        <v>0</v>
      </c>
      <c r="F1182" s="16">
        <v>0</v>
      </c>
      <c r="G1182" s="16">
        <v>0</v>
      </c>
      <c r="H1182" s="16">
        <v>0</v>
      </c>
      <c r="I1182" s="16">
        <f t="shared" si="182"/>
        <v>0</v>
      </c>
    </row>
    <row r="1183" spans="1:9" x14ac:dyDescent="0.3">
      <c r="A1183" s="15" t="s">
        <v>28</v>
      </c>
      <c r="B1183" s="16">
        <v>14</v>
      </c>
      <c r="C1183" s="16">
        <v>24</v>
      </c>
      <c r="D1183" s="16">
        <v>10</v>
      </c>
      <c r="E1183" s="16">
        <v>8</v>
      </c>
      <c r="F1183" s="16">
        <v>18</v>
      </c>
      <c r="G1183" s="16">
        <v>199</v>
      </c>
      <c r="H1183" s="16">
        <v>82</v>
      </c>
      <c r="I1183" s="16">
        <f t="shared" si="182"/>
        <v>355</v>
      </c>
    </row>
    <row r="1184" spans="1:9" x14ac:dyDescent="0.3">
      <c r="A1184" s="15" t="s">
        <v>29</v>
      </c>
      <c r="B1184" s="16">
        <v>0</v>
      </c>
      <c r="C1184" s="16">
        <v>1</v>
      </c>
      <c r="D1184" s="16">
        <v>0</v>
      </c>
      <c r="E1184" s="16">
        <v>0</v>
      </c>
      <c r="F1184" s="16">
        <v>0</v>
      </c>
      <c r="G1184" s="16">
        <v>22</v>
      </c>
      <c r="H1184" s="16">
        <v>8</v>
      </c>
      <c r="I1184" s="16">
        <f t="shared" si="182"/>
        <v>31</v>
      </c>
    </row>
    <row r="1185" spans="1:9" x14ac:dyDescent="0.3">
      <c r="A1185" s="15" t="s">
        <v>31</v>
      </c>
      <c r="B1185" s="16">
        <v>0</v>
      </c>
      <c r="C1185" s="16">
        <v>0</v>
      </c>
      <c r="D1185" s="16">
        <v>0</v>
      </c>
      <c r="E1185" s="16">
        <v>0</v>
      </c>
      <c r="F1185" s="16">
        <v>0</v>
      </c>
      <c r="G1185" s="16">
        <v>4</v>
      </c>
      <c r="H1185" s="16">
        <v>8</v>
      </c>
      <c r="I1185" s="16">
        <f t="shared" si="182"/>
        <v>12</v>
      </c>
    </row>
    <row r="1186" spans="1:9" x14ac:dyDescent="0.3">
      <c r="A1186" s="15" t="s">
        <v>13</v>
      </c>
      <c r="B1186" s="16">
        <v>0</v>
      </c>
      <c r="C1186" s="16">
        <v>4</v>
      </c>
      <c r="D1186" s="16">
        <v>0</v>
      </c>
      <c r="E1186" s="16">
        <v>0</v>
      </c>
      <c r="F1186" s="16">
        <v>0</v>
      </c>
      <c r="G1186" s="16">
        <v>0</v>
      </c>
      <c r="H1186" s="16">
        <v>3</v>
      </c>
      <c r="I1186" s="16">
        <f t="shared" si="182"/>
        <v>7</v>
      </c>
    </row>
    <row r="1187" spans="1:9" x14ac:dyDescent="0.3">
      <c r="A1187" s="15" t="s">
        <v>14</v>
      </c>
      <c r="B1187" s="16">
        <v>0</v>
      </c>
      <c r="C1187" s="16">
        <v>0</v>
      </c>
      <c r="D1187" s="16">
        <v>0</v>
      </c>
      <c r="E1187" s="16">
        <v>0</v>
      </c>
      <c r="F1187" s="16">
        <v>0</v>
      </c>
      <c r="G1187" s="16">
        <v>0</v>
      </c>
      <c r="H1187" s="16">
        <v>0</v>
      </c>
      <c r="I1187" s="16">
        <f t="shared" si="182"/>
        <v>0</v>
      </c>
    </row>
    <row r="1188" spans="1:9" x14ac:dyDescent="0.3">
      <c r="A1188" s="15" t="s">
        <v>32</v>
      </c>
      <c r="B1188" s="16">
        <v>0</v>
      </c>
      <c r="C1188" s="16">
        <v>0</v>
      </c>
      <c r="D1188" s="16">
        <v>0</v>
      </c>
      <c r="E1188" s="16">
        <v>0</v>
      </c>
      <c r="F1188" s="16">
        <v>0</v>
      </c>
      <c r="G1188" s="16">
        <v>0</v>
      </c>
      <c r="H1188" s="16">
        <v>0</v>
      </c>
      <c r="I1188" s="16">
        <f>SUM(B1188:H1188)</f>
        <v>0</v>
      </c>
    </row>
    <row r="1189" spans="1:9" x14ac:dyDescent="0.3">
      <c r="A1189" s="15" t="s">
        <v>33</v>
      </c>
      <c r="B1189" s="16">
        <v>0</v>
      </c>
      <c r="C1189" s="16">
        <v>0</v>
      </c>
      <c r="D1189" s="16">
        <v>0</v>
      </c>
      <c r="E1189" s="16">
        <v>0</v>
      </c>
      <c r="F1189" s="16">
        <v>0</v>
      </c>
      <c r="G1189" s="16">
        <v>0</v>
      </c>
      <c r="H1189" s="16">
        <v>0</v>
      </c>
      <c r="I1189" s="16">
        <f t="shared" si="182"/>
        <v>0</v>
      </c>
    </row>
    <row r="1190" spans="1:9" ht="19.5" thickBot="1" x14ac:dyDescent="0.35">
      <c r="A1190" s="30" t="s">
        <v>15</v>
      </c>
      <c r="B1190" s="31">
        <f t="shared" ref="B1190:H1190" si="183">(B1181+B1180)/B1179*100%</f>
        <v>3.9215686274509803E-2</v>
      </c>
      <c r="C1190" s="31">
        <f t="shared" si="183"/>
        <v>0.51923076923076927</v>
      </c>
      <c r="D1190" s="31">
        <f t="shared" si="183"/>
        <v>0.56862745098039214</v>
      </c>
      <c r="E1190" s="31">
        <f t="shared" si="183"/>
        <v>0.47058823529411764</v>
      </c>
      <c r="F1190" s="31">
        <f t="shared" si="183"/>
        <v>0.38</v>
      </c>
      <c r="G1190" s="31">
        <f t="shared" si="183"/>
        <v>0.82</v>
      </c>
      <c r="H1190" s="31">
        <f t="shared" si="183"/>
        <v>0.64150943396226412</v>
      </c>
      <c r="I1190" s="32">
        <f>(B1190+C1190+D1190+E1190+F1190+G1190+H1190)/7</f>
        <v>0.49131022510600753</v>
      </c>
    </row>
    <row r="1191" spans="1:9" x14ac:dyDescent="0.3">
      <c r="A1191" s="67" t="s">
        <v>16</v>
      </c>
      <c r="B1191" s="16"/>
      <c r="C1191" s="17"/>
      <c r="D1191" s="16"/>
      <c r="E1191" s="18"/>
      <c r="F1191" s="16"/>
      <c r="G1191" s="16"/>
      <c r="H1191" s="16"/>
      <c r="I1191" s="16"/>
    </row>
    <row r="1192" spans="1:9" x14ac:dyDescent="0.3">
      <c r="A1192" s="15" t="s">
        <v>17</v>
      </c>
      <c r="B1192" s="28">
        <v>3043.2002000000002</v>
      </c>
      <c r="C1192" s="28">
        <v>35112.223599999998</v>
      </c>
      <c r="D1192" s="28">
        <v>43722.455265000004</v>
      </c>
      <c r="E1192" s="28">
        <v>33077.964950000001</v>
      </c>
      <c r="F1192" s="28">
        <v>28842.33365</v>
      </c>
      <c r="G1192" s="28">
        <v>70945.7215</v>
      </c>
      <c r="H1192" s="28">
        <v>74393.852645000006</v>
      </c>
      <c r="I1192" s="19">
        <f>SUM(B1192:H1192)</f>
        <v>289137.75181000005</v>
      </c>
    </row>
    <row r="1193" spans="1:9" x14ac:dyDescent="0.3">
      <c r="A1193" s="15" t="s">
        <v>18</v>
      </c>
      <c r="B1193" s="28">
        <v>4600.5871399999996</v>
      </c>
      <c r="C1193" s="28">
        <v>33174.331689999999</v>
      </c>
      <c r="D1193" s="28">
        <v>46101.369780000001</v>
      </c>
      <c r="E1193" s="28">
        <v>35120.795880000005</v>
      </c>
      <c r="F1193" s="28">
        <v>29220.167220000003</v>
      </c>
      <c r="G1193" s="28">
        <v>96103.80710000002</v>
      </c>
      <c r="H1193" s="28">
        <v>74773.295156000007</v>
      </c>
      <c r="I1193" s="19">
        <f t="shared" ref="I1193:I1196" si="184">SUM(B1193:H1193)</f>
        <v>319094.35396600002</v>
      </c>
    </row>
    <row r="1194" spans="1:9" x14ac:dyDescent="0.3">
      <c r="A1194" s="15" t="s">
        <v>19</v>
      </c>
      <c r="B1194" s="28">
        <v>2271.0062600000001</v>
      </c>
      <c r="C1194" s="28">
        <v>21767.985849999997</v>
      </c>
      <c r="D1194" s="28">
        <v>25238.501839000004</v>
      </c>
      <c r="E1194" s="28">
        <v>22448.15985</v>
      </c>
      <c r="F1194" s="28">
        <v>17577.150010000001</v>
      </c>
      <c r="G1194" s="28">
        <v>59566.988400000002</v>
      </c>
      <c r="H1194" s="28">
        <v>60388.281833000001</v>
      </c>
      <c r="I1194" s="19">
        <f t="shared" si="184"/>
        <v>209258.07404199999</v>
      </c>
    </row>
    <row r="1195" spans="1:9" x14ac:dyDescent="0.3">
      <c r="A1195" s="15" t="s">
        <v>21</v>
      </c>
      <c r="B1195" s="28">
        <v>0</v>
      </c>
      <c r="C1195" s="28">
        <v>4584.0857599999999</v>
      </c>
      <c r="D1195" s="28">
        <v>8204.5218160000004</v>
      </c>
      <c r="E1195" s="28">
        <v>5217.2631199999996</v>
      </c>
      <c r="F1195" s="28">
        <v>2700.0511200000001</v>
      </c>
      <c r="G1195" s="28">
        <v>6300.119200000001</v>
      </c>
      <c r="H1195" s="28">
        <v>12036.559096000001</v>
      </c>
      <c r="I1195" s="19">
        <f t="shared" si="184"/>
        <v>39042.600112</v>
      </c>
    </row>
    <row r="1196" spans="1:9" ht="19.5" thickBot="1" x14ac:dyDescent="0.35">
      <c r="A1196" s="15" t="s">
        <v>22</v>
      </c>
      <c r="B1196" s="28">
        <v>0</v>
      </c>
      <c r="C1196" s="28">
        <v>0</v>
      </c>
      <c r="D1196" s="28">
        <v>0</v>
      </c>
      <c r="E1196" s="28">
        <v>0</v>
      </c>
      <c r="F1196" s="28">
        <v>0</v>
      </c>
      <c r="G1196" s="28">
        <v>0</v>
      </c>
      <c r="H1196" s="28">
        <v>600</v>
      </c>
      <c r="I1196" s="19">
        <f t="shared" si="184"/>
        <v>600</v>
      </c>
    </row>
    <row r="1197" spans="1:9" ht="19.5" thickBot="1" x14ac:dyDescent="0.35">
      <c r="A1197" s="20" t="s">
        <v>7</v>
      </c>
      <c r="B1197" s="21">
        <f>SUM(B1192:B1196)</f>
        <v>9914.7936000000009</v>
      </c>
      <c r="C1197" s="21">
        <f>SUM(C1192:C1196)</f>
        <v>94638.626899999988</v>
      </c>
      <c r="D1197" s="21">
        <f>SUM(D1192:D1196)</f>
        <v>123266.8487</v>
      </c>
      <c r="E1197" s="21">
        <f t="shared" ref="E1197:H1197" si="185">SUM(E1192:E1196)</f>
        <v>95864.183800000013</v>
      </c>
      <c r="F1197" s="21">
        <f t="shared" si="185"/>
        <v>78339.702000000005</v>
      </c>
      <c r="G1197" s="21">
        <f t="shared" si="185"/>
        <v>232916.63620000001</v>
      </c>
      <c r="H1197" s="21">
        <f t="shared" si="185"/>
        <v>222191.98873000001</v>
      </c>
      <c r="I1197" s="21">
        <f>SUM(I1192:I1196)</f>
        <v>857132.77993000008</v>
      </c>
    </row>
    <row r="1198" spans="1:9" ht="19.5" thickTop="1" x14ac:dyDescent="0.3">
      <c r="A1198" s="22" t="s">
        <v>20</v>
      </c>
      <c r="B1198" s="23">
        <f>7404.534*0.6</f>
        <v>4442.7203999999992</v>
      </c>
      <c r="C1198" s="23">
        <f>13560.057*0.6</f>
        <v>8136.0342000000001</v>
      </c>
      <c r="D1198" s="23">
        <f>5288.958*0.6</f>
        <v>3173.3747999999996</v>
      </c>
      <c r="E1198" s="23">
        <f>4231.164*0.6</f>
        <v>2538.6983999999998</v>
      </c>
      <c r="F1198" s="23">
        <f>9520.114*0.6</f>
        <v>5712.0683999999992</v>
      </c>
      <c r="G1198" s="23">
        <f>93533.062*0.6</f>
        <v>56119.837200000002</v>
      </c>
      <c r="H1198" s="23">
        <f>47208.8479999999*0.6</f>
        <v>28325.308799999941</v>
      </c>
      <c r="I1198" s="23">
        <f>SUM(B1198:H1198)</f>
        <v>108448.04219999994</v>
      </c>
    </row>
    <row r="1199" spans="1:9" x14ac:dyDescent="0.3">
      <c r="A1199" s="24" t="s">
        <v>25</v>
      </c>
      <c r="B1199" s="25"/>
      <c r="C1199" s="25"/>
      <c r="D1199" s="25"/>
      <c r="E1199" s="25"/>
      <c r="F1199" s="25"/>
      <c r="G1199" s="25"/>
      <c r="H1199" s="25"/>
      <c r="I1199" s="25"/>
    </row>
    <row r="1200" spans="1:9" x14ac:dyDescent="0.3">
      <c r="A1200" s="26" t="s">
        <v>23</v>
      </c>
      <c r="B1200" s="25">
        <v>0</v>
      </c>
      <c r="C1200" s="25">
        <v>0</v>
      </c>
      <c r="D1200" s="25">
        <v>0</v>
      </c>
      <c r="E1200" s="25">
        <v>0</v>
      </c>
      <c r="F1200" s="25">
        <f>30000/1.229</f>
        <v>24410.089503661511</v>
      </c>
      <c r="G1200" s="25">
        <f>30000/1.229</f>
        <v>24410.089503661511</v>
      </c>
      <c r="H1200" s="25">
        <v>0</v>
      </c>
      <c r="I1200" s="25">
        <f>SUM(B1200:H1200)</f>
        <v>48820.179007323022</v>
      </c>
    </row>
    <row r="1201" spans="1:9" ht="19.5" thickBot="1" x14ac:dyDescent="0.35">
      <c r="A1201" s="27" t="s">
        <v>24</v>
      </c>
      <c r="B1201" s="25">
        <f>30000/1.229</f>
        <v>24410.089503661511</v>
      </c>
      <c r="C1201" s="25">
        <v>0</v>
      </c>
      <c r="D1201" s="25">
        <f>10000/1.229</f>
        <v>8136.6965012205037</v>
      </c>
      <c r="E1201" s="25">
        <f>10000/1.229</f>
        <v>8136.6965012205037</v>
      </c>
      <c r="F1201" s="25">
        <f>10000/1.229</f>
        <v>8136.6965012205037</v>
      </c>
      <c r="G1201" s="25">
        <f>(30000/1.229)+(10000/1.229)</f>
        <v>32546.786004882015</v>
      </c>
      <c r="H1201" s="25">
        <v>0</v>
      </c>
      <c r="I1201" s="25">
        <f>SUM(B1201:H1201)</f>
        <v>81366.965012205037</v>
      </c>
    </row>
    <row r="1204" spans="1:9" x14ac:dyDescent="0.3">
      <c r="A1204" s="4" t="s">
        <v>91</v>
      </c>
      <c r="B1204" s="5" t="s">
        <v>0</v>
      </c>
      <c r="C1204" s="5" t="s">
        <v>1</v>
      </c>
      <c r="D1204" s="5" t="s">
        <v>2</v>
      </c>
      <c r="E1204" s="6" t="s">
        <v>3</v>
      </c>
      <c r="F1204" s="5" t="s">
        <v>4</v>
      </c>
      <c r="G1204" s="5" t="s">
        <v>5</v>
      </c>
      <c r="H1204" s="5" t="s">
        <v>6</v>
      </c>
      <c r="I1204" s="5" t="s">
        <v>7</v>
      </c>
    </row>
    <row r="1205" spans="1:9" x14ac:dyDescent="0.3">
      <c r="A1205" s="7"/>
      <c r="B1205" s="8">
        <v>45586</v>
      </c>
      <c r="C1205" s="8">
        <v>45587</v>
      </c>
      <c r="D1205" s="8">
        <v>45588</v>
      </c>
      <c r="E1205" s="8">
        <v>45589</v>
      </c>
      <c r="F1205" s="8">
        <v>45590</v>
      </c>
      <c r="G1205" s="8">
        <v>45591</v>
      </c>
      <c r="H1205" s="8">
        <v>45592</v>
      </c>
      <c r="I1205" s="9"/>
    </row>
    <row r="1206" spans="1:9" ht="19.5" thickBot="1" x14ac:dyDescent="0.35">
      <c r="A1206" s="10" t="s">
        <v>8</v>
      </c>
      <c r="B1206" s="11" t="s">
        <v>9</v>
      </c>
      <c r="C1206" s="11" t="s">
        <v>9</v>
      </c>
      <c r="D1206" s="11" t="s">
        <v>9</v>
      </c>
      <c r="E1206" s="11" t="s">
        <v>9</v>
      </c>
      <c r="F1206" s="11" t="s">
        <v>9</v>
      </c>
      <c r="G1206" s="11" t="s">
        <v>9</v>
      </c>
      <c r="H1206" s="11" t="s">
        <v>9</v>
      </c>
      <c r="I1206" s="12" t="s">
        <v>9</v>
      </c>
    </row>
    <row r="1207" spans="1:9" x14ac:dyDescent="0.3">
      <c r="A1207" s="13" t="s">
        <v>10</v>
      </c>
      <c r="B1207" s="14">
        <v>54</v>
      </c>
      <c r="C1207" s="14">
        <v>53</v>
      </c>
      <c r="D1207" s="14">
        <v>52</v>
      </c>
      <c r="E1207" s="14">
        <v>51</v>
      </c>
      <c r="F1207" s="14">
        <v>51</v>
      </c>
      <c r="G1207" s="14">
        <v>50</v>
      </c>
      <c r="H1207" s="14">
        <v>52</v>
      </c>
      <c r="I1207" s="14"/>
    </row>
    <row r="1208" spans="1:9" x14ac:dyDescent="0.3">
      <c r="A1208" s="15" t="s">
        <v>11</v>
      </c>
      <c r="B1208" s="16">
        <v>0</v>
      </c>
      <c r="C1208" s="16">
        <v>1</v>
      </c>
      <c r="D1208" s="16">
        <v>2</v>
      </c>
      <c r="E1208" s="16">
        <v>3</v>
      </c>
      <c r="F1208" s="16">
        <v>3</v>
      </c>
      <c r="G1208" s="16">
        <v>4</v>
      </c>
      <c r="H1208" s="16">
        <v>2</v>
      </c>
      <c r="I1208" s="16">
        <f>SUM(B1208:H1208)</f>
        <v>15</v>
      </c>
    </row>
    <row r="1209" spans="1:9" x14ac:dyDescent="0.3">
      <c r="A1209" s="15" t="s">
        <v>12</v>
      </c>
      <c r="B1209" s="16">
        <v>33</v>
      </c>
      <c r="C1209" s="16">
        <v>34</v>
      </c>
      <c r="D1209" s="16">
        <v>2</v>
      </c>
      <c r="E1209" s="16">
        <v>17</v>
      </c>
      <c r="F1209" s="16">
        <v>24</v>
      </c>
      <c r="G1209" s="16">
        <v>22</v>
      </c>
      <c r="H1209" s="16">
        <v>7</v>
      </c>
      <c r="I1209" s="16">
        <f t="shared" ref="I1209:I1215" si="186">SUM(B1209:H1209)</f>
        <v>139</v>
      </c>
    </row>
    <row r="1210" spans="1:9" x14ac:dyDescent="0.3">
      <c r="A1210" s="15" t="s">
        <v>30</v>
      </c>
      <c r="B1210" s="16">
        <v>0</v>
      </c>
      <c r="C1210" s="16">
        <v>0</v>
      </c>
      <c r="D1210" s="16">
        <v>0</v>
      </c>
      <c r="E1210" s="16">
        <v>0</v>
      </c>
      <c r="F1210" s="16">
        <v>0</v>
      </c>
      <c r="G1210" s="16">
        <v>0</v>
      </c>
      <c r="H1210" s="16">
        <v>0</v>
      </c>
      <c r="I1210" s="16">
        <f t="shared" si="186"/>
        <v>0</v>
      </c>
    </row>
    <row r="1211" spans="1:9" x14ac:dyDescent="0.3">
      <c r="A1211" s="15" t="s">
        <v>28</v>
      </c>
      <c r="B1211" s="16">
        <v>20</v>
      </c>
      <c r="C1211" s="16">
        <v>23</v>
      </c>
      <c r="D1211" s="16">
        <v>29</v>
      </c>
      <c r="E1211" s="16">
        <v>26</v>
      </c>
      <c r="F1211" s="16">
        <v>52</v>
      </c>
      <c r="G1211" s="16">
        <v>466</v>
      </c>
      <c r="H1211" s="16">
        <v>53</v>
      </c>
      <c r="I1211" s="16">
        <f t="shared" si="186"/>
        <v>669</v>
      </c>
    </row>
    <row r="1212" spans="1:9" x14ac:dyDescent="0.3">
      <c r="A1212" s="15" t="s">
        <v>29</v>
      </c>
      <c r="B1212" s="16">
        <v>0</v>
      </c>
      <c r="C1212" s="16">
        <v>4</v>
      </c>
      <c r="D1212" s="16">
        <v>6</v>
      </c>
      <c r="E1212" s="16">
        <v>5</v>
      </c>
      <c r="F1212" s="16">
        <v>10</v>
      </c>
      <c r="G1212" s="16">
        <v>146</v>
      </c>
      <c r="H1212" s="16">
        <v>7</v>
      </c>
      <c r="I1212" s="16">
        <f t="shared" si="186"/>
        <v>178</v>
      </c>
    </row>
    <row r="1213" spans="1:9" x14ac:dyDescent="0.3">
      <c r="A1213" s="15" t="s">
        <v>31</v>
      </c>
      <c r="B1213" s="16">
        <v>0</v>
      </c>
      <c r="C1213" s="16">
        <v>0</v>
      </c>
      <c r="D1213" s="16">
        <v>5</v>
      </c>
      <c r="E1213" s="16">
        <v>5</v>
      </c>
      <c r="F1213" s="16">
        <v>6</v>
      </c>
      <c r="G1213" s="16">
        <v>138</v>
      </c>
      <c r="H1213" s="16">
        <v>2</v>
      </c>
      <c r="I1213" s="16">
        <f t="shared" si="186"/>
        <v>156</v>
      </c>
    </row>
    <row r="1214" spans="1:9" x14ac:dyDescent="0.3">
      <c r="A1214" s="15" t="s">
        <v>13</v>
      </c>
      <c r="B1214" s="16">
        <v>0</v>
      </c>
      <c r="C1214" s="16">
        <v>0</v>
      </c>
      <c r="D1214" s="16">
        <v>0</v>
      </c>
      <c r="E1214" s="16">
        <v>0</v>
      </c>
      <c r="F1214" s="16">
        <v>0</v>
      </c>
      <c r="G1214" s="16">
        <v>1</v>
      </c>
      <c r="H1214" s="16">
        <v>1</v>
      </c>
      <c r="I1214" s="16">
        <f t="shared" si="186"/>
        <v>2</v>
      </c>
    </row>
    <row r="1215" spans="1:9" x14ac:dyDescent="0.3">
      <c r="A1215" s="15" t="s">
        <v>14</v>
      </c>
      <c r="B1215" s="16">
        <v>0</v>
      </c>
      <c r="C1215" s="16">
        <v>0</v>
      </c>
      <c r="D1215" s="16">
        <v>0</v>
      </c>
      <c r="E1215" s="16">
        <v>0</v>
      </c>
      <c r="F1215" s="16">
        <v>0</v>
      </c>
      <c r="G1215" s="16">
        <v>0</v>
      </c>
      <c r="H1215" s="16">
        <v>0</v>
      </c>
      <c r="I1215" s="16">
        <f t="shared" si="186"/>
        <v>0</v>
      </c>
    </row>
    <row r="1216" spans="1:9" x14ac:dyDescent="0.3">
      <c r="A1216" s="15" t="s">
        <v>32</v>
      </c>
      <c r="B1216" s="16">
        <v>0</v>
      </c>
      <c r="C1216" s="16">
        <v>0</v>
      </c>
      <c r="D1216" s="16">
        <v>0</v>
      </c>
      <c r="E1216" s="16">
        <v>15</v>
      </c>
      <c r="F1216" s="16">
        <v>0</v>
      </c>
      <c r="G1216" s="16">
        <v>0</v>
      </c>
      <c r="H1216" s="16">
        <v>0</v>
      </c>
      <c r="I1216" s="16">
        <f>SUM(B1216:H1216)</f>
        <v>15</v>
      </c>
    </row>
    <row r="1217" spans="1:9" x14ac:dyDescent="0.3">
      <c r="A1217" s="15" t="s">
        <v>33</v>
      </c>
      <c r="B1217" s="16">
        <v>0</v>
      </c>
      <c r="C1217" s="16">
        <v>0</v>
      </c>
      <c r="D1217" s="16">
        <v>0</v>
      </c>
      <c r="E1217" s="16">
        <v>0</v>
      </c>
      <c r="F1217" s="16">
        <v>0</v>
      </c>
      <c r="G1217" s="16">
        <v>0</v>
      </c>
      <c r="H1217" s="16">
        <v>0</v>
      </c>
      <c r="I1217" s="16">
        <f t="shared" ref="I1217" si="187">SUM(B1217:H1217)</f>
        <v>0</v>
      </c>
    </row>
    <row r="1218" spans="1:9" ht="19.5" thickBot="1" x14ac:dyDescent="0.35">
      <c r="A1218" s="30" t="s">
        <v>15</v>
      </c>
      <c r="B1218" s="31">
        <f t="shared" ref="B1218:H1218" si="188">(B1209+B1208)/B1207*100%</f>
        <v>0.61111111111111116</v>
      </c>
      <c r="C1218" s="31">
        <f t="shared" si="188"/>
        <v>0.660377358490566</v>
      </c>
      <c r="D1218" s="31">
        <f t="shared" si="188"/>
        <v>7.6923076923076927E-2</v>
      </c>
      <c r="E1218" s="31">
        <f t="shared" si="188"/>
        <v>0.39215686274509803</v>
      </c>
      <c r="F1218" s="31">
        <f t="shared" si="188"/>
        <v>0.52941176470588236</v>
      </c>
      <c r="G1218" s="31">
        <f t="shared" si="188"/>
        <v>0.52</v>
      </c>
      <c r="H1218" s="31">
        <f t="shared" si="188"/>
        <v>0.17307692307692307</v>
      </c>
      <c r="I1218" s="32">
        <f>(B1218+C1218+D1218+E1218+F1218+G1218+H1218)/7</f>
        <v>0.42329387100752253</v>
      </c>
    </row>
    <row r="1219" spans="1:9" x14ac:dyDescent="0.3">
      <c r="A1219" s="67" t="s">
        <v>16</v>
      </c>
      <c r="B1219" s="16"/>
      <c r="C1219" s="17"/>
      <c r="D1219" s="16"/>
      <c r="E1219" s="18"/>
      <c r="F1219" s="16"/>
      <c r="G1219" s="16"/>
      <c r="H1219" s="16"/>
      <c r="I1219" s="16"/>
    </row>
    <row r="1220" spans="1:9" x14ac:dyDescent="0.3">
      <c r="A1220" s="15" t="s">
        <v>17</v>
      </c>
      <c r="B1220" s="28">
        <v>58033.379000000001</v>
      </c>
      <c r="C1220" s="28">
        <v>62109.439999999988</v>
      </c>
      <c r="D1220" s="28">
        <v>4312.5973999999997</v>
      </c>
      <c r="E1220" s="28">
        <v>35169.7287</v>
      </c>
      <c r="F1220" s="28">
        <v>51927.568300000006</v>
      </c>
      <c r="G1220" s="28">
        <v>48744.541899999997</v>
      </c>
      <c r="H1220" s="28">
        <v>19951.562000000002</v>
      </c>
      <c r="I1220" s="19">
        <f>SUM(B1220:H1220)</f>
        <v>280248.8173</v>
      </c>
    </row>
    <row r="1221" spans="1:9" x14ac:dyDescent="0.3">
      <c r="A1221" s="15" t="s">
        <v>18</v>
      </c>
      <c r="B1221" s="28">
        <v>47700.110040000014</v>
      </c>
      <c r="C1221" s="28">
        <v>56040.394260000008</v>
      </c>
      <c r="D1221" s="28">
        <v>12347.715030000001</v>
      </c>
      <c r="E1221" s="28">
        <v>35028.916240000006</v>
      </c>
      <c r="F1221" s="28">
        <v>50881.126780000006</v>
      </c>
      <c r="G1221" s="28">
        <v>144268.30783000001</v>
      </c>
      <c r="H1221" s="28">
        <v>28407.774600000004</v>
      </c>
      <c r="I1221" s="19">
        <f t="shared" ref="I1221:I1224" si="189">SUM(B1221:H1221)</f>
        <v>374674.34478000004</v>
      </c>
    </row>
    <row r="1222" spans="1:9" x14ac:dyDescent="0.3">
      <c r="A1222" s="15" t="s">
        <v>19</v>
      </c>
      <c r="B1222" s="28">
        <v>46952.789140000008</v>
      </c>
      <c r="C1222" s="28">
        <v>47360.012859999995</v>
      </c>
      <c r="D1222" s="28">
        <v>5032.6784699999998</v>
      </c>
      <c r="E1222" s="28">
        <v>22006.111560000001</v>
      </c>
      <c r="F1222" s="28">
        <v>35223.205960000007</v>
      </c>
      <c r="G1222" s="28">
        <v>60002.150370000003</v>
      </c>
      <c r="H1222" s="28">
        <v>15891.271600000002</v>
      </c>
      <c r="I1222" s="19">
        <f t="shared" si="189"/>
        <v>232468.21995999999</v>
      </c>
    </row>
    <row r="1223" spans="1:9" x14ac:dyDescent="0.3">
      <c r="A1223" s="15" t="s">
        <v>21</v>
      </c>
      <c r="B1223" s="28">
        <v>11600.203520000003</v>
      </c>
      <c r="C1223" s="28">
        <v>10095.46848</v>
      </c>
      <c r="D1223" s="28">
        <v>0</v>
      </c>
      <c r="E1223" s="28">
        <v>4374.8887999999997</v>
      </c>
      <c r="F1223" s="28">
        <v>4277.2465600000005</v>
      </c>
      <c r="G1223" s="28">
        <v>3200.0584000000003</v>
      </c>
      <c r="H1223" s="28">
        <v>0</v>
      </c>
      <c r="I1223" s="19">
        <f t="shared" si="189"/>
        <v>33547.865760000001</v>
      </c>
    </row>
    <row r="1224" spans="1:9" ht="19.5" thickBot="1" x14ac:dyDescent="0.35">
      <c r="A1224" s="15" t="s">
        <v>22</v>
      </c>
      <c r="B1224" s="28">
        <v>1500</v>
      </c>
      <c r="C1224" s="28">
        <v>1500</v>
      </c>
      <c r="D1224" s="28">
        <v>0</v>
      </c>
      <c r="E1224" s="28">
        <v>0</v>
      </c>
      <c r="F1224" s="28">
        <v>0</v>
      </c>
      <c r="G1224" s="28">
        <v>0</v>
      </c>
      <c r="H1224" s="28">
        <v>0</v>
      </c>
      <c r="I1224" s="19">
        <f t="shared" si="189"/>
        <v>3000</v>
      </c>
    </row>
    <row r="1225" spans="1:9" ht="19.5" thickBot="1" x14ac:dyDescent="0.35">
      <c r="A1225" s="20" t="s">
        <v>7</v>
      </c>
      <c r="B1225" s="21">
        <f>SUM(B1220:B1224)</f>
        <v>165786.48170000003</v>
      </c>
      <c r="C1225" s="21">
        <f>SUM(C1220:C1224)</f>
        <v>177105.3156</v>
      </c>
      <c r="D1225" s="21">
        <f>SUM(D1220:D1224)</f>
        <v>21692.990900000001</v>
      </c>
      <c r="E1225" s="21">
        <f t="shared" ref="E1225:H1225" si="190">SUM(E1220:E1224)</f>
        <v>96579.645300000004</v>
      </c>
      <c r="F1225" s="21">
        <f t="shared" si="190"/>
        <v>142309.14760000003</v>
      </c>
      <c r="G1225" s="21">
        <f t="shared" si="190"/>
        <v>256215.05850000001</v>
      </c>
      <c r="H1225" s="21">
        <f t="shared" si="190"/>
        <v>64250.60820000001</v>
      </c>
      <c r="I1225" s="21">
        <f>SUM(I1220:I1224)</f>
        <v>923939.24780000001</v>
      </c>
    </row>
    <row r="1226" spans="1:9" ht="19.5" thickTop="1" x14ac:dyDescent="0.3">
      <c r="A1226" s="22" t="s">
        <v>20</v>
      </c>
      <c r="B1226" s="23">
        <f>10577.9*0.6</f>
        <v>6346.74</v>
      </c>
      <c r="C1226" s="23">
        <f>12978.278*0.6</f>
        <v>7786.9668000000001</v>
      </c>
      <c r="D1226" s="23">
        <f>17982.435*0.6</f>
        <v>10789.461000000001</v>
      </c>
      <c r="E1226" s="23">
        <f>19748.136*0.6</f>
        <v>11848.881599999999</v>
      </c>
      <c r="F1226" s="23">
        <f>30049.832*0.6</f>
        <v>18029.8992</v>
      </c>
      <c r="G1226" s="23">
        <f>219943.891*0.6</f>
        <v>131966.3346</v>
      </c>
      <c r="H1226" s="23">
        <f>30309.752*0.6</f>
        <v>18185.851200000001</v>
      </c>
      <c r="I1226" s="23">
        <f>SUM(B1226:H1226)</f>
        <v>204954.13440000001</v>
      </c>
    </row>
    <row r="1227" spans="1:9" x14ac:dyDescent="0.3">
      <c r="A1227" s="24" t="s">
        <v>25</v>
      </c>
      <c r="B1227" s="25"/>
      <c r="C1227" s="25"/>
      <c r="D1227" s="25"/>
      <c r="E1227" s="25"/>
      <c r="F1227" s="25"/>
      <c r="G1227" s="25"/>
      <c r="H1227" s="25"/>
      <c r="I1227" s="25"/>
    </row>
    <row r="1228" spans="1:9" x14ac:dyDescent="0.3">
      <c r="A1228" s="26" t="s">
        <v>23</v>
      </c>
      <c r="B1228" s="25">
        <v>0</v>
      </c>
      <c r="C1228" s="25">
        <v>0</v>
      </c>
      <c r="D1228" s="25">
        <v>0</v>
      </c>
      <c r="E1228" s="25">
        <v>24410.089503661511</v>
      </c>
      <c r="F1228" s="25">
        <v>24410.089503661511</v>
      </c>
      <c r="G1228" s="25">
        <v>48820.179007323022</v>
      </c>
      <c r="H1228" s="25">
        <f>60000/1.229</f>
        <v>48820.179007323022</v>
      </c>
      <c r="I1228" s="25">
        <f>SUM(B1228:H1228)</f>
        <v>146460.53702196907</v>
      </c>
    </row>
    <row r="1229" spans="1:9" ht="19.5" thickBot="1" x14ac:dyDescent="0.35">
      <c r="A1229" s="27" t="s">
        <v>24</v>
      </c>
      <c r="B1229" s="25">
        <v>0</v>
      </c>
      <c r="C1229" s="25">
        <f>10000/1.229</f>
        <v>8136.6965012205037</v>
      </c>
      <c r="D1229" s="25">
        <f>(10000/1.229)+(6000/1.229)</f>
        <v>13018.714401952806</v>
      </c>
      <c r="E1229" s="25">
        <f>(10000/1.229)+(6000/1.229)</f>
        <v>13018.714401952806</v>
      </c>
      <c r="F1229" s="25">
        <v>13018.714401952806</v>
      </c>
      <c r="G1229" s="25">
        <v>13018.714401952806</v>
      </c>
      <c r="H1229" s="25">
        <v>0</v>
      </c>
      <c r="I1229" s="25">
        <f>SUM(B1229:H1229)</f>
        <v>60211.554109031727</v>
      </c>
    </row>
    <row r="1231" spans="1:9" x14ac:dyDescent="0.3">
      <c r="A1231" s="4" t="s">
        <v>92</v>
      </c>
      <c r="B1231" s="5" t="s">
        <v>0</v>
      </c>
      <c r="C1231" s="5" t="s">
        <v>1</v>
      </c>
      <c r="D1231" s="5" t="s">
        <v>2</v>
      </c>
      <c r="E1231" s="6" t="s">
        <v>3</v>
      </c>
      <c r="F1231" s="5" t="s">
        <v>4</v>
      </c>
      <c r="G1231" s="5" t="s">
        <v>5</v>
      </c>
      <c r="H1231" s="5" t="s">
        <v>6</v>
      </c>
      <c r="I1231" s="5" t="s">
        <v>7</v>
      </c>
    </row>
    <row r="1232" spans="1:9" x14ac:dyDescent="0.3">
      <c r="A1232" s="7"/>
      <c r="B1232" s="8">
        <v>45593</v>
      </c>
      <c r="C1232" s="8">
        <v>45594</v>
      </c>
      <c r="D1232" s="8">
        <v>45595</v>
      </c>
      <c r="E1232" s="8">
        <v>45596</v>
      </c>
      <c r="F1232" s="8">
        <v>45597</v>
      </c>
      <c r="G1232" s="8">
        <v>45598</v>
      </c>
      <c r="H1232" s="8">
        <v>45599</v>
      </c>
      <c r="I1232" s="9"/>
    </row>
    <row r="1233" spans="1:10" ht="19.5" thickBot="1" x14ac:dyDescent="0.35">
      <c r="A1233" s="10" t="s">
        <v>8</v>
      </c>
      <c r="B1233" s="11" t="s">
        <v>9</v>
      </c>
      <c r="C1233" s="11" t="s">
        <v>9</v>
      </c>
      <c r="D1233" s="11" t="s">
        <v>9</v>
      </c>
      <c r="E1233" s="11" t="s">
        <v>9</v>
      </c>
      <c r="F1233" s="11" t="s">
        <v>9</v>
      </c>
      <c r="G1233" s="11" t="s">
        <v>9</v>
      </c>
      <c r="H1233" s="11" t="s">
        <v>9</v>
      </c>
      <c r="I1233" s="12" t="s">
        <v>9</v>
      </c>
    </row>
    <row r="1234" spans="1:10" x14ac:dyDescent="0.3">
      <c r="A1234" s="13" t="s">
        <v>10</v>
      </c>
      <c r="B1234" s="14">
        <v>51</v>
      </c>
      <c r="C1234" s="14">
        <v>51</v>
      </c>
      <c r="D1234" s="14">
        <v>52</v>
      </c>
      <c r="E1234" s="14">
        <v>52</v>
      </c>
      <c r="F1234" s="14">
        <v>50</v>
      </c>
      <c r="G1234" s="14">
        <v>52</v>
      </c>
      <c r="H1234" s="14">
        <v>53</v>
      </c>
      <c r="I1234" s="14"/>
    </row>
    <row r="1235" spans="1:10" x14ac:dyDescent="0.3">
      <c r="A1235" s="15" t="s">
        <v>11</v>
      </c>
      <c r="B1235" s="16">
        <v>3</v>
      </c>
      <c r="C1235" s="16">
        <v>3</v>
      </c>
      <c r="D1235" s="16">
        <v>2</v>
      </c>
      <c r="E1235" s="16">
        <v>2</v>
      </c>
      <c r="F1235" s="16">
        <v>4</v>
      </c>
      <c r="G1235" s="16">
        <v>2</v>
      </c>
      <c r="H1235" s="16">
        <v>1</v>
      </c>
      <c r="I1235" s="16">
        <f>SUM(B1235:H1235)</f>
        <v>17</v>
      </c>
      <c r="J1235" s="29">
        <f t="shared" ref="J1235:J1253" si="191">B1235+C1235+D1235+I1208+I1180+I1152+I1125-B1125+E1235</f>
        <v>61</v>
      </c>
    </row>
    <row r="1236" spans="1:10" x14ac:dyDescent="0.3">
      <c r="A1236" s="15" t="s">
        <v>12</v>
      </c>
      <c r="B1236" s="16">
        <v>5</v>
      </c>
      <c r="C1236" s="16">
        <v>11</v>
      </c>
      <c r="D1236" s="16">
        <v>23</v>
      </c>
      <c r="E1236" s="16">
        <v>32</v>
      </c>
      <c r="F1236" s="16">
        <v>25</v>
      </c>
      <c r="G1236" s="16">
        <v>37</v>
      </c>
      <c r="H1236" s="16">
        <v>25</v>
      </c>
      <c r="I1236" s="16">
        <f t="shared" ref="I1236:I1242" si="192">SUM(B1236:H1236)</f>
        <v>158</v>
      </c>
      <c r="J1236" s="29">
        <f t="shared" si="191"/>
        <v>575</v>
      </c>
    </row>
    <row r="1237" spans="1:10" x14ac:dyDescent="0.3">
      <c r="A1237" s="15" t="s">
        <v>30</v>
      </c>
      <c r="B1237" s="16">
        <v>0</v>
      </c>
      <c r="C1237" s="16">
        <v>0</v>
      </c>
      <c r="D1237" s="16">
        <v>0</v>
      </c>
      <c r="E1237" s="16">
        <v>0</v>
      </c>
      <c r="F1237" s="16">
        <v>0</v>
      </c>
      <c r="G1237" s="16">
        <v>0</v>
      </c>
      <c r="H1237" s="16">
        <v>0</v>
      </c>
      <c r="I1237" s="16">
        <f t="shared" si="192"/>
        <v>0</v>
      </c>
      <c r="J1237" s="29">
        <f t="shared" si="191"/>
        <v>2</v>
      </c>
    </row>
    <row r="1238" spans="1:10" x14ac:dyDescent="0.3">
      <c r="A1238" s="15" t="s">
        <v>28</v>
      </c>
      <c r="B1238" s="16">
        <v>32</v>
      </c>
      <c r="C1238" s="16">
        <v>155</v>
      </c>
      <c r="D1238" s="16">
        <v>45</v>
      </c>
      <c r="E1238" s="16">
        <v>54</v>
      </c>
      <c r="F1238" s="16">
        <v>118</v>
      </c>
      <c r="G1238" s="16">
        <v>101</v>
      </c>
      <c r="H1238" s="16">
        <v>46</v>
      </c>
      <c r="I1238" s="16">
        <f t="shared" si="192"/>
        <v>551</v>
      </c>
      <c r="J1238" s="29">
        <f t="shared" si="191"/>
        <v>2006</v>
      </c>
    </row>
    <row r="1239" spans="1:10" x14ac:dyDescent="0.3">
      <c r="A1239" s="15" t="s">
        <v>29</v>
      </c>
      <c r="B1239" s="16">
        <v>0</v>
      </c>
      <c r="C1239" s="16">
        <v>3</v>
      </c>
      <c r="D1239" s="16">
        <v>7</v>
      </c>
      <c r="E1239" s="16">
        <v>10</v>
      </c>
      <c r="F1239" s="16">
        <v>13</v>
      </c>
      <c r="G1239" s="16">
        <v>30</v>
      </c>
      <c r="H1239" s="16">
        <v>5</v>
      </c>
      <c r="I1239" s="16">
        <f t="shared" si="192"/>
        <v>68</v>
      </c>
      <c r="J1239" s="29">
        <f t="shared" si="191"/>
        <v>329</v>
      </c>
    </row>
    <row r="1240" spans="1:10" x14ac:dyDescent="0.3">
      <c r="A1240" s="15" t="s">
        <v>31</v>
      </c>
      <c r="B1240" s="16">
        <v>1</v>
      </c>
      <c r="C1240" s="16">
        <v>5</v>
      </c>
      <c r="D1240" s="16">
        <v>5</v>
      </c>
      <c r="E1240" s="16">
        <v>2</v>
      </c>
      <c r="F1240" s="16">
        <v>6</v>
      </c>
      <c r="G1240" s="16">
        <v>7</v>
      </c>
      <c r="H1240" s="16">
        <v>4</v>
      </c>
      <c r="I1240" s="16">
        <f t="shared" si="192"/>
        <v>30</v>
      </c>
      <c r="J1240" s="29">
        <f t="shared" si="191"/>
        <v>207</v>
      </c>
    </row>
    <row r="1241" spans="1:10" x14ac:dyDescent="0.3">
      <c r="A1241" s="15" t="s">
        <v>13</v>
      </c>
      <c r="B1241" s="16">
        <v>0</v>
      </c>
      <c r="C1241" s="16">
        <v>0</v>
      </c>
      <c r="D1241" s="16">
        <v>1</v>
      </c>
      <c r="E1241" s="16">
        <v>1</v>
      </c>
      <c r="F1241" s="16">
        <v>6</v>
      </c>
      <c r="G1241" s="16">
        <v>3</v>
      </c>
      <c r="H1241" s="16">
        <v>2</v>
      </c>
      <c r="I1241" s="16">
        <f t="shared" si="192"/>
        <v>13</v>
      </c>
      <c r="J1241" s="29">
        <f t="shared" si="191"/>
        <v>34</v>
      </c>
    </row>
    <row r="1242" spans="1:10" x14ac:dyDescent="0.3">
      <c r="A1242" s="15" t="s">
        <v>14</v>
      </c>
      <c r="B1242" s="16">
        <v>0</v>
      </c>
      <c r="C1242" s="16">
        <v>0</v>
      </c>
      <c r="D1242" s="16">
        <v>0</v>
      </c>
      <c r="E1242" s="16">
        <v>0</v>
      </c>
      <c r="F1242" s="16">
        <v>0</v>
      </c>
      <c r="G1242" s="16">
        <v>0</v>
      </c>
      <c r="H1242" s="16">
        <v>0</v>
      </c>
      <c r="I1242" s="16">
        <f t="shared" si="192"/>
        <v>0</v>
      </c>
      <c r="J1242" s="29">
        <f t="shared" si="191"/>
        <v>4</v>
      </c>
    </row>
    <row r="1243" spans="1:10" x14ac:dyDescent="0.3">
      <c r="A1243" s="15" t="s">
        <v>32</v>
      </c>
      <c r="B1243" s="16">
        <v>0</v>
      </c>
      <c r="C1243" s="16">
        <v>0</v>
      </c>
      <c r="D1243" s="16">
        <v>0</v>
      </c>
      <c r="E1243" s="16">
        <v>0</v>
      </c>
      <c r="F1243" s="16">
        <v>0</v>
      </c>
      <c r="G1243" s="16">
        <v>0</v>
      </c>
      <c r="H1243" s="16">
        <v>0</v>
      </c>
      <c r="I1243" s="16">
        <f>SUM(B1243:H1243)</f>
        <v>0</v>
      </c>
      <c r="J1243" s="29">
        <f t="shared" si="191"/>
        <v>15</v>
      </c>
    </row>
    <row r="1244" spans="1:10" x14ac:dyDescent="0.3">
      <c r="A1244" s="15" t="s">
        <v>33</v>
      </c>
      <c r="B1244" s="16">
        <v>0</v>
      </c>
      <c r="C1244" s="16">
        <v>0</v>
      </c>
      <c r="D1244" s="16">
        <v>0</v>
      </c>
      <c r="E1244" s="16">
        <v>0</v>
      </c>
      <c r="F1244" s="16">
        <v>0</v>
      </c>
      <c r="G1244" s="16">
        <v>0</v>
      </c>
      <c r="H1244" s="16">
        <v>0</v>
      </c>
      <c r="I1244" s="16">
        <f t="shared" ref="I1244" si="193">SUM(B1244:H1244)</f>
        <v>0</v>
      </c>
      <c r="J1244" s="29">
        <f t="shared" si="191"/>
        <v>1</v>
      </c>
    </row>
    <row r="1245" spans="1:10" ht="19.5" thickBot="1" x14ac:dyDescent="0.35">
      <c r="A1245" s="30" t="s">
        <v>15</v>
      </c>
      <c r="B1245" s="31">
        <f t="shared" ref="B1245:H1245" si="194">(B1236+B1235)/B1234*100%</f>
        <v>0.15686274509803921</v>
      </c>
      <c r="C1245" s="31">
        <f t="shared" si="194"/>
        <v>0.27450980392156865</v>
      </c>
      <c r="D1245" s="31">
        <f t="shared" si="194"/>
        <v>0.48076923076923078</v>
      </c>
      <c r="E1245" s="31">
        <f t="shared" si="194"/>
        <v>0.65384615384615385</v>
      </c>
      <c r="F1245" s="31">
        <f t="shared" si="194"/>
        <v>0.57999999999999996</v>
      </c>
      <c r="G1245" s="31">
        <f t="shared" si="194"/>
        <v>0.75</v>
      </c>
      <c r="H1245" s="31">
        <f t="shared" si="194"/>
        <v>0.49056603773584906</v>
      </c>
      <c r="I1245" s="32">
        <f>(B1245+C1245+D1245+E1245+F1245+G1245+H1245)/7</f>
        <v>0.48379342448154883</v>
      </c>
      <c r="J1245" s="29">
        <f t="shared" si="191"/>
        <v>3.133502971903162</v>
      </c>
    </row>
    <row r="1246" spans="1:10" x14ac:dyDescent="0.3">
      <c r="A1246" s="67" t="s">
        <v>16</v>
      </c>
      <c r="B1246" s="16"/>
      <c r="C1246" s="17"/>
      <c r="D1246" s="16"/>
      <c r="E1246" s="18"/>
      <c r="F1246" s="16"/>
      <c r="G1246" s="16"/>
      <c r="H1246" s="16"/>
      <c r="I1246" s="16"/>
      <c r="J1246" s="29">
        <f t="shared" si="191"/>
        <v>0</v>
      </c>
    </row>
    <row r="1247" spans="1:10" x14ac:dyDescent="0.3">
      <c r="A1247" s="15" t="s">
        <v>17</v>
      </c>
      <c r="B1247" s="28">
        <v>13100.325000000003</v>
      </c>
      <c r="C1247" s="28">
        <v>30269.9012</v>
      </c>
      <c r="D1247" s="28">
        <v>57518.264250000007</v>
      </c>
      <c r="E1247" s="28">
        <v>59163.118099999992</v>
      </c>
      <c r="F1247" s="28">
        <v>46263.667000000001</v>
      </c>
      <c r="G1247" s="28">
        <v>78197.403099999996</v>
      </c>
      <c r="H1247" s="28">
        <v>52249.363300000005</v>
      </c>
      <c r="I1247" s="19">
        <f>SUM(B1247:H1247)</f>
        <v>336762.04195000004</v>
      </c>
      <c r="J1247" s="29">
        <f t="shared" si="191"/>
        <v>1152969.7855600002</v>
      </c>
    </row>
    <row r="1248" spans="1:10" x14ac:dyDescent="0.3">
      <c r="A1248" s="15" t="s">
        <v>18</v>
      </c>
      <c r="B1248" s="28">
        <v>16572.037750000003</v>
      </c>
      <c r="C1248" s="28">
        <v>49239.579190000004</v>
      </c>
      <c r="D1248" s="28">
        <v>51746.217800000006</v>
      </c>
      <c r="E1248" s="28">
        <v>57022.030620000005</v>
      </c>
      <c r="F1248" s="28">
        <v>72443.57064999998</v>
      </c>
      <c r="G1248" s="28">
        <v>86228.412790000002</v>
      </c>
      <c r="H1248" s="28">
        <v>57523.490870000009</v>
      </c>
      <c r="I1248" s="19">
        <f t="shared" ref="I1248:I1251" si="195">SUM(B1248:H1248)</f>
        <v>390775.33967000002</v>
      </c>
      <c r="J1248" s="29">
        <f t="shared" si="191"/>
        <v>1356184.7882160002</v>
      </c>
    </row>
    <row r="1249" spans="1:10" x14ac:dyDescent="0.3">
      <c r="A1249" s="15" t="s">
        <v>19</v>
      </c>
      <c r="B1249" s="28">
        <v>9822.9847500000014</v>
      </c>
      <c r="C1249" s="28">
        <v>27251.743109999999</v>
      </c>
      <c r="D1249" s="28">
        <v>35391.543350000007</v>
      </c>
      <c r="E1249" s="28">
        <v>40959.986579999997</v>
      </c>
      <c r="F1249" s="28">
        <v>40408.397149999997</v>
      </c>
      <c r="G1249" s="28">
        <v>53711.516149999996</v>
      </c>
      <c r="H1249" s="28">
        <v>33557.863949999999</v>
      </c>
      <c r="I1249" s="19">
        <f>SUM(B1249:H1249)</f>
        <v>241104.03504000002</v>
      </c>
      <c r="J1249" s="29">
        <f t="shared" si="191"/>
        <v>872425.01734199992</v>
      </c>
    </row>
    <row r="1250" spans="1:10" x14ac:dyDescent="0.3">
      <c r="A1250" s="15" t="s">
        <v>21</v>
      </c>
      <c r="B1250" s="28">
        <v>0</v>
      </c>
      <c r="C1250" s="28">
        <v>0</v>
      </c>
      <c r="D1250" s="28">
        <v>660.01240000000007</v>
      </c>
      <c r="E1250" s="28">
        <v>6816.1271999999999</v>
      </c>
      <c r="F1250" s="28">
        <v>2990.8191999999999</v>
      </c>
      <c r="G1250" s="28">
        <v>7324.6161600000005</v>
      </c>
      <c r="H1250" s="28">
        <v>10752.40688</v>
      </c>
      <c r="I1250" s="19">
        <f t="shared" si="195"/>
        <v>28543.98184</v>
      </c>
      <c r="J1250" s="29">
        <f t="shared" si="191"/>
        <v>133166.482112</v>
      </c>
    </row>
    <row r="1251" spans="1:10" ht="19.5" thickBot="1" x14ac:dyDescent="0.35">
      <c r="A1251" s="15" t="s">
        <v>22</v>
      </c>
      <c r="B1251" s="28">
        <v>0</v>
      </c>
      <c r="C1251" s="28">
        <v>0</v>
      </c>
      <c r="D1251" s="28">
        <v>0</v>
      </c>
      <c r="E1251" s="28">
        <v>788.96</v>
      </c>
      <c r="F1251" s="28">
        <v>0</v>
      </c>
      <c r="G1251" s="28">
        <v>0</v>
      </c>
      <c r="H1251" s="28">
        <v>0</v>
      </c>
      <c r="I1251" s="19">
        <f t="shared" si="195"/>
        <v>788.96</v>
      </c>
      <c r="J1251" s="29">
        <f t="shared" si="191"/>
        <v>12888.96</v>
      </c>
    </row>
    <row r="1252" spans="1:10" ht="19.5" thickBot="1" x14ac:dyDescent="0.35">
      <c r="A1252" s="20" t="s">
        <v>7</v>
      </c>
      <c r="B1252" s="21">
        <f>SUM(B1247:B1251)</f>
        <v>39495.347500000011</v>
      </c>
      <c r="C1252" s="21">
        <f>SUM(C1247:C1251)</f>
        <v>106761.22350000001</v>
      </c>
      <c r="D1252" s="21">
        <f>SUM(D1247:D1251)</f>
        <v>145316.03780000005</v>
      </c>
      <c r="E1252" s="21">
        <f t="shared" ref="E1252:H1252" si="196">SUM(E1247:E1251)</f>
        <v>164750.22249999997</v>
      </c>
      <c r="F1252" s="21">
        <f t="shared" si="196"/>
        <v>162106.45399999997</v>
      </c>
      <c r="G1252" s="21">
        <f t="shared" si="196"/>
        <v>225461.94820000001</v>
      </c>
      <c r="H1252" s="21">
        <f t="shared" si="196"/>
        <v>154083.125</v>
      </c>
      <c r="I1252" s="21">
        <f>SUM(I1247:I1251)</f>
        <v>997974.35850000009</v>
      </c>
      <c r="J1252" s="29">
        <f t="shared" si="191"/>
        <v>3527635.0332300002</v>
      </c>
    </row>
    <row r="1253" spans="1:10" ht="19.5" thickTop="1" x14ac:dyDescent="0.3">
      <c r="A1253" s="22" t="s">
        <v>20</v>
      </c>
      <c r="B1253" s="23">
        <f>16502.715*0.6</f>
        <v>9901.628999999999</v>
      </c>
      <c r="C1253" s="23">
        <f>62199.163*0.6</f>
        <v>37319.497799999997</v>
      </c>
      <c r="D1253" s="23">
        <f>26932.968*0.6</f>
        <v>16159.7808</v>
      </c>
      <c r="E1253" s="23">
        <f>29547.274*0.6</f>
        <v>17728.364399999999</v>
      </c>
      <c r="F1253" s="23">
        <f>82857.525*0.6</f>
        <v>49714.514999999992</v>
      </c>
      <c r="G1253" s="23">
        <f>59472.215*0.6</f>
        <v>35683.328999999998</v>
      </c>
      <c r="H1253" s="23">
        <f>27055.019*0.6</f>
        <v>16233.011399999999</v>
      </c>
      <c r="I1253" s="23">
        <f>SUM(B1253:H1253)</f>
        <v>182740.12739999997</v>
      </c>
      <c r="J1253" s="29">
        <f t="shared" si="191"/>
        <v>608963.44919999992</v>
      </c>
    </row>
    <row r="1254" spans="1:10" x14ac:dyDescent="0.3">
      <c r="A1254" s="24" t="s">
        <v>25</v>
      </c>
      <c r="B1254" s="25"/>
      <c r="C1254" s="25"/>
      <c r="D1254" s="25"/>
      <c r="E1254" s="25"/>
      <c r="F1254" s="25"/>
      <c r="G1254" s="25"/>
      <c r="H1254" s="25"/>
      <c r="I1254" s="25"/>
    </row>
    <row r="1255" spans="1:10" x14ac:dyDescent="0.3">
      <c r="A1255" s="26" t="s">
        <v>23</v>
      </c>
      <c r="B1255" s="25">
        <f>60000/1.229</f>
        <v>48820.179007323022</v>
      </c>
      <c r="C1255" s="25">
        <f>60000/1.229</f>
        <v>48820.179007323022</v>
      </c>
      <c r="D1255" s="25">
        <f>60000/1.229</f>
        <v>48820.179007323022</v>
      </c>
      <c r="E1255" s="25">
        <f>10000/1.229</f>
        <v>8136.6965012205037</v>
      </c>
      <c r="F1255" s="25">
        <v>48820.179007323022</v>
      </c>
      <c r="G1255" s="25">
        <f>30000/1.229</f>
        <v>24410.089503661511</v>
      </c>
      <c r="H1255" s="25">
        <f>30000/1.229</f>
        <v>24410.089503661511</v>
      </c>
      <c r="I1255" s="25">
        <f>SUM(B1255:H1255)</f>
        <v>252237.5915378356</v>
      </c>
    </row>
    <row r="1256" spans="1:10" ht="19.5" thickBot="1" x14ac:dyDescent="0.35">
      <c r="A1256" s="27" t="s">
        <v>24</v>
      </c>
      <c r="B1256" s="25">
        <f>10000/1.229</f>
        <v>8136.6965012205037</v>
      </c>
      <c r="C1256" s="25">
        <f>10000/1.229</f>
        <v>8136.6965012205037</v>
      </c>
      <c r="D1256" s="25">
        <v>0</v>
      </c>
      <c r="E1256" s="25">
        <f>30000/1.229</f>
        <v>24410.089503661511</v>
      </c>
      <c r="F1256" s="25">
        <f>(10000/1.229)+(30000/1.229)</f>
        <v>32546.786004882015</v>
      </c>
      <c r="G1256" s="25">
        <f>10000/1.229</f>
        <v>8136.6965012205037</v>
      </c>
      <c r="H1256" s="25">
        <v>0</v>
      </c>
      <c r="I1256" s="25">
        <f>SUM(B1256:H1256)</f>
        <v>81366.965012205037</v>
      </c>
    </row>
    <row r="1259" spans="1:10" x14ac:dyDescent="0.3">
      <c r="A1259" s="4" t="s">
        <v>93</v>
      </c>
      <c r="B1259" s="5" t="s">
        <v>0</v>
      </c>
      <c r="C1259" s="5" t="s">
        <v>1</v>
      </c>
      <c r="D1259" s="5" t="s">
        <v>2</v>
      </c>
      <c r="E1259" s="6" t="s">
        <v>3</v>
      </c>
      <c r="F1259" s="5" t="s">
        <v>4</v>
      </c>
      <c r="G1259" s="5" t="s">
        <v>5</v>
      </c>
      <c r="H1259" s="5" t="s">
        <v>6</v>
      </c>
      <c r="I1259" s="5" t="s">
        <v>7</v>
      </c>
    </row>
    <row r="1260" spans="1:10" x14ac:dyDescent="0.3">
      <c r="A1260" s="7"/>
      <c r="B1260" s="8">
        <v>45600</v>
      </c>
      <c r="C1260" s="8">
        <v>45601</v>
      </c>
      <c r="D1260" s="8">
        <v>45602</v>
      </c>
      <c r="E1260" s="8">
        <v>45603</v>
      </c>
      <c r="F1260" s="8">
        <v>45604</v>
      </c>
      <c r="G1260" s="8">
        <v>45605</v>
      </c>
      <c r="H1260" s="8">
        <v>45606</v>
      </c>
      <c r="I1260" s="9"/>
    </row>
    <row r="1261" spans="1:10" ht="19.5" thickBot="1" x14ac:dyDescent="0.35">
      <c r="A1261" s="10" t="s">
        <v>8</v>
      </c>
      <c r="B1261" s="11" t="s">
        <v>9</v>
      </c>
      <c r="C1261" s="11" t="s">
        <v>9</v>
      </c>
      <c r="D1261" s="11" t="s">
        <v>9</v>
      </c>
      <c r="E1261" s="11" t="s">
        <v>9</v>
      </c>
      <c r="F1261" s="11" t="s">
        <v>9</v>
      </c>
      <c r="G1261" s="11" t="s">
        <v>9</v>
      </c>
      <c r="H1261" s="11" t="s">
        <v>9</v>
      </c>
      <c r="I1261" s="12" t="s">
        <v>9</v>
      </c>
    </row>
    <row r="1262" spans="1:10" x14ac:dyDescent="0.3">
      <c r="A1262" s="13" t="s">
        <v>10</v>
      </c>
      <c r="B1262" s="14">
        <v>54</v>
      </c>
      <c r="C1262" s="14">
        <v>54</v>
      </c>
      <c r="D1262" s="14">
        <v>54</v>
      </c>
      <c r="E1262" s="14">
        <v>54</v>
      </c>
      <c r="F1262" s="14">
        <v>54</v>
      </c>
      <c r="G1262" s="14">
        <v>54</v>
      </c>
      <c r="H1262" s="14">
        <v>54</v>
      </c>
      <c r="I1262" s="14"/>
    </row>
    <row r="1263" spans="1:10" x14ac:dyDescent="0.3">
      <c r="A1263" s="15" t="s">
        <v>11</v>
      </c>
      <c r="B1263" s="16">
        <v>4</v>
      </c>
      <c r="C1263" s="16">
        <v>4</v>
      </c>
      <c r="D1263" s="16">
        <v>4</v>
      </c>
      <c r="E1263" s="16">
        <v>2</v>
      </c>
      <c r="F1263" s="16">
        <v>3</v>
      </c>
      <c r="G1263" s="16">
        <v>4</v>
      </c>
      <c r="H1263" s="16">
        <v>5</v>
      </c>
      <c r="I1263" s="16">
        <f>SUM(B1263:H1263)</f>
        <v>26</v>
      </c>
    </row>
    <row r="1264" spans="1:10" x14ac:dyDescent="0.3">
      <c r="A1264" s="15" t="s">
        <v>12</v>
      </c>
      <c r="B1264" s="16">
        <v>35</v>
      </c>
      <c r="C1264" s="16">
        <v>27</v>
      </c>
      <c r="D1264" s="16">
        <v>28</v>
      </c>
      <c r="E1264" s="16">
        <v>24</v>
      </c>
      <c r="F1264" s="16">
        <v>24</v>
      </c>
      <c r="G1264" s="16">
        <v>12</v>
      </c>
      <c r="H1264" s="16">
        <v>2</v>
      </c>
      <c r="I1264" s="16">
        <f t="shared" ref="I1264:I1270" si="197">SUM(B1264:H1264)</f>
        <v>152</v>
      </c>
    </row>
    <row r="1265" spans="1:9" x14ac:dyDescent="0.3">
      <c r="A1265" s="15" t="s">
        <v>30</v>
      </c>
      <c r="B1265" s="16">
        <v>0</v>
      </c>
      <c r="C1265" s="16">
        <v>0</v>
      </c>
      <c r="D1265" s="16">
        <v>0</v>
      </c>
      <c r="E1265" s="16">
        <v>0</v>
      </c>
      <c r="F1265" s="16">
        <v>0</v>
      </c>
      <c r="G1265" s="16">
        <v>0</v>
      </c>
      <c r="H1265" s="16">
        <v>0</v>
      </c>
      <c r="I1265" s="16">
        <f t="shared" si="197"/>
        <v>0</v>
      </c>
    </row>
    <row r="1266" spans="1:9" x14ac:dyDescent="0.3">
      <c r="A1266" s="15" t="s">
        <v>28</v>
      </c>
      <c r="B1266" s="16">
        <v>15</v>
      </c>
      <c r="C1266" s="16">
        <v>19</v>
      </c>
      <c r="D1266" s="16">
        <v>31</v>
      </c>
      <c r="E1266" s="16">
        <v>27</v>
      </c>
      <c r="F1266" s="16">
        <v>14</v>
      </c>
      <c r="G1266" s="16">
        <v>166</v>
      </c>
      <c r="H1266" s="16">
        <v>36</v>
      </c>
      <c r="I1266" s="16">
        <f t="shared" si="197"/>
        <v>308</v>
      </c>
    </row>
    <row r="1267" spans="1:9" x14ac:dyDescent="0.3">
      <c r="A1267" s="15" t="s">
        <v>29</v>
      </c>
      <c r="B1267" s="16">
        <v>2</v>
      </c>
      <c r="C1267" s="16">
        <v>1</v>
      </c>
      <c r="D1267" s="16">
        <v>1</v>
      </c>
      <c r="E1267" s="16">
        <v>0</v>
      </c>
      <c r="F1267" s="16">
        <v>0</v>
      </c>
      <c r="G1267" s="16">
        <v>47</v>
      </c>
      <c r="H1267" s="16">
        <v>4</v>
      </c>
      <c r="I1267" s="16">
        <f t="shared" si="197"/>
        <v>55</v>
      </c>
    </row>
    <row r="1268" spans="1:9" x14ac:dyDescent="0.3">
      <c r="A1268" s="15" t="s">
        <v>31</v>
      </c>
      <c r="B1268" s="16">
        <v>0</v>
      </c>
      <c r="C1268" s="16">
        <v>1</v>
      </c>
      <c r="D1268" s="16">
        <v>0</v>
      </c>
      <c r="E1268" s="16">
        <v>0</v>
      </c>
      <c r="F1268" s="16">
        <v>0</v>
      </c>
      <c r="G1268" s="16">
        <v>14</v>
      </c>
      <c r="H1268" s="16">
        <v>2</v>
      </c>
      <c r="I1268" s="16">
        <f t="shared" si="197"/>
        <v>17</v>
      </c>
    </row>
    <row r="1269" spans="1:9" x14ac:dyDescent="0.3">
      <c r="A1269" s="15" t="s">
        <v>13</v>
      </c>
      <c r="B1269" s="16">
        <v>0</v>
      </c>
      <c r="C1269" s="16">
        <v>0</v>
      </c>
      <c r="D1269" s="16">
        <v>0</v>
      </c>
      <c r="E1269" s="16">
        <v>0</v>
      </c>
      <c r="F1269" s="16">
        <v>0</v>
      </c>
      <c r="G1269" s="16">
        <v>0</v>
      </c>
      <c r="H1269" s="16">
        <v>0</v>
      </c>
      <c r="I1269" s="16">
        <f t="shared" si="197"/>
        <v>0</v>
      </c>
    </row>
    <row r="1270" spans="1:9" x14ac:dyDescent="0.3">
      <c r="A1270" s="15" t="s">
        <v>14</v>
      </c>
      <c r="B1270" s="16">
        <v>0</v>
      </c>
      <c r="C1270" s="16">
        <v>0</v>
      </c>
      <c r="D1270" s="16">
        <v>0</v>
      </c>
      <c r="E1270" s="16">
        <v>0</v>
      </c>
      <c r="F1270" s="16">
        <v>0</v>
      </c>
      <c r="G1270" s="16">
        <v>0</v>
      </c>
      <c r="H1270" s="16">
        <v>0</v>
      </c>
      <c r="I1270" s="16">
        <f t="shared" si="197"/>
        <v>0</v>
      </c>
    </row>
    <row r="1271" spans="1:9" x14ac:dyDescent="0.3">
      <c r="A1271" s="15" t="s">
        <v>32</v>
      </c>
      <c r="B1271" s="16">
        <v>0</v>
      </c>
      <c r="C1271" s="16">
        <v>0</v>
      </c>
      <c r="D1271" s="16">
        <v>0</v>
      </c>
      <c r="E1271" s="16">
        <v>0</v>
      </c>
      <c r="F1271" s="16">
        <v>0</v>
      </c>
      <c r="G1271" s="16">
        <v>0</v>
      </c>
      <c r="H1271" s="16">
        <v>0</v>
      </c>
      <c r="I1271" s="16">
        <f>SUM(B1271:H1271)</f>
        <v>0</v>
      </c>
    </row>
    <row r="1272" spans="1:9" x14ac:dyDescent="0.3">
      <c r="A1272" s="15" t="s">
        <v>33</v>
      </c>
      <c r="B1272" s="16">
        <v>0</v>
      </c>
      <c r="C1272" s="16">
        <v>0</v>
      </c>
      <c r="D1272" s="16">
        <v>0</v>
      </c>
      <c r="E1272" s="16">
        <v>0</v>
      </c>
      <c r="F1272" s="16">
        <v>0</v>
      </c>
      <c r="G1272" s="16">
        <v>0</v>
      </c>
      <c r="H1272" s="16">
        <v>0</v>
      </c>
      <c r="I1272" s="16">
        <f t="shared" ref="I1272" si="198">SUM(B1272:H1272)</f>
        <v>0</v>
      </c>
    </row>
    <row r="1273" spans="1:9" ht="19.5" thickBot="1" x14ac:dyDescent="0.35">
      <c r="A1273" s="30" t="s">
        <v>15</v>
      </c>
      <c r="B1273" s="31">
        <f t="shared" ref="B1273:H1273" si="199">(B1264+B1263)/B1262*100%</f>
        <v>0.72222222222222221</v>
      </c>
      <c r="C1273" s="31">
        <f t="shared" si="199"/>
        <v>0.57407407407407407</v>
      </c>
      <c r="D1273" s="31">
        <f t="shared" si="199"/>
        <v>0.59259259259259256</v>
      </c>
      <c r="E1273" s="31">
        <f t="shared" si="199"/>
        <v>0.48148148148148145</v>
      </c>
      <c r="F1273" s="31">
        <f t="shared" si="199"/>
        <v>0.5</v>
      </c>
      <c r="G1273" s="31">
        <f t="shared" si="199"/>
        <v>0.29629629629629628</v>
      </c>
      <c r="H1273" s="31">
        <f t="shared" si="199"/>
        <v>0.12962962962962962</v>
      </c>
      <c r="I1273" s="32">
        <f>(B1273+C1273+D1273+E1273+F1273+G1273+H1273)/7</f>
        <v>0.47089947089947087</v>
      </c>
    </row>
    <row r="1274" spans="1:9" x14ac:dyDescent="0.3">
      <c r="A1274" s="67" t="s">
        <v>16</v>
      </c>
      <c r="B1274" s="16"/>
      <c r="C1274" s="17"/>
      <c r="D1274" s="16"/>
      <c r="E1274" s="18"/>
      <c r="F1274" s="16"/>
      <c r="G1274" s="16"/>
      <c r="H1274" s="16"/>
      <c r="I1274" s="16"/>
    </row>
    <row r="1275" spans="1:9" x14ac:dyDescent="0.3">
      <c r="A1275" s="15" t="s">
        <v>17</v>
      </c>
      <c r="B1275" s="28">
        <v>77709.466799999995</v>
      </c>
      <c r="C1275" s="28">
        <v>33119.73575</v>
      </c>
      <c r="D1275" s="28">
        <v>36750.681799999998</v>
      </c>
      <c r="E1275" s="28">
        <v>74416.273000000001</v>
      </c>
      <c r="F1275" s="28">
        <v>55419.8845</v>
      </c>
      <c r="G1275" s="28">
        <v>43906.430000000008</v>
      </c>
      <c r="H1275" s="28">
        <v>13018.956</v>
      </c>
      <c r="I1275" s="19">
        <f>SUM(B1275:H1275)</f>
        <v>334341.42784999998</v>
      </c>
    </row>
    <row r="1276" spans="1:9" x14ac:dyDescent="0.3">
      <c r="A1276" s="15" t="s">
        <v>18</v>
      </c>
      <c r="B1276" s="28">
        <v>63219.266090000005</v>
      </c>
      <c r="C1276" s="28">
        <v>31496.29045</v>
      </c>
      <c r="D1276" s="28">
        <v>37114.275840000009</v>
      </c>
      <c r="E1276" s="28">
        <v>66850.487300000008</v>
      </c>
      <c r="F1276" s="28">
        <v>62115.736099999995</v>
      </c>
      <c r="G1276" s="28">
        <v>71292.808500000014</v>
      </c>
      <c r="H1276" s="28">
        <v>26915.059700000002</v>
      </c>
      <c r="I1276" s="19">
        <f t="shared" ref="I1276" si="200">SUM(B1276:H1276)</f>
        <v>359003.92397999996</v>
      </c>
    </row>
    <row r="1277" spans="1:9" x14ac:dyDescent="0.3">
      <c r="A1277" s="15" t="s">
        <v>19</v>
      </c>
      <c r="B1277" s="28">
        <v>42418.147069999992</v>
      </c>
      <c r="C1277" s="28">
        <v>19349.821900000003</v>
      </c>
      <c r="D1277" s="28">
        <v>30804.926920000002</v>
      </c>
      <c r="E1277" s="28">
        <v>44837.507100000003</v>
      </c>
      <c r="F1277" s="28">
        <v>38467.481800000001</v>
      </c>
      <c r="G1277" s="28">
        <v>42929.2575</v>
      </c>
      <c r="H1277" s="28">
        <v>10940.799300000001</v>
      </c>
      <c r="I1277" s="19">
        <f>SUM(B1277:H1277)</f>
        <v>229747.94159000003</v>
      </c>
    </row>
    <row r="1278" spans="1:9" x14ac:dyDescent="0.3">
      <c r="A1278" s="15" t="s">
        <v>21</v>
      </c>
      <c r="B1278" s="28">
        <v>12987.927039999999</v>
      </c>
      <c r="C1278" s="28">
        <v>7469.7940000000008</v>
      </c>
      <c r="D1278" s="28">
        <v>8400.1558400000013</v>
      </c>
      <c r="E1278" s="28">
        <v>13512.913600000002</v>
      </c>
      <c r="F1278" s="28">
        <v>5525.5735999999997</v>
      </c>
      <c r="G1278" s="28">
        <v>0</v>
      </c>
      <c r="H1278" s="28">
        <v>0</v>
      </c>
      <c r="I1278" s="19">
        <f t="shared" ref="I1278:I1279" si="201">SUM(B1278:H1278)</f>
        <v>47896.364079999999</v>
      </c>
    </row>
    <row r="1279" spans="1:9" ht="19.5" thickBot="1" x14ac:dyDescent="0.35">
      <c r="A1279" s="15" t="s">
        <v>22</v>
      </c>
      <c r="B1279" s="28">
        <v>0</v>
      </c>
      <c r="C1279" s="28">
        <v>0</v>
      </c>
      <c r="D1279" s="28">
        <v>0</v>
      </c>
      <c r="E1279" s="28">
        <v>0</v>
      </c>
      <c r="F1279" s="28">
        <v>0</v>
      </c>
      <c r="G1279" s="28">
        <v>0</v>
      </c>
      <c r="H1279" s="28">
        <v>0</v>
      </c>
      <c r="I1279" s="19">
        <f t="shared" si="201"/>
        <v>0</v>
      </c>
    </row>
    <row r="1280" spans="1:9" ht="19.5" thickBot="1" x14ac:dyDescent="0.35">
      <c r="A1280" s="20" t="s">
        <v>7</v>
      </c>
      <c r="B1280" s="21">
        <f>SUM(B1275:B1279)</f>
        <v>196334.807</v>
      </c>
      <c r="C1280" s="21">
        <f>SUM(C1275:C1279)</f>
        <v>91435.642099999997</v>
      </c>
      <c r="D1280" s="21">
        <f>SUM(D1275:D1279)</f>
        <v>113070.04040000001</v>
      </c>
      <c r="E1280" s="21">
        <f t="shared" ref="E1280:H1280" si="202">SUM(E1275:E1279)</f>
        <v>199617.18100000001</v>
      </c>
      <c r="F1280" s="21">
        <f t="shared" si="202"/>
        <v>161528.67600000001</v>
      </c>
      <c r="G1280" s="21">
        <f t="shared" si="202"/>
        <v>158128.49600000001</v>
      </c>
      <c r="H1280" s="21">
        <f t="shared" si="202"/>
        <v>50874.815000000002</v>
      </c>
      <c r="I1280" s="21">
        <f>SUM(I1275:I1279)</f>
        <v>970989.65749999997</v>
      </c>
    </row>
    <row r="1281" spans="1:9" ht="19.5" thickTop="1" x14ac:dyDescent="0.3">
      <c r="A1281" s="22" t="s">
        <v>20</v>
      </c>
      <c r="B1281" s="23">
        <f>8340.273*0.6</f>
        <v>5004.1637999999994</v>
      </c>
      <c r="C1281" s="23">
        <f>10537.221*0.6</f>
        <v>6322.3325999999997</v>
      </c>
      <c r="D1281" s="23">
        <f>16599.172*0.6</f>
        <v>9959.5031999999992</v>
      </c>
      <c r="E1281" s="23">
        <f>0.6*14280.17</f>
        <v>8568.101999999999</v>
      </c>
      <c r="F1281" s="23">
        <f>0.6*7404.53</f>
        <v>4442.7179999999998</v>
      </c>
      <c r="G1281" s="23">
        <f>0.6*91480.29</f>
        <v>54888.173999999992</v>
      </c>
      <c r="H1281" s="23">
        <f>0.6*19805.09</f>
        <v>11883.054</v>
      </c>
      <c r="I1281" s="23">
        <f>SUM(B1281:H1281)</f>
        <v>101068.04759999999</v>
      </c>
    </row>
    <row r="1282" spans="1:9" x14ac:dyDescent="0.3">
      <c r="A1282" s="24" t="s">
        <v>25</v>
      </c>
      <c r="B1282" s="25"/>
      <c r="C1282" s="25"/>
      <c r="D1282" s="25"/>
      <c r="E1282" s="25"/>
      <c r="F1282" s="25"/>
      <c r="G1282" s="25"/>
      <c r="H1282" s="25"/>
      <c r="I1282" s="25"/>
    </row>
    <row r="1283" spans="1:9" x14ac:dyDescent="0.3">
      <c r="A1283" s="26" t="s">
        <v>23</v>
      </c>
      <c r="B1283" s="25">
        <f>30000/1.229</f>
        <v>24410.089503661511</v>
      </c>
      <c r="C1283" s="25">
        <f>30000/1.229</f>
        <v>24410.089503661511</v>
      </c>
      <c r="D1283" s="25">
        <v>0</v>
      </c>
      <c r="E1283" s="25">
        <v>0</v>
      </c>
      <c r="F1283" s="25">
        <v>0</v>
      </c>
      <c r="G1283" s="25">
        <f>40000/1.229</f>
        <v>32546.786004882015</v>
      </c>
      <c r="H1283" s="25">
        <f>70000/1.229</f>
        <v>56956.875508543526</v>
      </c>
      <c r="I1283" s="25">
        <f>SUM(B1283:H1283)</f>
        <v>138323.84052074858</v>
      </c>
    </row>
    <row r="1284" spans="1:9" ht="19.5" thickBot="1" x14ac:dyDescent="0.35">
      <c r="A1284" s="27" t="s">
        <v>24</v>
      </c>
      <c r="B1284" s="25">
        <f>(20000/1.229)+(6000/1.229)</f>
        <v>21155.41090317331</v>
      </c>
      <c r="C1284" s="25">
        <f>(20000/1.229)+(6000/1.229)</f>
        <v>21155.41090317331</v>
      </c>
      <c r="D1284" s="25">
        <f>(20000/1.229)+(12000/1.229)</f>
        <v>26037.428803905612</v>
      </c>
      <c r="E1284" s="25">
        <f>16000/1.229</f>
        <v>13018.714401952806</v>
      </c>
      <c r="F1284" s="25">
        <f>26000/1.229</f>
        <v>21155.41090317331</v>
      </c>
      <c r="G1284" s="25">
        <f>20000/1.229</f>
        <v>16273.393002441007</v>
      </c>
      <c r="H1284" s="25">
        <f>20000/1.229</f>
        <v>16273.393002441007</v>
      </c>
      <c r="I1284" s="25">
        <f>SUM(B1284:H1284)</f>
        <v>135069.16192026035</v>
      </c>
    </row>
    <row r="1286" spans="1:9" x14ac:dyDescent="0.3">
      <c r="A1286" s="4" t="s">
        <v>94</v>
      </c>
      <c r="B1286" s="5" t="s">
        <v>0</v>
      </c>
      <c r="C1286" s="5" t="s">
        <v>1</v>
      </c>
      <c r="D1286" s="5" t="s">
        <v>2</v>
      </c>
      <c r="E1286" s="6" t="s">
        <v>3</v>
      </c>
      <c r="F1286" s="5" t="s">
        <v>4</v>
      </c>
      <c r="G1286" s="5" t="s">
        <v>5</v>
      </c>
      <c r="H1286" s="5" t="s">
        <v>6</v>
      </c>
      <c r="I1286" s="5" t="s">
        <v>7</v>
      </c>
    </row>
    <row r="1287" spans="1:9" x14ac:dyDescent="0.3">
      <c r="A1287" s="7"/>
      <c r="B1287" s="8">
        <v>45607</v>
      </c>
      <c r="C1287" s="8">
        <v>45608</v>
      </c>
      <c r="D1287" s="8">
        <v>45609</v>
      </c>
      <c r="E1287" s="8">
        <v>45610</v>
      </c>
      <c r="F1287" s="8">
        <v>45611</v>
      </c>
      <c r="G1287" s="8">
        <v>45612</v>
      </c>
      <c r="H1287" s="8">
        <v>45613</v>
      </c>
      <c r="I1287" s="9"/>
    </row>
    <row r="1288" spans="1:9" ht="19.5" thickBot="1" x14ac:dyDescent="0.35">
      <c r="A1288" s="10" t="s">
        <v>8</v>
      </c>
      <c r="B1288" s="11" t="s">
        <v>9</v>
      </c>
      <c r="C1288" s="11" t="s">
        <v>9</v>
      </c>
      <c r="D1288" s="11" t="s">
        <v>9</v>
      </c>
      <c r="E1288" s="11" t="s">
        <v>9</v>
      </c>
      <c r="F1288" s="11" t="s">
        <v>9</v>
      </c>
      <c r="G1288" s="11" t="s">
        <v>9</v>
      </c>
      <c r="H1288" s="11" t="s">
        <v>9</v>
      </c>
      <c r="I1288" s="12" t="s">
        <v>9</v>
      </c>
    </row>
    <row r="1289" spans="1:9" x14ac:dyDescent="0.3">
      <c r="A1289" s="13" t="s">
        <v>10</v>
      </c>
      <c r="B1289" s="14">
        <v>54</v>
      </c>
      <c r="C1289" s="14">
        <v>54</v>
      </c>
      <c r="D1289" s="14">
        <v>54</v>
      </c>
      <c r="E1289" s="14">
        <v>54</v>
      </c>
      <c r="F1289" s="14">
        <v>54</v>
      </c>
      <c r="G1289" s="14">
        <v>54</v>
      </c>
      <c r="H1289" s="14">
        <v>54</v>
      </c>
      <c r="I1289" s="14"/>
    </row>
    <row r="1290" spans="1:9" x14ac:dyDescent="0.3">
      <c r="A1290" s="15" t="s">
        <v>11</v>
      </c>
      <c r="B1290" s="16">
        <v>6</v>
      </c>
      <c r="C1290" s="16">
        <v>5</v>
      </c>
      <c r="D1290" s="16">
        <v>4</v>
      </c>
      <c r="E1290" s="16">
        <v>0</v>
      </c>
      <c r="F1290" s="16">
        <v>2</v>
      </c>
      <c r="G1290" s="16">
        <v>2</v>
      </c>
      <c r="H1290" s="16">
        <v>2</v>
      </c>
      <c r="I1290" s="16">
        <f>SUM(B1290:H1290)</f>
        <v>21</v>
      </c>
    </row>
    <row r="1291" spans="1:9" x14ac:dyDescent="0.3">
      <c r="A1291" s="15" t="s">
        <v>12</v>
      </c>
      <c r="B1291" s="16">
        <v>12</v>
      </c>
      <c r="C1291" s="16">
        <v>0</v>
      </c>
      <c r="D1291" s="16">
        <v>11</v>
      </c>
      <c r="E1291" s="16">
        <v>54</v>
      </c>
      <c r="F1291" s="16">
        <v>31</v>
      </c>
      <c r="G1291" s="16">
        <v>51</v>
      </c>
      <c r="H1291" s="16">
        <v>11</v>
      </c>
      <c r="I1291" s="16">
        <f t="shared" ref="I1291:I1297" si="203">SUM(B1291:H1291)</f>
        <v>170</v>
      </c>
    </row>
    <row r="1292" spans="1:9" x14ac:dyDescent="0.3">
      <c r="A1292" s="15" t="s">
        <v>30</v>
      </c>
      <c r="B1292" s="16">
        <v>0</v>
      </c>
      <c r="C1292" s="16">
        <v>0</v>
      </c>
      <c r="D1292" s="16">
        <v>0</v>
      </c>
      <c r="E1292" s="16">
        <v>0</v>
      </c>
      <c r="F1292" s="16">
        <v>0</v>
      </c>
      <c r="G1292" s="16">
        <v>0</v>
      </c>
      <c r="H1292" s="16">
        <v>0</v>
      </c>
      <c r="I1292" s="16">
        <f t="shared" si="203"/>
        <v>0</v>
      </c>
    </row>
    <row r="1293" spans="1:9" x14ac:dyDescent="0.3">
      <c r="A1293" s="15" t="s">
        <v>28</v>
      </c>
      <c r="B1293" s="16">
        <v>12</v>
      </c>
      <c r="C1293" s="16">
        <v>17</v>
      </c>
      <c r="D1293" s="16">
        <v>18</v>
      </c>
      <c r="E1293" s="16">
        <v>20</v>
      </c>
      <c r="F1293" s="16">
        <v>62</v>
      </c>
      <c r="G1293" s="16">
        <v>401</v>
      </c>
      <c r="H1293" s="16">
        <f>36+76</f>
        <v>112</v>
      </c>
      <c r="I1293" s="16">
        <f t="shared" si="203"/>
        <v>642</v>
      </c>
    </row>
    <row r="1294" spans="1:9" x14ac:dyDescent="0.3">
      <c r="A1294" s="15" t="s">
        <v>29</v>
      </c>
      <c r="B1294" s="16">
        <v>0</v>
      </c>
      <c r="C1294" s="16">
        <v>0</v>
      </c>
      <c r="D1294" s="16">
        <v>0</v>
      </c>
      <c r="E1294" s="16">
        <v>1</v>
      </c>
      <c r="F1294" s="16">
        <v>102</v>
      </c>
      <c r="G1294" s="16">
        <v>42</v>
      </c>
      <c r="H1294" s="16">
        <v>2</v>
      </c>
      <c r="I1294" s="16">
        <f t="shared" si="203"/>
        <v>147</v>
      </c>
    </row>
    <row r="1295" spans="1:9" x14ac:dyDescent="0.3">
      <c r="A1295" s="15" t="s">
        <v>31</v>
      </c>
      <c r="B1295" s="16">
        <v>0</v>
      </c>
      <c r="C1295" s="16">
        <v>0</v>
      </c>
      <c r="D1295" s="16">
        <v>0</v>
      </c>
      <c r="E1295" s="16">
        <v>0</v>
      </c>
      <c r="F1295" s="16">
        <v>0</v>
      </c>
      <c r="G1295" s="16">
        <v>19</v>
      </c>
      <c r="H1295" s="16">
        <v>2</v>
      </c>
      <c r="I1295" s="16">
        <f t="shared" si="203"/>
        <v>21</v>
      </c>
    </row>
    <row r="1296" spans="1:9" x14ac:dyDescent="0.3">
      <c r="A1296" s="15" t="s">
        <v>13</v>
      </c>
      <c r="B1296" s="16">
        <v>0</v>
      </c>
      <c r="C1296" s="16">
        <v>0</v>
      </c>
      <c r="D1296" s="16">
        <v>0</v>
      </c>
      <c r="E1296" s="16">
        <v>1</v>
      </c>
      <c r="F1296" s="16">
        <v>0</v>
      </c>
      <c r="G1296" s="16">
        <v>3</v>
      </c>
      <c r="H1296" s="16">
        <v>1</v>
      </c>
      <c r="I1296" s="16">
        <f t="shared" si="203"/>
        <v>5</v>
      </c>
    </row>
    <row r="1297" spans="1:9" x14ac:dyDescent="0.3">
      <c r="A1297" s="15" t="s">
        <v>14</v>
      </c>
      <c r="B1297" s="16">
        <v>0</v>
      </c>
      <c r="C1297" s="16">
        <v>0</v>
      </c>
      <c r="D1297" s="16">
        <v>0</v>
      </c>
      <c r="E1297" s="16">
        <v>0</v>
      </c>
      <c r="F1297" s="16">
        <v>0</v>
      </c>
      <c r="G1297" s="16">
        <v>0</v>
      </c>
      <c r="H1297" s="16">
        <v>0</v>
      </c>
      <c r="I1297" s="16">
        <f t="shared" si="203"/>
        <v>0</v>
      </c>
    </row>
    <row r="1298" spans="1:9" x14ac:dyDescent="0.3">
      <c r="A1298" s="15" t="s">
        <v>32</v>
      </c>
      <c r="B1298" s="16">
        <v>0</v>
      </c>
      <c r="C1298" s="16">
        <v>0</v>
      </c>
      <c r="D1298" s="16">
        <v>0</v>
      </c>
      <c r="E1298" s="16">
        <v>0</v>
      </c>
      <c r="F1298" s="16">
        <v>0</v>
      </c>
      <c r="G1298" s="16">
        <v>0</v>
      </c>
      <c r="H1298" s="16">
        <v>0</v>
      </c>
      <c r="I1298" s="16">
        <f>SUM(B1298:H1298)</f>
        <v>0</v>
      </c>
    </row>
    <row r="1299" spans="1:9" x14ac:dyDescent="0.3">
      <c r="A1299" s="15" t="s">
        <v>33</v>
      </c>
      <c r="B1299" s="16">
        <v>0</v>
      </c>
      <c r="C1299" s="16">
        <v>0</v>
      </c>
      <c r="D1299" s="16">
        <v>0</v>
      </c>
      <c r="E1299" s="16">
        <v>0</v>
      </c>
      <c r="F1299" s="16">
        <v>0</v>
      </c>
      <c r="G1299" s="16">
        <v>0</v>
      </c>
      <c r="H1299" s="16">
        <v>0</v>
      </c>
      <c r="I1299" s="16">
        <f t="shared" ref="I1299" si="204">SUM(B1299:H1299)</f>
        <v>0</v>
      </c>
    </row>
    <row r="1300" spans="1:9" ht="19.5" thickBot="1" x14ac:dyDescent="0.35">
      <c r="A1300" s="30" t="s">
        <v>15</v>
      </c>
      <c r="B1300" s="31">
        <f t="shared" ref="B1300:H1300" si="205">(B1291+B1290)/B1289*100%</f>
        <v>0.33333333333333331</v>
      </c>
      <c r="C1300" s="31">
        <f t="shared" si="205"/>
        <v>9.2592592592592587E-2</v>
      </c>
      <c r="D1300" s="31">
        <f t="shared" si="205"/>
        <v>0.27777777777777779</v>
      </c>
      <c r="E1300" s="31">
        <f t="shared" si="205"/>
        <v>1</v>
      </c>
      <c r="F1300" s="31">
        <f t="shared" si="205"/>
        <v>0.61111111111111116</v>
      </c>
      <c r="G1300" s="31">
        <f t="shared" si="205"/>
        <v>0.98148148148148151</v>
      </c>
      <c r="H1300" s="31">
        <f t="shared" si="205"/>
        <v>0.24074074074074073</v>
      </c>
      <c r="I1300" s="32">
        <f>(B1300+C1300+D1300+E1300+F1300+G1300+H1300)/7</f>
        <v>0.50529100529100535</v>
      </c>
    </row>
    <row r="1301" spans="1:9" x14ac:dyDescent="0.3">
      <c r="A1301" s="67" t="s">
        <v>16</v>
      </c>
      <c r="B1301" s="16"/>
      <c r="C1301" s="17"/>
      <c r="D1301" s="16"/>
      <c r="E1301" s="18"/>
      <c r="F1301" s="16"/>
      <c r="G1301" s="16"/>
      <c r="H1301" s="16"/>
      <c r="I1301" s="16"/>
    </row>
    <row r="1302" spans="1:9" x14ac:dyDescent="0.3">
      <c r="A1302" s="15" t="s">
        <v>17</v>
      </c>
      <c r="B1302" s="28">
        <v>24138.064999999995</v>
      </c>
      <c r="C1302" s="28">
        <v>0</v>
      </c>
      <c r="D1302" s="28">
        <v>13789.928600000001</v>
      </c>
      <c r="E1302" s="28">
        <v>97896.729449999999</v>
      </c>
      <c r="F1302" s="28">
        <v>48877.29825</v>
      </c>
      <c r="G1302" s="28">
        <v>111083.14420000001</v>
      </c>
      <c r="H1302" s="28">
        <v>43743.712999999996</v>
      </c>
      <c r="I1302" s="19">
        <f>SUM(B1302:H1302)</f>
        <v>339528.87849999999</v>
      </c>
    </row>
    <row r="1303" spans="1:9" x14ac:dyDescent="0.3">
      <c r="A1303" s="15" t="s">
        <v>18</v>
      </c>
      <c r="B1303" s="28">
        <v>22215.309350000003</v>
      </c>
      <c r="C1303" s="28">
        <v>3815.3755000000001</v>
      </c>
      <c r="D1303" s="28">
        <v>18469.023020000001</v>
      </c>
      <c r="E1303" s="28">
        <v>98528.281409999996</v>
      </c>
      <c r="F1303" s="28">
        <v>56675.501420000008</v>
      </c>
      <c r="G1303" s="28">
        <v>170717.91184000002</v>
      </c>
      <c r="H1303" s="28">
        <v>77918.061300000001</v>
      </c>
      <c r="I1303" s="19">
        <f t="shared" ref="I1303" si="206">SUM(B1303:H1303)</f>
        <v>448339.46384000004</v>
      </c>
    </row>
    <row r="1304" spans="1:9" x14ac:dyDescent="0.3">
      <c r="A1304" s="15" t="s">
        <v>19</v>
      </c>
      <c r="B1304" s="28">
        <v>14238.60845</v>
      </c>
      <c r="C1304" s="28">
        <v>1369.4384999999997</v>
      </c>
      <c r="D1304" s="28">
        <v>9043.0040800000006</v>
      </c>
      <c r="E1304" s="28">
        <v>90780.399179999993</v>
      </c>
      <c r="F1304" s="28">
        <v>34356.592669999998</v>
      </c>
      <c r="G1304" s="28">
        <v>99171.474359999993</v>
      </c>
      <c r="H1304" s="28">
        <v>38777.382299999997</v>
      </c>
      <c r="I1304" s="19">
        <f>SUM(B1304:H1304)</f>
        <v>287736.89954000001</v>
      </c>
    </row>
    <row r="1305" spans="1:9" x14ac:dyDescent="0.3">
      <c r="A1305" s="15" t="s">
        <v>21</v>
      </c>
      <c r="B1305" s="28">
        <v>5517.2719999999999</v>
      </c>
      <c r="C1305" s="28">
        <v>0</v>
      </c>
      <c r="D1305" s="28">
        <v>2408.0432000000001</v>
      </c>
      <c r="E1305" s="28">
        <v>19251.845360000003</v>
      </c>
      <c r="F1305" s="28">
        <v>4967.2597599999999</v>
      </c>
      <c r="G1305" s="28">
        <v>6400.1168000000007</v>
      </c>
      <c r="H1305" s="28">
        <v>0</v>
      </c>
      <c r="I1305" s="19">
        <f t="shared" ref="I1305:I1306" si="207">SUM(B1305:H1305)</f>
        <v>38544.537120000008</v>
      </c>
    </row>
    <row r="1306" spans="1:9" ht="19.5" thickBot="1" x14ac:dyDescent="0.35">
      <c r="A1306" s="15" t="s">
        <v>22</v>
      </c>
      <c r="B1306" s="28">
        <v>0</v>
      </c>
      <c r="C1306" s="28">
        <v>0</v>
      </c>
      <c r="D1306" s="28">
        <v>0</v>
      </c>
      <c r="E1306" s="28">
        <v>0</v>
      </c>
      <c r="F1306" s="28">
        <v>0</v>
      </c>
      <c r="G1306" s="28">
        <v>0</v>
      </c>
      <c r="H1306" s="28">
        <v>0</v>
      </c>
      <c r="I1306" s="19">
        <f t="shared" si="207"/>
        <v>0</v>
      </c>
    </row>
    <row r="1307" spans="1:9" ht="19.5" thickBot="1" x14ac:dyDescent="0.35">
      <c r="A1307" s="20" t="s">
        <v>7</v>
      </c>
      <c r="B1307" s="21">
        <f>SUM(B1302:B1306)</f>
        <v>66109.254799999995</v>
      </c>
      <c r="C1307" s="21">
        <f>SUM(C1302:C1306)</f>
        <v>5184.8140000000003</v>
      </c>
      <c r="D1307" s="21">
        <f>SUM(D1302:D1306)</f>
        <v>43709.998899999999</v>
      </c>
      <c r="E1307" s="21">
        <f t="shared" ref="E1307:H1307" si="208">SUM(E1302:E1306)</f>
        <v>306457.25539999997</v>
      </c>
      <c r="F1307" s="21">
        <f t="shared" si="208"/>
        <v>144876.65210000001</v>
      </c>
      <c r="G1307" s="21">
        <f t="shared" si="208"/>
        <v>387372.64720000006</v>
      </c>
      <c r="H1307" s="21">
        <f t="shared" si="208"/>
        <v>160439.15659999999</v>
      </c>
      <c r="I1307" s="21">
        <f>SUM(I1302:I1306)</f>
        <v>1114149.7790000001</v>
      </c>
    </row>
    <row r="1308" spans="1:9" ht="19.5" thickTop="1" x14ac:dyDescent="0.3">
      <c r="A1308" s="22" t="s">
        <v>20</v>
      </c>
      <c r="B1308" s="23">
        <f>0.6*6346.74</f>
        <v>3808.0439999999999</v>
      </c>
      <c r="C1308" s="23">
        <f>0.6*8207.39</f>
        <v>4924.4339999999993</v>
      </c>
      <c r="D1308" s="23">
        <f>9520.118*0.6</f>
        <v>5712.0708000000004</v>
      </c>
      <c r="E1308" s="23">
        <f>9843.301*0.6</f>
        <v>5905.9805999999999</v>
      </c>
      <c r="F1308" s="23">
        <f>37761.77*0.6</f>
        <v>22657.061999999998</v>
      </c>
      <c r="G1308" s="23">
        <f>199042.06*0.6</f>
        <v>119425.23599999999</v>
      </c>
      <c r="H1308" s="23">
        <f>111401.586*0.6</f>
        <v>66840.9516</v>
      </c>
      <c r="I1308" s="23">
        <f>SUM(B1308:H1308)</f>
        <v>229273.77899999998</v>
      </c>
    </row>
    <row r="1309" spans="1:9" x14ac:dyDescent="0.3">
      <c r="A1309" s="24" t="s">
        <v>25</v>
      </c>
      <c r="B1309" s="25"/>
      <c r="C1309" s="25"/>
      <c r="D1309" s="25"/>
      <c r="E1309" s="25"/>
      <c r="F1309" s="25"/>
      <c r="G1309" s="25"/>
      <c r="H1309" s="25"/>
      <c r="I1309" s="25"/>
    </row>
    <row r="1310" spans="1:9" x14ac:dyDescent="0.3">
      <c r="A1310" s="26" t="s">
        <v>23</v>
      </c>
      <c r="B1310" s="25">
        <f>40000/1.229</f>
        <v>32546.786004882015</v>
      </c>
      <c r="C1310" s="25">
        <f>32000/1.229</f>
        <v>26037.428803905612</v>
      </c>
      <c r="D1310" s="25">
        <f>30000/1.229</f>
        <v>24410.089503661511</v>
      </c>
      <c r="E1310" s="25">
        <v>0</v>
      </c>
      <c r="F1310" s="25">
        <f>30000/1.229</f>
        <v>24410.089503661511</v>
      </c>
      <c r="G1310" s="25">
        <f>30000/1.229</f>
        <v>24410.089503661511</v>
      </c>
      <c r="H1310" s="25">
        <v>0</v>
      </c>
      <c r="I1310" s="25">
        <f>SUM(B1310:H1310)</f>
        <v>131814.48331977217</v>
      </c>
    </row>
    <row r="1311" spans="1:9" ht="19.5" thickBot="1" x14ac:dyDescent="0.35">
      <c r="A1311" s="27" t="s">
        <v>24</v>
      </c>
      <c r="B1311" s="25">
        <f>60000/1.229</f>
        <v>48820.179007323022</v>
      </c>
      <c r="C1311" s="25">
        <f>30000/1.229</f>
        <v>24410.089503661511</v>
      </c>
      <c r="D1311" s="25">
        <f>(12000/1.229)+(10000/1.229)</f>
        <v>17900.732302685108</v>
      </c>
      <c r="E1311" s="25"/>
      <c r="F1311" s="25">
        <f>10000/1.229</f>
        <v>8136.6965012205037</v>
      </c>
      <c r="G1311" s="25">
        <f>10000/1.229</f>
        <v>8136.6965012205037</v>
      </c>
      <c r="H1311" s="25">
        <f>(10000/1.229)+(6000/1.229)+(30000/1.229)</f>
        <v>37428.803905614317</v>
      </c>
      <c r="I1311" s="25">
        <f>SUM(B1311:H1311)</f>
        <v>144833.19772172498</v>
      </c>
    </row>
    <row r="1313" spans="1:9" x14ac:dyDescent="0.3">
      <c r="A1313" s="4" t="s">
        <v>95</v>
      </c>
      <c r="B1313" s="5" t="s">
        <v>0</v>
      </c>
      <c r="C1313" s="5" t="s">
        <v>1</v>
      </c>
      <c r="D1313" s="5" t="s">
        <v>2</v>
      </c>
      <c r="E1313" s="6" t="s">
        <v>3</v>
      </c>
      <c r="F1313" s="5" t="s">
        <v>4</v>
      </c>
      <c r="G1313" s="5" t="s">
        <v>5</v>
      </c>
      <c r="H1313" s="5" t="s">
        <v>6</v>
      </c>
      <c r="I1313" s="5" t="s">
        <v>7</v>
      </c>
    </row>
    <row r="1314" spans="1:9" x14ac:dyDescent="0.3">
      <c r="A1314" s="7"/>
      <c r="B1314" s="8">
        <v>45614</v>
      </c>
      <c r="C1314" s="8">
        <v>45615</v>
      </c>
      <c r="D1314" s="8">
        <v>45616</v>
      </c>
      <c r="E1314" s="8">
        <v>45617</v>
      </c>
      <c r="F1314" s="8">
        <v>45618</v>
      </c>
      <c r="G1314" s="8">
        <v>45619</v>
      </c>
      <c r="H1314" s="8">
        <v>45620</v>
      </c>
      <c r="I1314" s="9"/>
    </row>
    <row r="1315" spans="1:9" ht="19.5" thickBot="1" x14ac:dyDescent="0.35">
      <c r="A1315" s="10" t="s">
        <v>8</v>
      </c>
      <c r="B1315" s="11" t="s">
        <v>9</v>
      </c>
      <c r="C1315" s="11" t="s">
        <v>9</v>
      </c>
      <c r="D1315" s="11" t="s">
        <v>9</v>
      </c>
      <c r="E1315" s="11" t="s">
        <v>9</v>
      </c>
      <c r="F1315" s="11" t="s">
        <v>9</v>
      </c>
      <c r="G1315" s="11" t="s">
        <v>9</v>
      </c>
      <c r="H1315" s="11" t="s">
        <v>9</v>
      </c>
      <c r="I1315" s="12" t="s">
        <v>9</v>
      </c>
    </row>
    <row r="1316" spans="1:9" x14ac:dyDescent="0.3">
      <c r="A1316" s="13" t="s">
        <v>10</v>
      </c>
      <c r="B1316" s="14">
        <v>54</v>
      </c>
      <c r="C1316" s="14">
        <v>54</v>
      </c>
      <c r="D1316" s="14">
        <v>54</v>
      </c>
      <c r="E1316" s="14">
        <v>54</v>
      </c>
      <c r="F1316" s="14">
        <v>54</v>
      </c>
      <c r="G1316" s="14">
        <v>54</v>
      </c>
      <c r="H1316" s="14">
        <v>54</v>
      </c>
      <c r="I1316" s="14"/>
    </row>
    <row r="1317" spans="1:9" x14ac:dyDescent="0.3">
      <c r="A1317" s="15" t="s">
        <v>11</v>
      </c>
      <c r="B1317" s="16">
        <v>2</v>
      </c>
      <c r="C1317" s="16">
        <v>4</v>
      </c>
      <c r="D1317" s="16">
        <v>3</v>
      </c>
      <c r="E1317" s="16">
        <v>3</v>
      </c>
      <c r="F1317" s="16">
        <v>1</v>
      </c>
      <c r="G1317" s="16">
        <v>3</v>
      </c>
      <c r="H1317" s="16">
        <v>7</v>
      </c>
      <c r="I1317" s="16">
        <f>SUM(B1317:H1317)</f>
        <v>23</v>
      </c>
    </row>
    <row r="1318" spans="1:9" x14ac:dyDescent="0.3">
      <c r="A1318" s="15" t="s">
        <v>12</v>
      </c>
      <c r="B1318" s="16">
        <v>2</v>
      </c>
      <c r="C1318" s="16">
        <v>10</v>
      </c>
      <c r="D1318" s="16">
        <v>12</v>
      </c>
      <c r="E1318" s="16">
        <v>17</v>
      </c>
      <c r="F1318" s="16">
        <v>50</v>
      </c>
      <c r="G1318" s="16">
        <v>34</v>
      </c>
      <c r="H1318" s="16">
        <v>3</v>
      </c>
      <c r="I1318" s="16">
        <f t="shared" ref="I1318:I1324" si="209">SUM(B1318:H1318)</f>
        <v>128</v>
      </c>
    </row>
    <row r="1319" spans="1:9" x14ac:dyDescent="0.3">
      <c r="A1319" s="15" t="s">
        <v>30</v>
      </c>
      <c r="B1319" s="16">
        <v>0</v>
      </c>
      <c r="C1319" s="16">
        <v>0</v>
      </c>
      <c r="D1319" s="16">
        <v>0</v>
      </c>
      <c r="E1319" s="16">
        <v>0</v>
      </c>
      <c r="F1319" s="16">
        <v>0</v>
      </c>
      <c r="G1319" s="16">
        <v>0</v>
      </c>
      <c r="H1319" s="16">
        <v>0</v>
      </c>
      <c r="I1319" s="16">
        <f t="shared" si="209"/>
        <v>0</v>
      </c>
    </row>
    <row r="1320" spans="1:9" x14ac:dyDescent="0.3">
      <c r="A1320" s="15" t="s">
        <v>28</v>
      </c>
      <c r="B1320" s="16">
        <v>27</v>
      </c>
      <c r="C1320" s="16">
        <v>24</v>
      </c>
      <c r="D1320" s="16">
        <v>20</v>
      </c>
      <c r="E1320" s="16">
        <v>22</v>
      </c>
      <c r="F1320" s="16">
        <v>52</v>
      </c>
      <c r="G1320" s="16">
        <v>145</v>
      </c>
      <c r="H1320" s="16">
        <v>60</v>
      </c>
      <c r="I1320" s="16">
        <f t="shared" si="209"/>
        <v>350</v>
      </c>
    </row>
    <row r="1321" spans="1:9" x14ac:dyDescent="0.3">
      <c r="A1321" s="15" t="s">
        <v>29</v>
      </c>
      <c r="B1321" s="16">
        <v>0</v>
      </c>
      <c r="C1321" s="16">
        <v>0</v>
      </c>
      <c r="D1321" s="16">
        <v>1</v>
      </c>
      <c r="E1321" s="16">
        <v>0</v>
      </c>
      <c r="F1321" s="16">
        <v>256</v>
      </c>
      <c r="G1321" s="16">
        <v>23</v>
      </c>
      <c r="H1321" s="16">
        <v>14</v>
      </c>
      <c r="I1321" s="16">
        <f t="shared" si="209"/>
        <v>294</v>
      </c>
    </row>
    <row r="1322" spans="1:9" x14ac:dyDescent="0.3">
      <c r="A1322" s="15" t="s">
        <v>31</v>
      </c>
      <c r="B1322" s="16">
        <v>0</v>
      </c>
      <c r="C1322" s="16">
        <v>5</v>
      </c>
      <c r="D1322" s="16">
        <v>2</v>
      </c>
      <c r="E1322" s="16">
        <v>0</v>
      </c>
      <c r="F1322" s="16">
        <v>1</v>
      </c>
      <c r="G1322" s="16">
        <v>20</v>
      </c>
      <c r="H1322" s="16">
        <v>5</v>
      </c>
      <c r="I1322" s="16">
        <f t="shared" si="209"/>
        <v>33</v>
      </c>
    </row>
    <row r="1323" spans="1:9" x14ac:dyDescent="0.3">
      <c r="A1323" s="15" t="s">
        <v>13</v>
      </c>
      <c r="B1323" s="16">
        <v>0</v>
      </c>
      <c r="C1323" s="16">
        <v>0</v>
      </c>
      <c r="D1323" s="16">
        <v>0</v>
      </c>
      <c r="E1323" s="16">
        <v>3</v>
      </c>
      <c r="F1323" s="16">
        <v>1</v>
      </c>
      <c r="G1323" s="16">
        <v>0</v>
      </c>
      <c r="H1323" s="16">
        <v>0</v>
      </c>
      <c r="I1323" s="16">
        <f t="shared" si="209"/>
        <v>4</v>
      </c>
    </row>
    <row r="1324" spans="1:9" x14ac:dyDescent="0.3">
      <c r="A1324" s="15" t="s">
        <v>14</v>
      </c>
      <c r="B1324" s="16">
        <v>0</v>
      </c>
      <c r="C1324" s="16">
        <v>0</v>
      </c>
      <c r="D1324" s="16">
        <v>0</v>
      </c>
      <c r="E1324" s="16">
        <v>0</v>
      </c>
      <c r="F1324" s="16">
        <v>0</v>
      </c>
      <c r="G1324" s="16">
        <v>0</v>
      </c>
      <c r="H1324" s="16">
        <v>0</v>
      </c>
      <c r="I1324" s="16">
        <f t="shared" si="209"/>
        <v>0</v>
      </c>
    </row>
    <row r="1325" spans="1:9" x14ac:dyDescent="0.3">
      <c r="A1325" s="15" t="s">
        <v>32</v>
      </c>
      <c r="B1325" s="16">
        <v>0</v>
      </c>
      <c r="C1325" s="16">
        <v>0</v>
      </c>
      <c r="D1325" s="16">
        <v>0</v>
      </c>
      <c r="E1325" s="16">
        <v>0</v>
      </c>
      <c r="F1325" s="16">
        <v>0</v>
      </c>
      <c r="G1325" s="16">
        <v>0</v>
      </c>
      <c r="H1325" s="16">
        <v>0</v>
      </c>
      <c r="I1325" s="16">
        <f>SUM(B1325:H1325)</f>
        <v>0</v>
      </c>
    </row>
    <row r="1326" spans="1:9" x14ac:dyDescent="0.3">
      <c r="A1326" s="15" t="s">
        <v>33</v>
      </c>
      <c r="B1326" s="16">
        <v>0</v>
      </c>
      <c r="C1326" s="16">
        <v>0</v>
      </c>
      <c r="D1326" s="16">
        <v>0</v>
      </c>
      <c r="E1326" s="16">
        <v>0</v>
      </c>
      <c r="F1326" s="16">
        <v>1</v>
      </c>
      <c r="G1326" s="16">
        <v>0</v>
      </c>
      <c r="H1326" s="16">
        <v>0</v>
      </c>
      <c r="I1326" s="16">
        <f t="shared" ref="I1326" si="210">SUM(B1326:H1326)</f>
        <v>1</v>
      </c>
    </row>
    <row r="1327" spans="1:9" ht="19.5" thickBot="1" x14ac:dyDescent="0.35">
      <c r="A1327" s="30" t="s">
        <v>15</v>
      </c>
      <c r="B1327" s="31">
        <f t="shared" ref="B1327:H1327" si="211">(B1318+B1317)/B1316*100%</f>
        <v>7.407407407407407E-2</v>
      </c>
      <c r="C1327" s="31">
        <f t="shared" si="211"/>
        <v>0.25925925925925924</v>
      </c>
      <c r="D1327" s="31">
        <f t="shared" si="211"/>
        <v>0.27777777777777779</v>
      </c>
      <c r="E1327" s="31">
        <f t="shared" si="211"/>
        <v>0.37037037037037035</v>
      </c>
      <c r="F1327" s="31">
        <f t="shared" si="211"/>
        <v>0.94444444444444442</v>
      </c>
      <c r="G1327" s="31">
        <f t="shared" si="211"/>
        <v>0.68518518518518523</v>
      </c>
      <c r="H1327" s="31">
        <f t="shared" si="211"/>
        <v>0.18518518518518517</v>
      </c>
      <c r="I1327" s="32">
        <f>(B1327+C1327+D1327+E1327+F1327+G1327+H1327)/7</f>
        <v>0.39947089947089948</v>
      </c>
    </row>
    <row r="1328" spans="1:9" x14ac:dyDescent="0.3">
      <c r="A1328" s="67" t="s">
        <v>16</v>
      </c>
      <c r="B1328" s="16"/>
      <c r="C1328" s="17"/>
      <c r="D1328" s="16"/>
      <c r="E1328" s="18"/>
      <c r="F1328" s="16"/>
      <c r="G1328" s="16"/>
      <c r="H1328" s="16"/>
      <c r="I1328" s="16"/>
    </row>
    <row r="1329" spans="1:10" x14ac:dyDescent="0.3">
      <c r="A1329" s="15" t="s">
        <v>17</v>
      </c>
      <c r="B1329" s="28">
        <v>6200.2802000000001</v>
      </c>
      <c r="C1329" s="28">
        <v>10183.037299999998</v>
      </c>
      <c r="D1329" s="28">
        <v>27098.193200000002</v>
      </c>
      <c r="E1329" s="28">
        <v>29692.5121</v>
      </c>
      <c r="F1329" s="28">
        <v>106833.92004999999</v>
      </c>
      <c r="G1329" s="28">
        <v>83368.897299999997</v>
      </c>
      <c r="H1329" s="28">
        <v>10037.698550000001</v>
      </c>
      <c r="I1329" s="19">
        <f>SUM(B1329:H1329)</f>
        <v>273414.53870000003</v>
      </c>
    </row>
    <row r="1330" spans="1:10" x14ac:dyDescent="0.3">
      <c r="A1330" s="15" t="s">
        <v>18</v>
      </c>
      <c r="B1330" s="28">
        <v>10624.682340000001</v>
      </c>
      <c r="C1330" s="28">
        <v>14755.585389999998</v>
      </c>
      <c r="D1330" s="28">
        <v>25330.503420000005</v>
      </c>
      <c r="E1330" s="28">
        <v>26927.511340000001</v>
      </c>
      <c r="F1330" s="28">
        <v>109637.76690000002</v>
      </c>
      <c r="G1330" s="28">
        <v>95979.087480000017</v>
      </c>
      <c r="H1330" s="28">
        <v>25750.908930000001</v>
      </c>
      <c r="I1330" s="19">
        <f t="shared" ref="I1330" si="212">SUM(B1330:H1330)</f>
        <v>309006.04580000002</v>
      </c>
    </row>
    <row r="1331" spans="1:10" x14ac:dyDescent="0.3">
      <c r="A1331" s="15" t="s">
        <v>19</v>
      </c>
      <c r="B1331" s="28">
        <v>5262.5046600000005</v>
      </c>
      <c r="C1331" s="28">
        <v>8679.2238700000016</v>
      </c>
      <c r="D1331" s="28">
        <v>16140.565140000001</v>
      </c>
      <c r="E1331" s="28">
        <v>18422.350699999999</v>
      </c>
      <c r="F1331" s="28">
        <v>67841.023029999997</v>
      </c>
      <c r="G1331" s="28">
        <v>62907.955460000012</v>
      </c>
      <c r="H1331" s="28">
        <v>11512.556560000001</v>
      </c>
      <c r="I1331" s="19">
        <f>SUM(B1331:H1331)</f>
        <v>190766.17942</v>
      </c>
    </row>
    <row r="1332" spans="1:10" x14ac:dyDescent="0.3">
      <c r="A1332" s="15" t="s">
        <v>21</v>
      </c>
      <c r="B1332" s="28">
        <v>0</v>
      </c>
      <c r="C1332" s="28">
        <v>2773.9166399999999</v>
      </c>
      <c r="D1332" s="28">
        <v>2520.0470399999999</v>
      </c>
      <c r="E1332" s="28">
        <v>4195.4673599999996</v>
      </c>
      <c r="F1332" s="28">
        <v>12692.201520000001</v>
      </c>
      <c r="G1332" s="28">
        <v>4857.5633599999992</v>
      </c>
      <c r="H1332" s="28">
        <v>252.00456</v>
      </c>
      <c r="I1332" s="19">
        <f t="shared" ref="I1332:I1333" si="213">SUM(B1332:H1332)</f>
        <v>27291.20048</v>
      </c>
    </row>
    <row r="1333" spans="1:10" ht="19.5" thickBot="1" x14ac:dyDescent="0.35">
      <c r="A1333" s="15" t="s">
        <v>22</v>
      </c>
      <c r="B1333" s="28">
        <v>0</v>
      </c>
      <c r="C1333" s="28">
        <v>0</v>
      </c>
      <c r="D1333" s="28">
        <v>0</v>
      </c>
      <c r="E1333" s="28">
        <v>0</v>
      </c>
      <c r="F1333" s="28">
        <v>0</v>
      </c>
      <c r="G1333" s="28">
        <v>0</v>
      </c>
      <c r="H1333" s="28">
        <v>0</v>
      </c>
      <c r="I1333" s="19">
        <f t="shared" si="213"/>
        <v>0</v>
      </c>
    </row>
    <row r="1334" spans="1:10" ht="19.5" thickBot="1" x14ac:dyDescent="0.35">
      <c r="A1334" s="20" t="s">
        <v>7</v>
      </c>
      <c r="B1334" s="21">
        <f>SUM(B1329:B1333)</f>
        <v>22087.467199999999</v>
      </c>
      <c r="C1334" s="21">
        <f>SUM(C1329:C1333)</f>
        <v>36391.763200000001</v>
      </c>
      <c r="D1334" s="21">
        <f>SUM(D1329:D1333)</f>
        <v>71089.308800000013</v>
      </c>
      <c r="E1334" s="21">
        <f t="shared" ref="E1334:H1334" si="214">SUM(E1329:E1333)</f>
        <v>79237.841499999995</v>
      </c>
      <c r="F1334" s="21">
        <f t="shared" si="214"/>
        <v>297004.91149999999</v>
      </c>
      <c r="G1334" s="21">
        <f t="shared" si="214"/>
        <v>247113.50360000003</v>
      </c>
      <c r="H1334" s="21">
        <f t="shared" si="214"/>
        <v>47553.168600000005</v>
      </c>
      <c r="I1334" s="21">
        <f>SUM(I1329:I1333)</f>
        <v>800477.96440000006</v>
      </c>
    </row>
    <row r="1335" spans="1:10" ht="19.5" thickTop="1" x14ac:dyDescent="0.3">
      <c r="A1335" s="22" t="s">
        <v>20</v>
      </c>
      <c r="B1335" s="23">
        <f>14117.43*0.6</f>
        <v>8470.4580000000005</v>
      </c>
      <c r="C1335" s="23">
        <f>14117.435*0.6</f>
        <v>8470.4609999999993</v>
      </c>
      <c r="D1335" s="23">
        <f>11350.902*0.6</f>
        <v>6810.5411999999997</v>
      </c>
      <c r="E1335" s="23">
        <f>12490.058*0.6</f>
        <v>7494.0348000000004</v>
      </c>
      <c r="F1335" s="23">
        <f>54486.656*0.6</f>
        <v>32691.993600000002</v>
      </c>
      <c r="G1335" s="23">
        <v>49225.087200000002</v>
      </c>
      <c r="H1335" s="23">
        <v>21603.334200000001</v>
      </c>
      <c r="I1335" s="23">
        <f>SUM(B1335:H1335)</f>
        <v>134765.91</v>
      </c>
    </row>
    <row r="1336" spans="1:10" x14ac:dyDescent="0.3">
      <c r="A1336" s="24" t="s">
        <v>25</v>
      </c>
      <c r="B1336" s="25"/>
      <c r="C1336" s="25"/>
      <c r="D1336" s="25"/>
      <c r="E1336" s="25"/>
      <c r="F1336" s="25"/>
      <c r="G1336" s="25"/>
      <c r="H1336" s="25"/>
      <c r="I1336" s="25"/>
    </row>
    <row r="1337" spans="1:10" x14ac:dyDescent="0.3">
      <c r="A1337" s="26" t="s">
        <v>23</v>
      </c>
      <c r="B1337" s="25">
        <v>0</v>
      </c>
      <c r="C1337" s="25">
        <f>(30000/1.229)*2</f>
        <v>48820.179007323022</v>
      </c>
      <c r="D1337" s="25">
        <f>(30000/1.229)*2</f>
        <v>48820.179007323022</v>
      </c>
      <c r="E1337" s="25">
        <f>(30000/1.229)*2</f>
        <v>48820.179007323022</v>
      </c>
      <c r="F1337" s="25">
        <v>0</v>
      </c>
      <c r="G1337" s="25">
        <v>8136.6965012205037</v>
      </c>
      <c r="H1337" s="25">
        <v>8136.6965012205037</v>
      </c>
      <c r="I1337" s="25">
        <f>SUM(B1337:H1337)</f>
        <v>162733.93002441007</v>
      </c>
    </row>
    <row r="1338" spans="1:10" ht="19.5" thickBot="1" x14ac:dyDescent="0.35">
      <c r="A1338" s="27" t="s">
        <v>24</v>
      </c>
      <c r="B1338" s="25">
        <f>(10000/1.229)*2</f>
        <v>16273.393002441007</v>
      </c>
      <c r="C1338" s="25">
        <f>(10000/1.229)*2</f>
        <v>16273.393002441007</v>
      </c>
      <c r="D1338" s="25">
        <f>10000/1.229</f>
        <v>8136.6965012205037</v>
      </c>
      <c r="E1338" s="25">
        <f>10000/1.229</f>
        <v>8136.6965012205037</v>
      </c>
      <c r="F1338" s="25">
        <f>10000/1.229</f>
        <v>8136.6965012205037</v>
      </c>
      <c r="G1338" s="25">
        <v>13018.714401952806</v>
      </c>
      <c r="H1338" s="25">
        <v>61838.893409275828</v>
      </c>
      <c r="I1338" s="25">
        <f>SUM(B1338:H1338)</f>
        <v>131814.48331977217</v>
      </c>
    </row>
    <row r="1340" spans="1:10" x14ac:dyDescent="0.3">
      <c r="A1340" s="4" t="s">
        <v>96</v>
      </c>
      <c r="B1340" s="5" t="s">
        <v>0</v>
      </c>
      <c r="C1340" s="5" t="s">
        <v>1</v>
      </c>
      <c r="D1340" s="5" t="s">
        <v>2</v>
      </c>
      <c r="E1340" s="6" t="s">
        <v>3</v>
      </c>
      <c r="F1340" s="5" t="s">
        <v>4</v>
      </c>
      <c r="G1340" s="5" t="s">
        <v>5</v>
      </c>
      <c r="H1340" s="5" t="s">
        <v>6</v>
      </c>
      <c r="I1340" s="5" t="s">
        <v>7</v>
      </c>
    </row>
    <row r="1341" spans="1:10" x14ac:dyDescent="0.3">
      <c r="A1341" s="7"/>
      <c r="B1341" s="8">
        <v>45621</v>
      </c>
      <c r="C1341" s="8">
        <v>45622</v>
      </c>
      <c r="D1341" s="8">
        <v>45623</v>
      </c>
      <c r="E1341" s="8">
        <v>45624</v>
      </c>
      <c r="F1341" s="8">
        <v>45625</v>
      </c>
      <c r="G1341" s="8">
        <v>45626</v>
      </c>
      <c r="H1341" s="8">
        <v>45627</v>
      </c>
      <c r="I1341" s="9"/>
    </row>
    <row r="1342" spans="1:10" ht="19.5" thickBot="1" x14ac:dyDescent="0.35">
      <c r="A1342" s="10" t="s">
        <v>8</v>
      </c>
      <c r="B1342" s="11" t="s">
        <v>9</v>
      </c>
      <c r="C1342" s="11" t="s">
        <v>9</v>
      </c>
      <c r="D1342" s="11" t="s">
        <v>9</v>
      </c>
      <c r="E1342" s="11" t="s">
        <v>9</v>
      </c>
      <c r="F1342" s="11" t="s">
        <v>9</v>
      </c>
      <c r="G1342" s="11" t="s">
        <v>9</v>
      </c>
      <c r="H1342" s="11" t="s">
        <v>9</v>
      </c>
      <c r="I1342" s="12" t="s">
        <v>9</v>
      </c>
    </row>
    <row r="1343" spans="1:10" x14ac:dyDescent="0.3">
      <c r="A1343" s="13" t="s">
        <v>10</v>
      </c>
      <c r="B1343" s="14">
        <v>54</v>
      </c>
      <c r="C1343" s="14">
        <v>54</v>
      </c>
      <c r="D1343" s="14">
        <v>54</v>
      </c>
      <c r="E1343" s="14">
        <v>54</v>
      </c>
      <c r="F1343" s="14">
        <v>54</v>
      </c>
      <c r="G1343" s="14">
        <v>47</v>
      </c>
      <c r="H1343" s="14">
        <v>48</v>
      </c>
      <c r="I1343" s="14"/>
    </row>
    <row r="1344" spans="1:10" x14ac:dyDescent="0.3">
      <c r="A1344" s="15" t="s">
        <v>11</v>
      </c>
      <c r="B1344" s="16">
        <v>2</v>
      </c>
      <c r="C1344" s="16">
        <v>4</v>
      </c>
      <c r="D1344" s="16">
        <v>3</v>
      </c>
      <c r="E1344" s="16">
        <v>1</v>
      </c>
      <c r="F1344" s="16">
        <v>1</v>
      </c>
      <c r="G1344" s="16">
        <v>0</v>
      </c>
      <c r="H1344" s="16">
        <v>1</v>
      </c>
      <c r="I1344" s="16">
        <f>SUM(B1344:H1344)</f>
        <v>12</v>
      </c>
      <c r="J1344" s="29">
        <f t="shared" ref="J1344:J1360" si="215">I1344-H1344+I1317+I1290+I1263+F1235+G1235+H1235</f>
        <v>88</v>
      </c>
    </row>
    <row r="1345" spans="1:10" x14ac:dyDescent="0.3">
      <c r="A1345" s="15" t="s">
        <v>12</v>
      </c>
      <c r="B1345" s="16">
        <v>11</v>
      </c>
      <c r="C1345" s="16">
        <v>37</v>
      </c>
      <c r="D1345" s="16">
        <v>4</v>
      </c>
      <c r="E1345" s="16">
        <v>19</v>
      </c>
      <c r="F1345" s="16">
        <v>26</v>
      </c>
      <c r="G1345" s="16">
        <v>12</v>
      </c>
      <c r="H1345" s="16">
        <v>4</v>
      </c>
      <c r="I1345" s="16">
        <f t="shared" ref="I1345:I1351" si="216">SUM(B1345:H1345)</f>
        <v>113</v>
      </c>
      <c r="J1345" s="29">
        <f t="shared" si="215"/>
        <v>646</v>
      </c>
    </row>
    <row r="1346" spans="1:10" x14ac:dyDescent="0.3">
      <c r="A1346" s="15" t="s">
        <v>30</v>
      </c>
      <c r="B1346" s="16">
        <v>0</v>
      </c>
      <c r="C1346" s="16">
        <v>0</v>
      </c>
      <c r="D1346" s="16">
        <v>0</v>
      </c>
      <c r="E1346" s="16">
        <v>0</v>
      </c>
      <c r="F1346" s="16">
        <v>0</v>
      </c>
      <c r="G1346" s="16">
        <v>0</v>
      </c>
      <c r="H1346" s="16">
        <v>0</v>
      </c>
      <c r="I1346" s="16">
        <f t="shared" si="216"/>
        <v>0</v>
      </c>
      <c r="J1346" s="29">
        <f t="shared" si="215"/>
        <v>0</v>
      </c>
    </row>
    <row r="1347" spans="1:10" x14ac:dyDescent="0.3">
      <c r="A1347" s="15" t="s">
        <v>28</v>
      </c>
      <c r="B1347" s="16">
        <v>33</v>
      </c>
      <c r="C1347" s="16">
        <v>10</v>
      </c>
      <c r="D1347" s="16">
        <v>28</v>
      </c>
      <c r="E1347" s="16">
        <v>22</v>
      </c>
      <c r="F1347" s="16">
        <v>51</v>
      </c>
      <c r="G1347" s="16">
        <v>145</v>
      </c>
      <c r="H1347" s="16">
        <v>30</v>
      </c>
      <c r="I1347" s="16">
        <f t="shared" si="216"/>
        <v>319</v>
      </c>
      <c r="J1347" s="29">
        <f t="shared" si="215"/>
        <v>1854</v>
      </c>
    </row>
    <row r="1348" spans="1:10" x14ac:dyDescent="0.3">
      <c r="A1348" s="15" t="s">
        <v>29</v>
      </c>
      <c r="B1348" s="16">
        <v>3</v>
      </c>
      <c r="C1348" s="16">
        <v>0</v>
      </c>
      <c r="D1348" s="16">
        <v>0</v>
      </c>
      <c r="E1348" s="16">
        <v>1</v>
      </c>
      <c r="F1348" s="16">
        <v>100</v>
      </c>
      <c r="G1348" s="16">
        <v>82</v>
      </c>
      <c r="H1348" s="16">
        <v>1</v>
      </c>
      <c r="I1348" s="16">
        <f t="shared" si="216"/>
        <v>187</v>
      </c>
      <c r="J1348" s="29">
        <f t="shared" si="215"/>
        <v>730</v>
      </c>
    </row>
    <row r="1349" spans="1:10" x14ac:dyDescent="0.3">
      <c r="A1349" s="15" t="s">
        <v>31</v>
      </c>
      <c r="B1349" s="16">
        <v>1</v>
      </c>
      <c r="C1349" s="16">
        <v>0</v>
      </c>
      <c r="D1349" s="16">
        <v>0</v>
      </c>
      <c r="E1349" s="16">
        <v>4</v>
      </c>
      <c r="F1349" s="16">
        <v>3</v>
      </c>
      <c r="G1349" s="16">
        <v>13</v>
      </c>
      <c r="H1349" s="16">
        <v>1</v>
      </c>
      <c r="I1349" s="16">
        <f t="shared" si="216"/>
        <v>22</v>
      </c>
      <c r="J1349" s="29">
        <f t="shared" si="215"/>
        <v>109</v>
      </c>
    </row>
    <row r="1350" spans="1:10" x14ac:dyDescent="0.3">
      <c r="A1350" s="15" t="s">
        <v>13</v>
      </c>
      <c r="B1350" s="16">
        <v>4</v>
      </c>
      <c r="C1350" s="16">
        <v>0</v>
      </c>
      <c r="D1350" s="16">
        <v>3</v>
      </c>
      <c r="E1350" s="16">
        <v>2</v>
      </c>
      <c r="F1350" s="16">
        <v>1</v>
      </c>
      <c r="G1350" s="16">
        <v>2</v>
      </c>
      <c r="H1350" s="16">
        <v>2</v>
      </c>
      <c r="I1350" s="16">
        <f t="shared" si="216"/>
        <v>14</v>
      </c>
      <c r="J1350" s="29">
        <f t="shared" si="215"/>
        <v>32</v>
      </c>
    </row>
    <row r="1351" spans="1:10" x14ac:dyDescent="0.3">
      <c r="A1351" s="15" t="s">
        <v>14</v>
      </c>
      <c r="B1351" s="16">
        <v>0</v>
      </c>
      <c r="C1351" s="16">
        <v>0</v>
      </c>
      <c r="D1351" s="16">
        <v>0</v>
      </c>
      <c r="E1351" s="16">
        <v>0</v>
      </c>
      <c r="F1351" s="16">
        <v>0</v>
      </c>
      <c r="G1351" s="16">
        <v>0</v>
      </c>
      <c r="H1351" s="16">
        <v>0</v>
      </c>
      <c r="I1351" s="16">
        <f t="shared" si="216"/>
        <v>0</v>
      </c>
      <c r="J1351" s="29">
        <f t="shared" si="215"/>
        <v>0</v>
      </c>
    </row>
    <row r="1352" spans="1:10" x14ac:dyDescent="0.3">
      <c r="A1352" s="15" t="s">
        <v>32</v>
      </c>
      <c r="B1352" s="16">
        <v>0</v>
      </c>
      <c r="C1352" s="16">
        <v>0</v>
      </c>
      <c r="D1352" s="16">
        <v>0</v>
      </c>
      <c r="E1352" s="16">
        <v>0</v>
      </c>
      <c r="F1352" s="16">
        <v>0</v>
      </c>
      <c r="G1352" s="16">
        <v>0</v>
      </c>
      <c r="H1352" s="16">
        <v>0</v>
      </c>
      <c r="I1352" s="16">
        <f>SUM(B1352:H1352)</f>
        <v>0</v>
      </c>
      <c r="J1352" s="29">
        <f t="shared" si="215"/>
        <v>0</v>
      </c>
    </row>
    <row r="1353" spans="1:10" x14ac:dyDescent="0.3">
      <c r="A1353" s="15" t="s">
        <v>33</v>
      </c>
      <c r="B1353" s="16">
        <v>0</v>
      </c>
      <c r="C1353" s="16">
        <v>0</v>
      </c>
      <c r="D1353" s="16">
        <v>0</v>
      </c>
      <c r="E1353" s="16">
        <v>0</v>
      </c>
      <c r="F1353" s="16">
        <v>0</v>
      </c>
      <c r="G1353" s="16">
        <v>0</v>
      </c>
      <c r="H1353" s="16">
        <v>0</v>
      </c>
      <c r="I1353" s="16">
        <f t="shared" ref="I1353" si="217">SUM(B1353:H1353)</f>
        <v>0</v>
      </c>
      <c r="J1353" s="29">
        <f t="shared" si="215"/>
        <v>1</v>
      </c>
    </row>
    <row r="1354" spans="1:10" ht="19.5" thickBot="1" x14ac:dyDescent="0.35">
      <c r="A1354" s="30" t="s">
        <v>15</v>
      </c>
      <c r="B1354" s="31">
        <f t="shared" ref="B1354:H1354" si="218">(B1345+B1344)/B1343*100%</f>
        <v>0.24074074074074073</v>
      </c>
      <c r="C1354" s="31">
        <f t="shared" si="218"/>
        <v>0.7592592592592593</v>
      </c>
      <c r="D1354" s="31">
        <f t="shared" si="218"/>
        <v>0.12962962962962962</v>
      </c>
      <c r="E1354" s="31">
        <f t="shared" si="218"/>
        <v>0.37037037037037035</v>
      </c>
      <c r="F1354" s="31">
        <f t="shared" si="218"/>
        <v>0.5</v>
      </c>
      <c r="G1354" s="31">
        <f t="shared" si="218"/>
        <v>0.25531914893617019</v>
      </c>
      <c r="H1354" s="31">
        <f t="shared" si="218"/>
        <v>0.10416666666666667</v>
      </c>
      <c r="I1354" s="32">
        <f>(B1354+C1354+D1354+E1354+F1354+G1354+H1354)/7</f>
        <v>0.33706940222897669</v>
      </c>
      <c r="J1354" s="29">
        <f t="shared" si="215"/>
        <v>3.4291301489595347</v>
      </c>
    </row>
    <row r="1355" spans="1:10" x14ac:dyDescent="0.3">
      <c r="A1355" s="67" t="s">
        <v>16</v>
      </c>
      <c r="B1355" s="16"/>
      <c r="C1355" s="17"/>
      <c r="D1355" s="16"/>
      <c r="E1355" s="18"/>
      <c r="F1355" s="16"/>
      <c r="G1355" s="16"/>
      <c r="H1355" s="16"/>
      <c r="I1355" s="16"/>
      <c r="J1355" s="29">
        <f t="shared" si="215"/>
        <v>0</v>
      </c>
    </row>
    <row r="1356" spans="1:10" x14ac:dyDescent="0.3">
      <c r="A1356" s="15" t="s">
        <v>17</v>
      </c>
      <c r="B1356" s="28">
        <v>24410.546050000001</v>
      </c>
      <c r="C1356" s="28">
        <v>42791.472499999996</v>
      </c>
      <c r="D1356" s="28">
        <v>10105.966199999999</v>
      </c>
      <c r="E1356" s="28">
        <v>33739.769200000002</v>
      </c>
      <c r="F1356" s="28">
        <v>50517.938499999997</v>
      </c>
      <c r="G1356" s="28">
        <v>35118.639999999999</v>
      </c>
      <c r="H1356" s="28">
        <v>11391.632000000001</v>
      </c>
      <c r="I1356" s="19">
        <f>SUM(B1356:H1356)</f>
        <v>208075.96445</v>
      </c>
      <c r="J1356" s="29">
        <f t="shared" si="215"/>
        <v>1320679.6109</v>
      </c>
    </row>
    <row r="1357" spans="1:10" x14ac:dyDescent="0.3">
      <c r="A1357" s="15" t="s">
        <v>18</v>
      </c>
      <c r="B1357" s="28">
        <v>27859.665070000003</v>
      </c>
      <c r="C1357" s="28">
        <v>37312.1587</v>
      </c>
      <c r="D1357" s="28">
        <v>21072.401239999999</v>
      </c>
      <c r="E1357" s="28">
        <v>29848.458390000007</v>
      </c>
      <c r="F1357" s="28">
        <v>55251.904399999999</v>
      </c>
      <c r="G1357" s="28">
        <v>64526.504499999995</v>
      </c>
      <c r="H1357" s="28">
        <v>16259.223900000001</v>
      </c>
      <c r="I1357" s="19">
        <f t="shared" ref="I1357" si="219">SUM(B1357:H1357)</f>
        <v>252130.31620000003</v>
      </c>
      <c r="J1357" s="29">
        <f t="shared" si="215"/>
        <v>1568416.0002300001</v>
      </c>
    </row>
    <row r="1358" spans="1:10" x14ac:dyDescent="0.3">
      <c r="A1358" s="15" t="s">
        <v>19</v>
      </c>
      <c r="B1358" s="28">
        <v>16662.608699999997</v>
      </c>
      <c r="C1358" s="28">
        <v>25074.163199999999</v>
      </c>
      <c r="D1358" s="28">
        <v>8667.7758599999979</v>
      </c>
      <c r="E1358" s="28">
        <v>22506.330110000003</v>
      </c>
      <c r="F1358" s="28">
        <v>36075.8125</v>
      </c>
      <c r="G1358" s="28">
        <v>33224.53349999999</v>
      </c>
      <c r="H1358" s="28">
        <v>9076.678100000001</v>
      </c>
      <c r="I1358" s="19">
        <f>SUM(B1358:H1358)</f>
        <v>151287.90196999998</v>
      </c>
      <c r="J1358" s="29">
        <f t="shared" si="215"/>
        <v>978140.02167000005</v>
      </c>
    </row>
    <row r="1359" spans="1:10" x14ac:dyDescent="0.3">
      <c r="A1359" s="15" t="s">
        <v>21</v>
      </c>
      <c r="B1359" s="28">
        <v>4686.8248800000001</v>
      </c>
      <c r="C1359" s="28">
        <v>9992.9336000000003</v>
      </c>
      <c r="D1359" s="28">
        <v>0</v>
      </c>
      <c r="E1359" s="28">
        <v>2880.0528000000004</v>
      </c>
      <c r="F1359" s="28">
        <v>2880.0535999999997</v>
      </c>
      <c r="G1359" s="28">
        <v>0</v>
      </c>
      <c r="H1359" s="28">
        <v>0</v>
      </c>
      <c r="I1359" s="19">
        <f t="shared" ref="I1359:I1360" si="220">SUM(B1359:H1359)</f>
        <v>20439.864880000001</v>
      </c>
      <c r="J1359" s="29">
        <f t="shared" si="215"/>
        <v>155239.8088</v>
      </c>
    </row>
    <row r="1360" spans="1:10" ht="19.5" thickBot="1" x14ac:dyDescent="0.35">
      <c r="A1360" s="15" t="s">
        <v>22</v>
      </c>
      <c r="B1360" s="28">
        <v>0</v>
      </c>
      <c r="C1360" s="28">
        <v>0</v>
      </c>
      <c r="D1360" s="28">
        <v>0</v>
      </c>
      <c r="E1360" s="28">
        <v>0</v>
      </c>
      <c r="F1360" s="28">
        <v>0</v>
      </c>
      <c r="G1360" s="28">
        <v>0</v>
      </c>
      <c r="H1360" s="28">
        <v>0</v>
      </c>
      <c r="I1360" s="19">
        <f t="shared" si="220"/>
        <v>0</v>
      </c>
      <c r="J1360" s="29">
        <f t="shared" si="215"/>
        <v>0</v>
      </c>
    </row>
    <row r="1361" spans="1:11" ht="19.5" thickBot="1" x14ac:dyDescent="0.35">
      <c r="A1361" s="20" t="s">
        <v>7</v>
      </c>
      <c r="B1361" s="21">
        <f>SUM(B1356:B1360)</f>
        <v>73619.644700000004</v>
      </c>
      <c r="C1361" s="21">
        <f>SUM(C1356:C1360)</f>
        <v>115170.728</v>
      </c>
      <c r="D1361" s="21">
        <f>SUM(D1356:D1360)</f>
        <v>39846.143299999996</v>
      </c>
      <c r="E1361" s="21">
        <f t="shared" ref="E1361:H1361" si="221">SUM(E1356:E1360)</f>
        <v>88974.61050000001</v>
      </c>
      <c r="F1361" s="21">
        <f t="shared" si="221"/>
        <v>144725.709</v>
      </c>
      <c r="G1361" s="21">
        <f t="shared" si="221"/>
        <v>132869.67799999999</v>
      </c>
      <c r="H1361" s="21">
        <f t="shared" si="221"/>
        <v>36727.534</v>
      </c>
      <c r="I1361" s="21">
        <f>SUM(I1356:I1360)</f>
        <v>631934.04749999999</v>
      </c>
      <c r="J1361" s="29">
        <f>I1361-H1361+I1334+I1307+I1280+F1252+G1252+H1252</f>
        <v>4022475.4416</v>
      </c>
    </row>
    <row r="1362" spans="1:11" ht="19.5" thickTop="1" x14ac:dyDescent="0.3">
      <c r="A1362" s="22" t="s">
        <v>20</v>
      </c>
      <c r="B1362" s="23">
        <f>0.6*19381.98</f>
        <v>11629.188</v>
      </c>
      <c r="C1362" s="23">
        <f>0.6*5288.95</f>
        <v>3173.37</v>
      </c>
      <c r="D1362" s="23">
        <f>0.6*15663.44</f>
        <v>9398.0640000000003</v>
      </c>
      <c r="E1362" s="23">
        <f>0.6*13389.18</f>
        <v>8033.5079999999998</v>
      </c>
      <c r="F1362" s="23">
        <f>0.6*38975.52</f>
        <v>23385.311999999998</v>
      </c>
      <c r="G1362" s="23">
        <f>0.6*89842.73</f>
        <v>53905.637999999999</v>
      </c>
      <c r="H1362" s="23">
        <f>0.6*16355.07</f>
        <v>9813.0419999999995</v>
      </c>
      <c r="I1362" s="23">
        <f>SUM(B1362:H1362)</f>
        <v>119338.122</v>
      </c>
      <c r="J1362" s="29">
        <f t="shared" ref="J1362:J1366" si="222">I1362-H1362+I1335+I1308+I1281+F1253+G1253+H1253</f>
        <v>676263.67200000002</v>
      </c>
      <c r="K1362" s="1">
        <f>J1362*(100/60)</f>
        <v>1127106.1200000001</v>
      </c>
    </row>
    <row r="1363" spans="1:11" x14ac:dyDescent="0.3">
      <c r="A1363" s="24" t="s">
        <v>25</v>
      </c>
      <c r="B1363" s="25"/>
      <c r="C1363" s="25"/>
      <c r="D1363" s="25"/>
      <c r="E1363" s="25"/>
      <c r="F1363" s="25"/>
      <c r="G1363" s="25"/>
      <c r="H1363" s="25"/>
      <c r="I1363" s="25"/>
      <c r="J1363" s="29">
        <f t="shared" si="222"/>
        <v>0</v>
      </c>
    </row>
    <row r="1364" spans="1:11" x14ac:dyDescent="0.3">
      <c r="A1364" s="26" t="s">
        <v>23</v>
      </c>
      <c r="B1364" s="25">
        <v>0</v>
      </c>
      <c r="C1364" s="25">
        <f>30000/1.229</f>
        <v>24410.089503661511</v>
      </c>
      <c r="D1364" s="25">
        <f>30000/1.229</f>
        <v>24410.089503661511</v>
      </c>
      <c r="E1364" s="25">
        <v>0</v>
      </c>
      <c r="F1364" s="25">
        <v>0</v>
      </c>
      <c r="G1364" s="25">
        <v>0</v>
      </c>
      <c r="H1364" s="25">
        <f>30000/1.229</f>
        <v>24410.089503661511</v>
      </c>
      <c r="I1364" s="25">
        <f>SUM(B1364:H1364)</f>
        <v>73230.268510984533</v>
      </c>
      <c r="J1364" s="29">
        <f t="shared" si="222"/>
        <v>579332.79088689992</v>
      </c>
    </row>
    <row r="1365" spans="1:11" ht="19.5" thickBot="1" x14ac:dyDescent="0.35">
      <c r="A1365" s="27" t="s">
        <v>24</v>
      </c>
      <c r="B1365" s="25">
        <f>16000/1.229</f>
        <v>13018.714401952806</v>
      </c>
      <c r="C1365" s="25">
        <f>56000/1.229</f>
        <v>45565.500406834821</v>
      </c>
      <c r="D1365" s="25">
        <f>12000/1.229</f>
        <v>9764.0358014646044</v>
      </c>
      <c r="E1365" s="25">
        <f>6000/1.229</f>
        <v>4882.0179007323022</v>
      </c>
      <c r="F1365" s="25">
        <f>6000/1.229</f>
        <v>4882.0179007323022</v>
      </c>
      <c r="G1365" s="25">
        <v>0</v>
      </c>
      <c r="H1365" s="25">
        <v>0</v>
      </c>
      <c r="I1365" s="25">
        <f>SUM(B1365:H1365)</f>
        <v>78112.286411716836</v>
      </c>
      <c r="J1365" s="29">
        <f t="shared" si="222"/>
        <v>530512.61187957681</v>
      </c>
    </row>
    <row r="1366" spans="1:11" x14ac:dyDescent="0.3">
      <c r="J1366" s="29">
        <f t="shared" si="222"/>
        <v>0</v>
      </c>
    </row>
    <row r="1367" spans="1:11" x14ac:dyDescent="0.3">
      <c r="A1367" s="4" t="s">
        <v>97</v>
      </c>
      <c r="B1367" s="5" t="s">
        <v>0</v>
      </c>
      <c r="C1367" s="5" t="s">
        <v>1</v>
      </c>
      <c r="D1367" s="5" t="s">
        <v>2</v>
      </c>
      <c r="E1367" s="6" t="s">
        <v>3</v>
      </c>
      <c r="F1367" s="5" t="s">
        <v>4</v>
      </c>
      <c r="G1367" s="5" t="s">
        <v>5</v>
      </c>
      <c r="H1367" s="5" t="s">
        <v>6</v>
      </c>
      <c r="I1367" s="5" t="s">
        <v>7</v>
      </c>
    </row>
    <row r="1368" spans="1:11" x14ac:dyDescent="0.3">
      <c r="A1368" s="7"/>
      <c r="B1368" s="8">
        <v>45628</v>
      </c>
      <c r="C1368" s="8">
        <v>45629</v>
      </c>
      <c r="D1368" s="8">
        <v>45630</v>
      </c>
      <c r="E1368" s="8">
        <v>45631</v>
      </c>
      <c r="F1368" s="8">
        <v>45632</v>
      </c>
      <c r="G1368" s="8">
        <v>45633</v>
      </c>
      <c r="H1368" s="8">
        <v>45634</v>
      </c>
      <c r="I1368" s="9"/>
    </row>
    <row r="1369" spans="1:11" ht="19.5" thickBot="1" x14ac:dyDescent="0.35">
      <c r="A1369" s="10" t="s">
        <v>8</v>
      </c>
      <c r="B1369" s="11" t="s">
        <v>9</v>
      </c>
      <c r="C1369" s="11" t="s">
        <v>9</v>
      </c>
      <c r="D1369" s="11" t="s">
        <v>9</v>
      </c>
      <c r="E1369" s="11" t="s">
        <v>9</v>
      </c>
      <c r="F1369" s="11" t="s">
        <v>9</v>
      </c>
      <c r="G1369" s="11" t="s">
        <v>9</v>
      </c>
      <c r="H1369" s="11" t="s">
        <v>9</v>
      </c>
      <c r="I1369" s="12" t="s">
        <v>9</v>
      </c>
    </row>
    <row r="1370" spans="1:11" x14ac:dyDescent="0.3">
      <c r="A1370" s="13" t="s">
        <v>10</v>
      </c>
      <c r="B1370" s="14">
        <v>46</v>
      </c>
      <c r="C1370" s="14">
        <v>45</v>
      </c>
      <c r="D1370" s="14">
        <v>50</v>
      </c>
      <c r="E1370" s="14">
        <v>45</v>
      </c>
      <c r="F1370" s="14">
        <v>45</v>
      </c>
      <c r="G1370" s="14">
        <v>45</v>
      </c>
      <c r="H1370" s="14">
        <v>45</v>
      </c>
      <c r="I1370" s="14"/>
    </row>
    <row r="1371" spans="1:11" x14ac:dyDescent="0.3">
      <c r="A1371" s="15" t="s">
        <v>11</v>
      </c>
      <c r="B1371" s="16">
        <v>1</v>
      </c>
      <c r="C1371" s="16">
        <v>1</v>
      </c>
      <c r="D1371" s="16">
        <v>1</v>
      </c>
      <c r="E1371" s="16">
        <v>2</v>
      </c>
      <c r="F1371" s="16">
        <v>2</v>
      </c>
      <c r="G1371" s="16">
        <v>3</v>
      </c>
      <c r="H1371" s="16">
        <v>4</v>
      </c>
      <c r="I1371" s="16">
        <f>SUM(B1371:H1371)</f>
        <v>14</v>
      </c>
    </row>
    <row r="1372" spans="1:11" x14ac:dyDescent="0.3">
      <c r="A1372" s="15" t="s">
        <v>12</v>
      </c>
      <c r="B1372" s="16">
        <v>3</v>
      </c>
      <c r="C1372" s="16">
        <v>28</v>
      </c>
      <c r="D1372" s="16">
        <v>31</v>
      </c>
      <c r="E1372" s="16">
        <v>25</v>
      </c>
      <c r="F1372" s="16">
        <v>9</v>
      </c>
      <c r="G1372" s="16">
        <v>12</v>
      </c>
      <c r="H1372" s="16">
        <v>1</v>
      </c>
      <c r="I1372" s="16">
        <f t="shared" ref="I1372:I1378" si="223">SUM(B1372:H1372)</f>
        <v>109</v>
      </c>
    </row>
    <row r="1373" spans="1:11" x14ac:dyDescent="0.3">
      <c r="A1373" s="15" t="s">
        <v>30</v>
      </c>
      <c r="B1373" s="16">
        <v>0</v>
      </c>
      <c r="C1373" s="16">
        <v>0</v>
      </c>
      <c r="D1373" s="16">
        <v>0</v>
      </c>
      <c r="E1373" s="16">
        <v>0</v>
      </c>
      <c r="F1373" s="16">
        <v>0</v>
      </c>
      <c r="G1373" s="16">
        <v>0</v>
      </c>
      <c r="H1373" s="16">
        <v>0</v>
      </c>
      <c r="I1373" s="16">
        <f t="shared" si="223"/>
        <v>0</v>
      </c>
    </row>
    <row r="1374" spans="1:11" x14ac:dyDescent="0.3">
      <c r="A1374" s="15" t="s">
        <v>28</v>
      </c>
      <c r="B1374" s="16">
        <v>20</v>
      </c>
      <c r="C1374" s="16">
        <v>16</v>
      </c>
      <c r="D1374" s="16">
        <v>21</v>
      </c>
      <c r="E1374" s="16">
        <v>39</v>
      </c>
      <c r="F1374" s="16">
        <v>156</v>
      </c>
      <c r="G1374" s="16">
        <v>16</v>
      </c>
      <c r="H1374" s="16">
        <v>19</v>
      </c>
      <c r="I1374" s="16">
        <f t="shared" si="223"/>
        <v>287</v>
      </c>
    </row>
    <row r="1375" spans="1:11" x14ac:dyDescent="0.3">
      <c r="A1375" s="15" t="s">
        <v>29</v>
      </c>
      <c r="B1375" s="16">
        <v>0</v>
      </c>
      <c r="C1375" s="16">
        <v>0</v>
      </c>
      <c r="D1375" s="16">
        <v>1</v>
      </c>
      <c r="E1375" s="16">
        <v>1</v>
      </c>
      <c r="F1375" s="16">
        <v>29</v>
      </c>
      <c r="G1375" s="16">
        <v>3</v>
      </c>
      <c r="H1375" s="16">
        <v>2</v>
      </c>
      <c r="I1375" s="16">
        <f t="shared" si="223"/>
        <v>36</v>
      </c>
    </row>
    <row r="1376" spans="1:11" x14ac:dyDescent="0.3">
      <c r="A1376" s="15" t="s">
        <v>31</v>
      </c>
      <c r="B1376" s="16">
        <v>1</v>
      </c>
      <c r="C1376" s="16">
        <v>0</v>
      </c>
      <c r="D1376" s="16">
        <v>2</v>
      </c>
      <c r="E1376" s="16">
        <v>0</v>
      </c>
      <c r="F1376" s="16">
        <v>0</v>
      </c>
      <c r="G1376" s="16">
        <v>0</v>
      </c>
      <c r="H1376" s="16">
        <v>2</v>
      </c>
      <c r="I1376" s="16">
        <f t="shared" si="223"/>
        <v>5</v>
      </c>
    </row>
    <row r="1377" spans="1:9" x14ac:dyDescent="0.3">
      <c r="A1377" s="15" t="s">
        <v>13</v>
      </c>
      <c r="B1377" s="16">
        <v>0</v>
      </c>
      <c r="C1377" s="16">
        <v>0</v>
      </c>
      <c r="D1377" s="16">
        <v>0</v>
      </c>
      <c r="E1377" s="16">
        <v>0</v>
      </c>
      <c r="F1377" s="16">
        <v>0</v>
      </c>
      <c r="G1377" s="16">
        <v>0</v>
      </c>
      <c r="H1377" s="16">
        <v>0</v>
      </c>
      <c r="I1377" s="16">
        <f t="shared" si="223"/>
        <v>0</v>
      </c>
    </row>
    <row r="1378" spans="1:9" x14ac:dyDescent="0.3">
      <c r="A1378" s="15" t="s">
        <v>14</v>
      </c>
      <c r="B1378" s="16">
        <v>0</v>
      </c>
      <c r="C1378" s="16">
        <v>0</v>
      </c>
      <c r="D1378" s="16">
        <v>0</v>
      </c>
      <c r="E1378" s="16">
        <v>0</v>
      </c>
      <c r="F1378" s="16">
        <v>0</v>
      </c>
      <c r="G1378" s="16">
        <v>0</v>
      </c>
      <c r="H1378" s="16">
        <v>0</v>
      </c>
      <c r="I1378" s="16">
        <f t="shared" si="223"/>
        <v>0</v>
      </c>
    </row>
    <row r="1379" spans="1:9" x14ac:dyDescent="0.3">
      <c r="A1379" s="15" t="s">
        <v>32</v>
      </c>
      <c r="B1379" s="16">
        <v>0</v>
      </c>
      <c r="C1379" s="16">
        <v>0</v>
      </c>
      <c r="D1379" s="16">
        <v>0</v>
      </c>
      <c r="E1379" s="16">
        <v>0</v>
      </c>
      <c r="F1379" s="16">
        <v>0</v>
      </c>
      <c r="G1379" s="16">
        <v>0</v>
      </c>
      <c r="H1379" s="16">
        <v>0</v>
      </c>
      <c r="I1379" s="16">
        <f>SUM(B1379:H1379)</f>
        <v>0</v>
      </c>
    </row>
    <row r="1380" spans="1:9" x14ac:dyDescent="0.3">
      <c r="A1380" s="15" t="s">
        <v>33</v>
      </c>
      <c r="B1380" s="16">
        <v>0</v>
      </c>
      <c r="C1380" s="16">
        <v>0</v>
      </c>
      <c r="D1380" s="16">
        <v>0</v>
      </c>
      <c r="E1380" s="16">
        <v>0</v>
      </c>
      <c r="F1380" s="16">
        <v>0</v>
      </c>
      <c r="G1380" s="16">
        <v>0</v>
      </c>
      <c r="H1380" s="16">
        <v>0</v>
      </c>
      <c r="I1380" s="16">
        <f t="shared" ref="I1380" si="224">SUM(B1380:H1380)</f>
        <v>0</v>
      </c>
    </row>
    <row r="1381" spans="1:9" ht="19.5" thickBot="1" x14ac:dyDescent="0.35">
      <c r="A1381" s="30" t="s">
        <v>15</v>
      </c>
      <c r="B1381" s="31">
        <f t="shared" ref="B1381:H1381" si="225">(B1372+B1371)/B1370*100%</f>
        <v>8.6956521739130432E-2</v>
      </c>
      <c r="C1381" s="31">
        <f t="shared" si="225"/>
        <v>0.64444444444444449</v>
      </c>
      <c r="D1381" s="31">
        <f t="shared" si="225"/>
        <v>0.64</v>
      </c>
      <c r="E1381" s="31">
        <f t="shared" si="225"/>
        <v>0.6</v>
      </c>
      <c r="F1381" s="31">
        <f t="shared" si="225"/>
        <v>0.24444444444444444</v>
      </c>
      <c r="G1381" s="31">
        <f t="shared" si="225"/>
        <v>0.33333333333333331</v>
      </c>
      <c r="H1381" s="31">
        <f t="shared" si="225"/>
        <v>0.1111111111111111</v>
      </c>
      <c r="I1381" s="32">
        <f>(B1381+C1381+D1381+E1381+F1381+G1381+H1381)/7</f>
        <v>0.38004140786749485</v>
      </c>
    </row>
    <row r="1382" spans="1:9" x14ac:dyDescent="0.3">
      <c r="A1382" s="67" t="s">
        <v>16</v>
      </c>
      <c r="B1382" s="16"/>
      <c r="C1382" s="17"/>
      <c r="D1382" s="16"/>
      <c r="E1382" s="18"/>
      <c r="F1382" s="16"/>
      <c r="G1382" s="16"/>
      <c r="H1382" s="16"/>
      <c r="I1382" s="16"/>
    </row>
    <row r="1383" spans="1:9" x14ac:dyDescent="0.3">
      <c r="A1383" s="15" t="s">
        <v>17</v>
      </c>
      <c r="B1383" s="28">
        <v>9455.018</v>
      </c>
      <c r="C1383" s="28">
        <v>44486.656999999999</v>
      </c>
      <c r="D1383" s="28">
        <v>58921.344499999999</v>
      </c>
      <c r="E1383" s="28">
        <v>65065.215499999998</v>
      </c>
      <c r="F1383" s="28">
        <v>28446.423999999999</v>
      </c>
      <c r="G1383" s="28">
        <v>45338.520000000004</v>
      </c>
      <c r="H1383" s="28">
        <v>3254.7440000000001</v>
      </c>
      <c r="I1383" s="19">
        <f>SUM(B1383:H1383)</f>
        <v>254967.92300000001</v>
      </c>
    </row>
    <row r="1384" spans="1:9" x14ac:dyDescent="0.3">
      <c r="A1384" s="15" t="s">
        <v>18</v>
      </c>
      <c r="B1384" s="28">
        <v>11079.539600000002</v>
      </c>
      <c r="C1384" s="28">
        <v>37770</v>
      </c>
      <c r="D1384" s="28">
        <v>47737.708400000003</v>
      </c>
      <c r="E1384" s="28">
        <v>59001.910200000006</v>
      </c>
      <c r="F1384" s="28">
        <v>55873.497299999995</v>
      </c>
      <c r="G1384" s="28">
        <v>37182.549500000001</v>
      </c>
      <c r="H1384" s="28">
        <v>8814.2443000000003</v>
      </c>
      <c r="I1384" s="19">
        <f t="shared" ref="I1384" si="226">SUM(B1384:H1384)</f>
        <v>257459.44929999998</v>
      </c>
    </row>
    <row r="1385" spans="1:9" x14ac:dyDescent="0.3">
      <c r="A1385" s="15" t="s">
        <v>19</v>
      </c>
      <c r="B1385" s="28">
        <v>7590.0483999999997</v>
      </c>
      <c r="C1385" s="28">
        <v>25865.028200000001</v>
      </c>
      <c r="D1385" s="28">
        <v>33448.631099999999</v>
      </c>
      <c r="E1385" s="28">
        <v>41066.836499999998</v>
      </c>
      <c r="F1385" s="28">
        <v>27793.246699999996</v>
      </c>
      <c r="G1385" s="28">
        <v>27558.284500000002</v>
      </c>
      <c r="H1385" s="28">
        <v>3960.6136999999999</v>
      </c>
      <c r="I1385" s="19">
        <f>SUM(B1385:H1385)</f>
        <v>167282.68909999999</v>
      </c>
    </row>
    <row r="1386" spans="1:9" x14ac:dyDescent="0.3">
      <c r="A1386" s="15" t="s">
        <v>21</v>
      </c>
      <c r="B1386" s="28">
        <v>0</v>
      </c>
      <c r="C1386" s="28">
        <v>6448.6768000000011</v>
      </c>
      <c r="D1386" s="28">
        <v>6253.3880000000008</v>
      </c>
      <c r="E1386" s="28">
        <v>7477.2807999999995</v>
      </c>
      <c r="F1386" s="28">
        <v>0</v>
      </c>
      <c r="G1386" s="28">
        <v>0</v>
      </c>
      <c r="H1386" s="28">
        <v>0</v>
      </c>
      <c r="I1386" s="19">
        <f t="shared" ref="I1386:I1387" si="227">SUM(B1386:H1386)</f>
        <v>20179.345600000001</v>
      </c>
    </row>
    <row r="1387" spans="1:9" ht="19.5" thickBot="1" x14ac:dyDescent="0.35">
      <c r="A1387" s="15" t="s">
        <v>22</v>
      </c>
      <c r="B1387" s="28">
        <v>1621.05</v>
      </c>
      <c r="C1387" s="28">
        <v>0</v>
      </c>
      <c r="D1387" s="28">
        <v>0</v>
      </c>
      <c r="E1387" s="28">
        <v>0</v>
      </c>
      <c r="F1387" s="28">
        <v>0</v>
      </c>
      <c r="G1387" s="28">
        <v>0</v>
      </c>
      <c r="H1387" s="28">
        <v>0</v>
      </c>
      <c r="I1387" s="19">
        <f t="shared" si="227"/>
        <v>1621.05</v>
      </c>
    </row>
    <row r="1388" spans="1:9" ht="19.5" thickBot="1" x14ac:dyDescent="0.35">
      <c r="A1388" s="20" t="s">
        <v>7</v>
      </c>
      <c r="B1388" s="21">
        <f>SUM(B1383:B1387)</f>
        <v>29745.655999999999</v>
      </c>
      <c r="C1388" s="21">
        <f>SUM(C1383:C1387)</f>
        <v>114570.36200000001</v>
      </c>
      <c r="D1388" s="21">
        <f>SUM(D1383:D1387)</f>
        <v>146361.07200000001</v>
      </c>
      <c r="E1388" s="21">
        <f t="shared" ref="E1388:H1388" si="228">SUM(E1383:E1387)</f>
        <v>172611.24300000002</v>
      </c>
      <c r="F1388" s="21">
        <f t="shared" si="228"/>
        <v>112113.16799999998</v>
      </c>
      <c r="G1388" s="21">
        <f t="shared" si="228"/>
        <v>110079.35400000002</v>
      </c>
      <c r="H1388" s="21">
        <f t="shared" si="228"/>
        <v>16029.602000000001</v>
      </c>
      <c r="I1388" s="21">
        <f>SUM(I1383:I1387)</f>
        <v>701510.45700000005</v>
      </c>
    </row>
    <row r="1389" spans="1:9" ht="19.5" thickTop="1" x14ac:dyDescent="0.3">
      <c r="A1389" s="22" t="s">
        <v>20</v>
      </c>
      <c r="B1389" s="23">
        <f>0.6*10065.28</f>
        <v>6039.1680000000006</v>
      </c>
      <c r="C1389" s="23">
        <f>0.6*8462.32</f>
        <v>5077.3919999999998</v>
      </c>
      <c r="D1389" s="23">
        <f>0.6*11879.8</f>
        <v>7127.8799999999992</v>
      </c>
      <c r="E1389" s="23">
        <f>0.6*20599.02</f>
        <v>12359.412</v>
      </c>
      <c r="F1389" s="23">
        <f>0.6*78028.29</f>
        <v>46816.973999999995</v>
      </c>
      <c r="G1389" s="23">
        <f>0.6*9072.59</f>
        <v>5443.5540000000001</v>
      </c>
      <c r="H1389" s="23">
        <f>0.6*11025.43</f>
        <v>6615.2579999999998</v>
      </c>
      <c r="I1389" s="23">
        <f>SUM(B1389:H1389)</f>
        <v>89479.638000000006</v>
      </c>
    </row>
    <row r="1390" spans="1:9" x14ac:dyDescent="0.3">
      <c r="A1390" s="24" t="s">
        <v>25</v>
      </c>
      <c r="B1390" s="25"/>
      <c r="C1390" s="25"/>
      <c r="D1390" s="25"/>
      <c r="E1390" s="25"/>
      <c r="F1390" s="25"/>
      <c r="G1390" s="25"/>
      <c r="H1390" s="25"/>
      <c r="I1390" s="25"/>
    </row>
    <row r="1391" spans="1:9" x14ac:dyDescent="0.3">
      <c r="A1391" s="26" t="s">
        <v>23</v>
      </c>
      <c r="B1391" s="25">
        <v>24410.09</v>
      </c>
      <c r="C1391" s="25">
        <v>0</v>
      </c>
      <c r="D1391" s="25">
        <v>0</v>
      </c>
      <c r="E1391" s="25">
        <v>0</v>
      </c>
      <c r="F1391" s="25">
        <v>0</v>
      </c>
      <c r="G1391" s="25">
        <v>4882.0200000000004</v>
      </c>
      <c r="H1391" s="25">
        <v>4882.0200000000004</v>
      </c>
      <c r="I1391" s="25">
        <f>SUM(B1391:H1391)</f>
        <v>34174.130000000005</v>
      </c>
    </row>
    <row r="1392" spans="1:9" ht="19.5" thickBot="1" x14ac:dyDescent="0.35">
      <c r="A1392" s="27" t="s">
        <v>24</v>
      </c>
      <c r="B1392" s="25">
        <v>0</v>
      </c>
      <c r="C1392" s="25">
        <v>8136.7</v>
      </c>
      <c r="D1392" s="25">
        <v>8136.7</v>
      </c>
      <c r="E1392" s="25">
        <v>16273.39</v>
      </c>
      <c r="F1392" s="25">
        <v>16273.39</v>
      </c>
      <c r="G1392" s="25">
        <v>16273.39</v>
      </c>
      <c r="H1392" s="25">
        <v>40683.480000000003</v>
      </c>
      <c r="I1392" s="25">
        <f>SUM(B1392:H1392)</f>
        <v>105777.05</v>
      </c>
    </row>
    <row r="1394" spans="1:9" x14ac:dyDescent="0.3">
      <c r="A1394" s="4" t="s">
        <v>98</v>
      </c>
      <c r="B1394" s="5" t="s">
        <v>0</v>
      </c>
      <c r="C1394" s="5" t="s">
        <v>1</v>
      </c>
      <c r="D1394" s="5" t="s">
        <v>2</v>
      </c>
      <c r="E1394" s="6" t="s">
        <v>3</v>
      </c>
      <c r="F1394" s="5" t="s">
        <v>4</v>
      </c>
      <c r="G1394" s="5" t="s">
        <v>5</v>
      </c>
      <c r="H1394" s="5" t="s">
        <v>6</v>
      </c>
      <c r="I1394" s="5" t="s">
        <v>7</v>
      </c>
    </row>
    <row r="1395" spans="1:9" x14ac:dyDescent="0.3">
      <c r="A1395" s="7"/>
      <c r="B1395" s="8">
        <v>45635</v>
      </c>
      <c r="C1395" s="8">
        <v>45636</v>
      </c>
      <c r="D1395" s="8">
        <v>45637</v>
      </c>
      <c r="E1395" s="8">
        <v>45638</v>
      </c>
      <c r="F1395" s="8">
        <v>45639</v>
      </c>
      <c r="G1395" s="8">
        <v>45640</v>
      </c>
      <c r="H1395" s="8">
        <v>45641</v>
      </c>
      <c r="I1395" s="9"/>
    </row>
    <row r="1396" spans="1:9" ht="19.5" thickBot="1" x14ac:dyDescent="0.35">
      <c r="A1396" s="10" t="s">
        <v>8</v>
      </c>
      <c r="B1396" s="11" t="s">
        <v>9</v>
      </c>
      <c r="C1396" s="11" t="s">
        <v>9</v>
      </c>
      <c r="D1396" s="11" t="s">
        <v>9</v>
      </c>
      <c r="E1396" s="11" t="s">
        <v>9</v>
      </c>
      <c r="F1396" s="11" t="s">
        <v>9</v>
      </c>
      <c r="G1396" s="11" t="s">
        <v>9</v>
      </c>
      <c r="H1396" s="11" t="s">
        <v>9</v>
      </c>
      <c r="I1396" s="12" t="s">
        <v>9</v>
      </c>
    </row>
    <row r="1397" spans="1:9" x14ac:dyDescent="0.3">
      <c r="A1397" s="13" t="s">
        <v>10</v>
      </c>
      <c r="B1397" s="14">
        <v>52</v>
      </c>
      <c r="C1397" s="14">
        <v>52</v>
      </c>
      <c r="D1397" s="14">
        <v>54</v>
      </c>
      <c r="E1397" s="14">
        <v>54</v>
      </c>
      <c r="F1397" s="14">
        <v>54</v>
      </c>
      <c r="G1397" s="14">
        <v>54</v>
      </c>
      <c r="H1397" s="14">
        <v>54</v>
      </c>
      <c r="I1397" s="14"/>
    </row>
    <row r="1398" spans="1:9" x14ac:dyDescent="0.3">
      <c r="A1398" s="15" t="s">
        <v>11</v>
      </c>
      <c r="B1398" s="16">
        <v>1</v>
      </c>
      <c r="C1398" s="16">
        <v>1</v>
      </c>
      <c r="D1398" s="16">
        <v>0</v>
      </c>
      <c r="E1398" s="16">
        <v>0</v>
      </c>
      <c r="F1398" s="16">
        <v>2</v>
      </c>
      <c r="G1398" s="16">
        <v>0</v>
      </c>
      <c r="H1398" s="16">
        <v>3</v>
      </c>
      <c r="I1398" s="16">
        <f>SUM(B1398:H1398)</f>
        <v>7</v>
      </c>
    </row>
    <row r="1399" spans="1:9" x14ac:dyDescent="0.3">
      <c r="A1399" s="15" t="s">
        <v>12</v>
      </c>
      <c r="B1399" s="16">
        <v>2</v>
      </c>
      <c r="C1399" s="16">
        <v>4</v>
      </c>
      <c r="D1399" s="16">
        <v>53</v>
      </c>
      <c r="E1399" s="16">
        <v>53</v>
      </c>
      <c r="F1399" s="16">
        <v>43</v>
      </c>
      <c r="G1399" s="16">
        <v>53</v>
      </c>
      <c r="H1399" s="16">
        <v>25</v>
      </c>
      <c r="I1399" s="16">
        <f t="shared" ref="I1399:I1405" si="229">SUM(B1399:H1399)</f>
        <v>233</v>
      </c>
    </row>
    <row r="1400" spans="1:9" x14ac:dyDescent="0.3">
      <c r="A1400" s="15" t="s">
        <v>30</v>
      </c>
      <c r="B1400" s="16">
        <v>0</v>
      </c>
      <c r="C1400" s="16">
        <v>0</v>
      </c>
      <c r="D1400" s="16">
        <v>0</v>
      </c>
      <c r="E1400" s="16">
        <v>0</v>
      </c>
      <c r="F1400" s="16">
        <v>0</v>
      </c>
      <c r="G1400" s="16">
        <v>0</v>
      </c>
      <c r="H1400" s="16">
        <v>0</v>
      </c>
      <c r="I1400" s="16">
        <f t="shared" si="229"/>
        <v>0</v>
      </c>
    </row>
    <row r="1401" spans="1:9" x14ac:dyDescent="0.3">
      <c r="A1401" s="15" t="s">
        <v>28</v>
      </c>
      <c r="B1401" s="16">
        <v>17</v>
      </c>
      <c r="C1401" s="16">
        <v>13</v>
      </c>
      <c r="D1401" s="16">
        <v>14</v>
      </c>
      <c r="E1401" s="16">
        <v>53</v>
      </c>
      <c r="F1401" s="16">
        <v>73</v>
      </c>
      <c r="G1401" s="16">
        <v>313</v>
      </c>
      <c r="H1401" s="16">
        <v>49</v>
      </c>
      <c r="I1401" s="16">
        <f t="shared" si="229"/>
        <v>532</v>
      </c>
    </row>
    <row r="1402" spans="1:9" x14ac:dyDescent="0.3">
      <c r="A1402" s="15" t="s">
        <v>29</v>
      </c>
      <c r="B1402" s="16">
        <v>0</v>
      </c>
      <c r="C1402" s="16">
        <v>0</v>
      </c>
      <c r="D1402" s="16">
        <v>0</v>
      </c>
      <c r="E1402" s="16">
        <v>0</v>
      </c>
      <c r="F1402" s="16">
        <v>3</v>
      </c>
      <c r="G1402" s="16">
        <v>10</v>
      </c>
      <c r="H1402" s="16">
        <v>4</v>
      </c>
      <c r="I1402" s="16">
        <f t="shared" si="229"/>
        <v>17</v>
      </c>
    </row>
    <row r="1403" spans="1:9" x14ac:dyDescent="0.3">
      <c r="A1403" s="15" t="s">
        <v>31</v>
      </c>
      <c r="B1403" s="16">
        <v>0</v>
      </c>
      <c r="C1403" s="16">
        <v>0</v>
      </c>
      <c r="D1403" s="16">
        <v>0</v>
      </c>
      <c r="E1403" s="16">
        <v>0</v>
      </c>
      <c r="F1403" s="16">
        <v>2</v>
      </c>
      <c r="G1403" s="16">
        <v>5</v>
      </c>
      <c r="H1403" s="16">
        <v>9</v>
      </c>
      <c r="I1403" s="16">
        <f t="shared" si="229"/>
        <v>16</v>
      </c>
    </row>
    <row r="1404" spans="1:9" x14ac:dyDescent="0.3">
      <c r="A1404" s="15" t="s">
        <v>13</v>
      </c>
      <c r="B1404" s="16">
        <v>0</v>
      </c>
      <c r="C1404" s="16">
        <v>0</v>
      </c>
      <c r="D1404" s="16">
        <v>0</v>
      </c>
      <c r="E1404" s="16">
        <v>0</v>
      </c>
      <c r="F1404" s="16">
        <v>4</v>
      </c>
      <c r="G1404" s="16">
        <v>3</v>
      </c>
      <c r="H1404" s="16">
        <v>3</v>
      </c>
      <c r="I1404" s="16">
        <f t="shared" si="229"/>
        <v>10</v>
      </c>
    </row>
    <row r="1405" spans="1:9" x14ac:dyDescent="0.3">
      <c r="A1405" s="15" t="s">
        <v>14</v>
      </c>
      <c r="B1405" s="16">
        <v>0</v>
      </c>
      <c r="C1405" s="16">
        <v>0</v>
      </c>
      <c r="D1405" s="16">
        <v>0</v>
      </c>
      <c r="E1405" s="16">
        <v>0</v>
      </c>
      <c r="F1405" s="16">
        <v>0</v>
      </c>
      <c r="G1405" s="16">
        <v>0</v>
      </c>
      <c r="H1405" s="16">
        <v>0</v>
      </c>
      <c r="I1405" s="16">
        <f t="shared" si="229"/>
        <v>0</v>
      </c>
    </row>
    <row r="1406" spans="1:9" x14ac:dyDescent="0.3">
      <c r="A1406" s="15" t="s">
        <v>32</v>
      </c>
      <c r="B1406" s="16">
        <v>0</v>
      </c>
      <c r="C1406" s="16">
        <v>0</v>
      </c>
      <c r="D1406" s="16">
        <v>0</v>
      </c>
      <c r="E1406" s="16">
        <v>0</v>
      </c>
      <c r="F1406" s="16">
        <v>0</v>
      </c>
      <c r="G1406" s="16">
        <v>0</v>
      </c>
      <c r="H1406" s="16">
        <v>0</v>
      </c>
      <c r="I1406" s="16">
        <f>SUM(B1406:H1406)</f>
        <v>0</v>
      </c>
    </row>
    <row r="1407" spans="1:9" x14ac:dyDescent="0.3">
      <c r="A1407" s="15" t="s">
        <v>33</v>
      </c>
      <c r="B1407" s="16">
        <v>0</v>
      </c>
      <c r="C1407" s="16">
        <v>0</v>
      </c>
      <c r="D1407" s="16">
        <v>0</v>
      </c>
      <c r="E1407" s="16">
        <v>0</v>
      </c>
      <c r="F1407" s="16">
        <v>0</v>
      </c>
      <c r="G1407" s="16">
        <v>0</v>
      </c>
      <c r="H1407" s="16">
        <v>2</v>
      </c>
      <c r="I1407" s="16">
        <f t="shared" ref="I1407" si="230">SUM(B1407:H1407)</f>
        <v>2</v>
      </c>
    </row>
    <row r="1408" spans="1:9" ht="19.5" thickBot="1" x14ac:dyDescent="0.35">
      <c r="A1408" s="30" t="s">
        <v>15</v>
      </c>
      <c r="B1408" s="31">
        <f t="shared" ref="B1408:H1408" si="231">(B1399+B1398)/B1397*100%</f>
        <v>5.7692307692307696E-2</v>
      </c>
      <c r="C1408" s="31">
        <f t="shared" si="231"/>
        <v>9.6153846153846159E-2</v>
      </c>
      <c r="D1408" s="31">
        <f t="shared" si="231"/>
        <v>0.98148148148148151</v>
      </c>
      <c r="E1408" s="31">
        <f t="shared" si="231"/>
        <v>0.98148148148148151</v>
      </c>
      <c r="F1408" s="31">
        <f t="shared" si="231"/>
        <v>0.83333333333333337</v>
      </c>
      <c r="G1408" s="31">
        <f t="shared" si="231"/>
        <v>0.98148148148148151</v>
      </c>
      <c r="H1408" s="31">
        <f t="shared" si="231"/>
        <v>0.51851851851851849</v>
      </c>
      <c r="I1408" s="32">
        <f>(B1408+C1408+D1408+E1408+F1408+G1408+H1408)/7</f>
        <v>0.63573463573463573</v>
      </c>
    </row>
    <row r="1409" spans="1:9" x14ac:dyDescent="0.3">
      <c r="A1409" s="67" t="s">
        <v>16</v>
      </c>
      <c r="B1409" s="16"/>
      <c r="C1409" s="17"/>
      <c r="D1409" s="16"/>
      <c r="E1409" s="18"/>
      <c r="F1409" s="16"/>
      <c r="G1409" s="16"/>
      <c r="H1409" s="16"/>
      <c r="I1409" s="16"/>
    </row>
    <row r="1410" spans="1:9" x14ac:dyDescent="0.3">
      <c r="A1410" s="15" t="s">
        <v>17</v>
      </c>
      <c r="B1410" s="28">
        <v>5858.5312000000004</v>
      </c>
      <c r="C1410" s="28">
        <v>9113.2703999999994</v>
      </c>
      <c r="D1410" s="28">
        <v>71589.337</v>
      </c>
      <c r="E1410" s="28">
        <v>70657.577499999999</v>
      </c>
      <c r="F1410" s="28">
        <v>99416.142999999996</v>
      </c>
      <c r="G1410" s="28">
        <v>113501.629</v>
      </c>
      <c r="H1410" s="28">
        <v>48883.054499999998</v>
      </c>
      <c r="I1410" s="19">
        <f>SUM(B1410:H1410)</f>
        <v>419019.54260000004</v>
      </c>
    </row>
    <row r="1411" spans="1:9" x14ac:dyDescent="0.3">
      <c r="A1411" s="15" t="s">
        <v>18</v>
      </c>
      <c r="B1411" s="28">
        <v>8478.5978400000004</v>
      </c>
      <c r="C1411" s="28">
        <v>10266.660930000002</v>
      </c>
      <c r="D1411" s="28">
        <v>59314.635399999999</v>
      </c>
      <c r="E1411" s="28">
        <v>68492.827300000004</v>
      </c>
      <c r="F1411" s="28">
        <v>92210.124800000005</v>
      </c>
      <c r="G1411" s="28">
        <v>165781.39629999999</v>
      </c>
      <c r="H1411" s="28">
        <v>48422.085700000011</v>
      </c>
      <c r="I1411" s="19">
        <f t="shared" ref="I1411" si="232">SUM(B1411:H1411)</f>
        <v>452966.32827</v>
      </c>
    </row>
    <row r="1412" spans="1:9" x14ac:dyDescent="0.3">
      <c r="A1412" s="15" t="s">
        <v>19</v>
      </c>
      <c r="B1412" s="28">
        <v>4680.7211600000001</v>
      </c>
      <c r="C1412" s="28">
        <v>6043.6442699999998</v>
      </c>
      <c r="D1412" s="28">
        <v>39552.498600000006</v>
      </c>
      <c r="E1412" s="28">
        <v>45222.076799999995</v>
      </c>
      <c r="F1412" s="28">
        <v>63271.794600000008</v>
      </c>
      <c r="G1412" s="28">
        <v>95034.606699999989</v>
      </c>
      <c r="H1412" s="28">
        <v>32165.064399999999</v>
      </c>
      <c r="I1412" s="19">
        <f>SUM(B1412:H1412)</f>
        <v>285970.40652999998</v>
      </c>
    </row>
    <row r="1413" spans="1:9" x14ac:dyDescent="0.3">
      <c r="A1413" s="15" t="s">
        <v>21</v>
      </c>
      <c r="B1413" s="28">
        <v>0</v>
      </c>
      <c r="C1413" s="28">
        <v>0</v>
      </c>
      <c r="D1413" s="28">
        <v>14823.32</v>
      </c>
      <c r="E1413" s="28">
        <v>14811.2104</v>
      </c>
      <c r="F1413" s="28">
        <v>11638.9776</v>
      </c>
      <c r="G1413" s="28">
        <v>18801.400000000001</v>
      </c>
      <c r="H1413" s="28">
        <v>7323.3783999999996</v>
      </c>
      <c r="I1413" s="19">
        <f t="shared" ref="I1413:I1414" si="233">SUM(B1413:H1413)</f>
        <v>67398.286399999997</v>
      </c>
    </row>
    <row r="1414" spans="1:9" ht="19.5" thickBot="1" x14ac:dyDescent="0.35">
      <c r="A1414" s="15" t="s">
        <v>22</v>
      </c>
      <c r="B1414" s="28">
        <v>0</v>
      </c>
      <c r="C1414" s="28">
        <v>0</v>
      </c>
      <c r="D1414" s="28">
        <v>0</v>
      </c>
      <c r="E1414" s="28">
        <v>0</v>
      </c>
      <c r="F1414" s="28">
        <v>0</v>
      </c>
      <c r="G1414" s="28">
        <v>600</v>
      </c>
      <c r="H1414" s="28">
        <v>0</v>
      </c>
      <c r="I1414" s="19">
        <f t="shared" si="233"/>
        <v>600</v>
      </c>
    </row>
    <row r="1415" spans="1:9" ht="19.5" thickBot="1" x14ac:dyDescent="0.35">
      <c r="A1415" s="20" t="s">
        <v>7</v>
      </c>
      <c r="B1415" s="21">
        <f>SUM(B1410:B1414)</f>
        <v>19017.850200000001</v>
      </c>
      <c r="C1415" s="21">
        <f>SUM(C1410:C1414)</f>
        <v>25423.5756</v>
      </c>
      <c r="D1415" s="21">
        <f>SUM(D1410:D1414)</f>
        <v>185279.79100000003</v>
      </c>
      <c r="E1415" s="21">
        <f t="shared" ref="E1415:H1415" si="234">SUM(E1410:E1414)</f>
        <v>199183.69200000001</v>
      </c>
      <c r="F1415" s="21">
        <f t="shared" si="234"/>
        <v>266537.03999999998</v>
      </c>
      <c r="G1415" s="21">
        <f t="shared" si="234"/>
        <v>393719.03200000001</v>
      </c>
      <c r="H1415" s="21">
        <f t="shared" si="234"/>
        <v>136793.58300000001</v>
      </c>
      <c r="I1415" s="21">
        <f>SUM(I1410:I1414)</f>
        <v>1225954.5638000001</v>
      </c>
    </row>
    <row r="1416" spans="1:9" ht="19.5" thickTop="1" x14ac:dyDescent="0.3">
      <c r="A1416" s="22" t="s">
        <v>20</v>
      </c>
      <c r="B1416" s="23">
        <f>8991.22*0.6</f>
        <v>5394.7319999999991</v>
      </c>
      <c r="C1416" s="23">
        <f>6875.637*0.6</f>
        <v>4125.3822</v>
      </c>
      <c r="D1416" s="23">
        <f>0.6*7404.54</f>
        <v>4442.7240000000002</v>
      </c>
      <c r="E1416" s="23">
        <f>0.6*27370.33</f>
        <v>16422.198</v>
      </c>
      <c r="F1416" s="23">
        <f>0.6*38812.76</f>
        <v>23287.655999999999</v>
      </c>
      <c r="G1416" s="23">
        <f>0.6*155104.003</f>
        <v>93062.401799999992</v>
      </c>
      <c r="H1416" s="23">
        <f>0.6*32164.97</f>
        <v>19298.982</v>
      </c>
      <c r="I1416" s="23">
        <f>SUM(B1416:H1416)</f>
        <v>166034.07599999997</v>
      </c>
    </row>
    <row r="1417" spans="1:9" x14ac:dyDescent="0.3">
      <c r="A1417" s="24" t="s">
        <v>25</v>
      </c>
      <c r="B1417" s="25"/>
      <c r="C1417" s="25"/>
      <c r="D1417" s="25"/>
      <c r="E1417" s="25"/>
      <c r="F1417" s="25"/>
      <c r="G1417" s="25"/>
      <c r="H1417" s="25"/>
      <c r="I1417" s="25"/>
    </row>
    <row r="1418" spans="1:9" x14ac:dyDescent="0.3">
      <c r="A1418" s="26" t="s">
        <v>23</v>
      </c>
      <c r="B1418" s="25">
        <f>10000/1.229</f>
        <v>8136.6965012205037</v>
      </c>
      <c r="C1418" s="25">
        <f>10000/1.229</f>
        <v>8136.6965012205037</v>
      </c>
      <c r="D1418" s="25">
        <v>0</v>
      </c>
      <c r="E1418" s="25">
        <v>0</v>
      </c>
      <c r="F1418" s="25">
        <v>0</v>
      </c>
      <c r="G1418" s="25">
        <v>0</v>
      </c>
      <c r="H1418" s="25">
        <v>0</v>
      </c>
      <c r="I1418" s="25">
        <f>SUM(B1418:H1418)</f>
        <v>16273.393002441007</v>
      </c>
    </row>
    <row r="1419" spans="1:9" ht="19.5" thickBot="1" x14ac:dyDescent="0.35">
      <c r="A1419" s="27" t="s">
        <v>24</v>
      </c>
      <c r="B1419" s="25">
        <v>0</v>
      </c>
      <c r="C1419" s="25">
        <v>0</v>
      </c>
      <c r="D1419" s="25">
        <v>0</v>
      </c>
      <c r="E1419" s="25">
        <v>0</v>
      </c>
      <c r="F1419" s="25">
        <f>12000/1.229</f>
        <v>9764.0358014646044</v>
      </c>
      <c r="G1419" s="25">
        <v>0</v>
      </c>
      <c r="H1419" s="25">
        <f>26000/1.229</f>
        <v>21155.41090317331</v>
      </c>
      <c r="I1419" s="25">
        <f>SUM(B1419:H1419)</f>
        <v>30919.446704637914</v>
      </c>
    </row>
    <row r="1421" spans="1:9" x14ac:dyDescent="0.3">
      <c r="A1421" s="4" t="s">
        <v>99</v>
      </c>
      <c r="B1421" s="5" t="s">
        <v>0</v>
      </c>
      <c r="C1421" s="5" t="s">
        <v>1</v>
      </c>
      <c r="D1421" s="5" t="s">
        <v>2</v>
      </c>
      <c r="E1421" s="6" t="s">
        <v>3</v>
      </c>
      <c r="F1421" s="5" t="s">
        <v>4</v>
      </c>
      <c r="G1421" s="5" t="s">
        <v>5</v>
      </c>
      <c r="H1421" s="5" t="s">
        <v>6</v>
      </c>
      <c r="I1421" s="5" t="s">
        <v>7</v>
      </c>
    </row>
    <row r="1422" spans="1:9" x14ac:dyDescent="0.3">
      <c r="A1422" s="7"/>
      <c r="B1422" s="8">
        <v>45642</v>
      </c>
      <c r="C1422" s="8">
        <v>45643</v>
      </c>
      <c r="D1422" s="8">
        <v>45644</v>
      </c>
      <c r="E1422" s="8">
        <v>45645</v>
      </c>
      <c r="F1422" s="8">
        <v>45646</v>
      </c>
      <c r="G1422" s="8">
        <v>45647</v>
      </c>
      <c r="H1422" s="8">
        <v>45648</v>
      </c>
      <c r="I1422" s="9"/>
    </row>
    <row r="1423" spans="1:9" ht="19.5" thickBot="1" x14ac:dyDescent="0.35">
      <c r="A1423" s="10" t="s">
        <v>8</v>
      </c>
      <c r="B1423" s="11" t="s">
        <v>9</v>
      </c>
      <c r="C1423" s="11" t="s">
        <v>9</v>
      </c>
      <c r="D1423" s="11" t="s">
        <v>9</v>
      </c>
      <c r="E1423" s="11" t="s">
        <v>9</v>
      </c>
      <c r="F1423" s="11" t="s">
        <v>9</v>
      </c>
      <c r="G1423" s="11" t="s">
        <v>9</v>
      </c>
      <c r="H1423" s="11" t="s">
        <v>9</v>
      </c>
      <c r="I1423" s="12" t="s">
        <v>9</v>
      </c>
    </row>
    <row r="1424" spans="1:9" x14ac:dyDescent="0.3">
      <c r="A1424" s="13" t="s">
        <v>10</v>
      </c>
      <c r="B1424" s="14">
        <v>54</v>
      </c>
      <c r="C1424" s="14">
        <v>54</v>
      </c>
      <c r="D1424" s="14">
        <v>54</v>
      </c>
      <c r="E1424" s="14">
        <v>54</v>
      </c>
      <c r="F1424" s="14">
        <v>54</v>
      </c>
      <c r="G1424" s="14">
        <v>47</v>
      </c>
      <c r="H1424" s="14">
        <v>48</v>
      </c>
      <c r="I1424" s="14"/>
    </row>
    <row r="1425" spans="1:9" x14ac:dyDescent="0.3">
      <c r="A1425" s="15" t="s">
        <v>11</v>
      </c>
      <c r="B1425" s="16">
        <v>0</v>
      </c>
      <c r="C1425" s="16">
        <v>0</v>
      </c>
      <c r="D1425" s="16">
        <v>0</v>
      </c>
      <c r="E1425" s="16">
        <v>0</v>
      </c>
      <c r="F1425" s="16">
        <v>0</v>
      </c>
      <c r="G1425" s="16">
        <v>0</v>
      </c>
      <c r="H1425" s="16">
        <v>0</v>
      </c>
      <c r="I1425" s="16">
        <f>SUM(B1425:H1425)</f>
        <v>0</v>
      </c>
    </row>
    <row r="1426" spans="1:9" x14ac:dyDescent="0.3">
      <c r="A1426" s="15" t="s">
        <v>12</v>
      </c>
      <c r="B1426" s="16">
        <v>25</v>
      </c>
      <c r="C1426" s="16">
        <v>25</v>
      </c>
      <c r="D1426" s="16">
        <v>28</v>
      </c>
      <c r="E1426" s="16">
        <v>7</v>
      </c>
      <c r="F1426" s="16">
        <v>14</v>
      </c>
      <c r="G1426" s="16">
        <v>17</v>
      </c>
      <c r="H1426" s="16">
        <v>18</v>
      </c>
      <c r="I1426" s="16">
        <f t="shared" ref="I1426:I1432" si="235">SUM(B1426:H1426)</f>
        <v>134</v>
      </c>
    </row>
    <row r="1427" spans="1:9" x14ac:dyDescent="0.3">
      <c r="A1427" s="15" t="s">
        <v>30</v>
      </c>
      <c r="B1427" s="16">
        <v>0</v>
      </c>
      <c r="C1427" s="16">
        <v>0</v>
      </c>
      <c r="D1427" s="16">
        <v>0</v>
      </c>
      <c r="E1427" s="16">
        <v>0</v>
      </c>
      <c r="F1427" s="16">
        <v>1</v>
      </c>
      <c r="G1427" s="16">
        <v>0</v>
      </c>
      <c r="H1427" s="16">
        <v>0</v>
      </c>
      <c r="I1427" s="16">
        <f t="shared" si="235"/>
        <v>1</v>
      </c>
    </row>
    <row r="1428" spans="1:9" x14ac:dyDescent="0.3">
      <c r="A1428" s="15" t="s">
        <v>28</v>
      </c>
      <c r="B1428" s="16">
        <v>11</v>
      </c>
      <c r="C1428" s="16">
        <v>161</v>
      </c>
      <c r="D1428" s="16">
        <v>56</v>
      </c>
      <c r="E1428" s="16">
        <v>58</v>
      </c>
      <c r="F1428" s="16">
        <v>366</v>
      </c>
      <c r="G1428" s="16">
        <v>376</v>
      </c>
      <c r="H1428" s="16">
        <v>54</v>
      </c>
      <c r="I1428" s="16">
        <f t="shared" si="235"/>
        <v>1082</v>
      </c>
    </row>
    <row r="1429" spans="1:9" x14ac:dyDescent="0.3">
      <c r="A1429" s="15" t="s">
        <v>29</v>
      </c>
      <c r="B1429" s="16">
        <v>1</v>
      </c>
      <c r="C1429" s="16">
        <v>7</v>
      </c>
      <c r="D1429" s="16">
        <v>7</v>
      </c>
      <c r="E1429" s="16">
        <v>9</v>
      </c>
      <c r="F1429" s="16">
        <v>12</v>
      </c>
      <c r="G1429" s="16">
        <v>67</v>
      </c>
      <c r="H1429" s="16">
        <v>10</v>
      </c>
      <c r="I1429" s="16">
        <f t="shared" si="235"/>
        <v>113</v>
      </c>
    </row>
    <row r="1430" spans="1:9" x14ac:dyDescent="0.3">
      <c r="A1430" s="15" t="s">
        <v>31</v>
      </c>
      <c r="B1430" s="16">
        <v>1</v>
      </c>
      <c r="C1430" s="16">
        <v>2</v>
      </c>
      <c r="D1430" s="16">
        <v>0</v>
      </c>
      <c r="E1430" s="16">
        <v>5</v>
      </c>
      <c r="F1430" s="16">
        <v>5</v>
      </c>
      <c r="G1430" s="16">
        <v>25</v>
      </c>
      <c r="H1430" s="16">
        <v>11</v>
      </c>
      <c r="I1430" s="16">
        <f t="shared" si="235"/>
        <v>49</v>
      </c>
    </row>
    <row r="1431" spans="1:9" x14ac:dyDescent="0.3">
      <c r="A1431" s="15" t="s">
        <v>13</v>
      </c>
      <c r="B1431" s="16">
        <v>4</v>
      </c>
      <c r="C1431" s="16">
        <v>0</v>
      </c>
      <c r="D1431" s="16">
        <v>0</v>
      </c>
      <c r="E1431" s="16">
        <v>1</v>
      </c>
      <c r="F1431" s="16">
        <v>3</v>
      </c>
      <c r="G1431" s="16">
        <v>7</v>
      </c>
      <c r="H1431" s="16">
        <v>0</v>
      </c>
      <c r="I1431" s="16">
        <f t="shared" si="235"/>
        <v>15</v>
      </c>
    </row>
    <row r="1432" spans="1:9" x14ac:dyDescent="0.3">
      <c r="A1432" s="15" t="s">
        <v>14</v>
      </c>
      <c r="B1432" s="16">
        <v>0</v>
      </c>
      <c r="C1432" s="16">
        <v>0</v>
      </c>
      <c r="D1432" s="16">
        <v>0</v>
      </c>
      <c r="E1432" s="16">
        <v>0</v>
      </c>
      <c r="F1432" s="16">
        <v>0</v>
      </c>
      <c r="G1432" s="16">
        <v>0</v>
      </c>
      <c r="H1432" s="16">
        <v>0</v>
      </c>
      <c r="I1432" s="16">
        <f t="shared" si="235"/>
        <v>0</v>
      </c>
    </row>
    <row r="1433" spans="1:9" x14ac:dyDescent="0.3">
      <c r="A1433" s="15" t="s">
        <v>32</v>
      </c>
      <c r="B1433" s="16">
        <v>0</v>
      </c>
      <c r="C1433" s="16">
        <v>0</v>
      </c>
      <c r="D1433" s="16">
        <v>0</v>
      </c>
      <c r="E1433" s="16">
        <v>0</v>
      </c>
      <c r="F1433" s="16">
        <v>0</v>
      </c>
      <c r="G1433" s="16">
        <v>0</v>
      </c>
      <c r="H1433" s="16">
        <v>0</v>
      </c>
      <c r="I1433" s="16">
        <f>SUM(B1433:H1433)</f>
        <v>0</v>
      </c>
    </row>
    <row r="1434" spans="1:9" x14ac:dyDescent="0.3">
      <c r="A1434" s="15" t="s">
        <v>33</v>
      </c>
      <c r="B1434" s="16">
        <v>2</v>
      </c>
      <c r="C1434" s="16">
        <v>0</v>
      </c>
      <c r="D1434" s="16">
        <v>0</v>
      </c>
      <c r="E1434" s="16">
        <v>0</v>
      </c>
      <c r="F1434" s="16">
        <v>0</v>
      </c>
      <c r="G1434" s="16">
        <v>0</v>
      </c>
      <c r="H1434" s="16">
        <v>0</v>
      </c>
      <c r="I1434" s="16">
        <f t="shared" ref="I1434" si="236">SUM(B1434:H1434)</f>
        <v>2</v>
      </c>
    </row>
    <row r="1435" spans="1:9" ht="19.5" thickBot="1" x14ac:dyDescent="0.35">
      <c r="A1435" s="30" t="s">
        <v>15</v>
      </c>
      <c r="B1435" s="31">
        <f t="shared" ref="B1435:H1435" si="237">(B1426+B1425)/B1424*100%</f>
        <v>0.46296296296296297</v>
      </c>
      <c r="C1435" s="31">
        <f t="shared" si="237"/>
        <v>0.46296296296296297</v>
      </c>
      <c r="D1435" s="31">
        <f t="shared" si="237"/>
        <v>0.51851851851851849</v>
      </c>
      <c r="E1435" s="31">
        <f t="shared" si="237"/>
        <v>0.12962962962962962</v>
      </c>
      <c r="F1435" s="31">
        <f t="shared" si="237"/>
        <v>0.25925925925925924</v>
      </c>
      <c r="G1435" s="31">
        <f t="shared" si="237"/>
        <v>0.36170212765957449</v>
      </c>
      <c r="H1435" s="31">
        <f t="shared" si="237"/>
        <v>0.375</v>
      </c>
      <c r="I1435" s="32">
        <f>(B1435+C1435+D1435+E1435+F1435+G1435+H1435)/7</f>
        <v>0.3671479229989868</v>
      </c>
    </row>
    <row r="1436" spans="1:9" x14ac:dyDescent="0.3">
      <c r="A1436" s="67" t="s">
        <v>16</v>
      </c>
      <c r="B1436" s="16"/>
      <c r="C1436" s="17"/>
      <c r="D1436" s="16"/>
      <c r="E1436" s="18"/>
      <c r="F1436" s="16"/>
      <c r="G1436" s="16"/>
      <c r="H1436" s="16"/>
      <c r="I1436" s="16"/>
    </row>
    <row r="1437" spans="1:9" x14ac:dyDescent="0.3">
      <c r="A1437" s="15" t="s">
        <v>17</v>
      </c>
      <c r="B1437" s="28">
        <v>45207.08135</v>
      </c>
      <c r="C1437" s="28">
        <v>42494.440799999997</v>
      </c>
      <c r="D1437" s="28">
        <v>53316.449799999995</v>
      </c>
      <c r="E1437" s="28">
        <v>33719.097600000001</v>
      </c>
      <c r="F1437" s="28">
        <v>50741.387600000002</v>
      </c>
      <c r="G1437" s="28">
        <v>46469.539400000001</v>
      </c>
      <c r="H1437" s="28">
        <v>71941.214800000002</v>
      </c>
      <c r="I1437" s="19">
        <f>SUM(B1437:H1437)</f>
        <v>343889.21135000006</v>
      </c>
    </row>
    <row r="1438" spans="1:9" x14ac:dyDescent="0.3">
      <c r="A1438" s="15" t="s">
        <v>18</v>
      </c>
      <c r="B1438" s="28">
        <v>38730.698120000001</v>
      </c>
      <c r="C1438" s="28">
        <v>75510.16244</v>
      </c>
      <c r="D1438" s="28">
        <v>69420.13354000001</v>
      </c>
      <c r="E1438" s="28">
        <v>38790.795420000009</v>
      </c>
      <c r="F1438" s="28">
        <v>119186.53306999999</v>
      </c>
      <c r="G1438" s="28">
        <v>124185.08158</v>
      </c>
      <c r="H1438" s="28">
        <v>65120.522110000013</v>
      </c>
      <c r="I1438" s="19">
        <f t="shared" ref="I1438" si="238">SUM(B1438:H1438)</f>
        <v>530943.92628000001</v>
      </c>
    </row>
    <row r="1439" spans="1:9" x14ac:dyDescent="0.3">
      <c r="A1439" s="15" t="s">
        <v>19</v>
      </c>
      <c r="B1439" s="28">
        <v>29401.11823</v>
      </c>
      <c r="C1439" s="28">
        <v>35980.711720000007</v>
      </c>
      <c r="D1439" s="28">
        <v>62634.985220000002</v>
      </c>
      <c r="E1439" s="28">
        <v>23456.089380000001</v>
      </c>
      <c r="F1439" s="28">
        <v>59294.64443</v>
      </c>
      <c r="G1439" s="28">
        <v>59346.792220000003</v>
      </c>
      <c r="H1439" s="28">
        <v>47738.893389999997</v>
      </c>
      <c r="I1439" s="19">
        <f>SUM(B1439:H1439)</f>
        <v>317853.23459000001</v>
      </c>
    </row>
    <row r="1440" spans="1:9" x14ac:dyDescent="0.3">
      <c r="A1440" s="15" t="s">
        <v>21</v>
      </c>
      <c r="B1440" s="28">
        <v>7560.1395999999995</v>
      </c>
      <c r="C1440" s="28">
        <v>7957.3158400000002</v>
      </c>
      <c r="D1440" s="28">
        <v>7957.3158400000002</v>
      </c>
      <c r="E1440" s="28">
        <v>0</v>
      </c>
      <c r="F1440" s="28">
        <v>0</v>
      </c>
      <c r="G1440" s="28">
        <v>0</v>
      </c>
      <c r="H1440" s="28">
        <v>0</v>
      </c>
      <c r="I1440" s="19">
        <f t="shared" ref="I1440:I1441" si="239">SUM(B1440:H1440)</f>
        <v>23474.771280000001</v>
      </c>
    </row>
    <row r="1441" spans="1:10" ht="19.5" thickBot="1" x14ac:dyDescent="0.35">
      <c r="A1441" s="15" t="s">
        <v>22</v>
      </c>
      <c r="B1441" s="28">
        <v>1843</v>
      </c>
      <c r="C1441" s="28">
        <v>0</v>
      </c>
      <c r="D1441" s="28">
        <v>0</v>
      </c>
      <c r="E1441" s="28">
        <v>0</v>
      </c>
      <c r="F1441" s="28">
        <v>0</v>
      </c>
      <c r="G1441" s="28">
        <v>0</v>
      </c>
      <c r="H1441" s="28">
        <v>0</v>
      </c>
      <c r="I1441" s="19">
        <f t="shared" si="239"/>
        <v>1843</v>
      </c>
    </row>
    <row r="1442" spans="1:10" ht="19.5" thickBot="1" x14ac:dyDescent="0.35">
      <c r="A1442" s="20" t="s">
        <v>7</v>
      </c>
      <c r="B1442" s="21">
        <f>SUM(B1437:B1441)</f>
        <v>122742.0373</v>
      </c>
      <c r="C1442" s="21">
        <f>SUM(C1437:C1441)</f>
        <v>161942.63079999998</v>
      </c>
      <c r="D1442" s="21">
        <f>SUM(D1437:D1441)</f>
        <v>193328.88440000001</v>
      </c>
      <c r="E1442" s="21">
        <f t="shared" ref="E1442:H1442" si="240">SUM(E1437:E1441)</f>
        <v>95965.982400000023</v>
      </c>
      <c r="F1442" s="21">
        <f t="shared" si="240"/>
        <v>229222.56510000001</v>
      </c>
      <c r="G1442" s="21">
        <f t="shared" si="240"/>
        <v>230001.41320000001</v>
      </c>
      <c r="H1442" s="21">
        <f t="shared" si="240"/>
        <v>184800.63030000002</v>
      </c>
      <c r="I1442" s="21">
        <f>SUM(I1437:I1441)</f>
        <v>1218004.1435</v>
      </c>
    </row>
    <row r="1443" spans="1:10" ht="19.5" thickTop="1" x14ac:dyDescent="0.3">
      <c r="A1443" s="22" t="s">
        <v>20</v>
      </c>
      <c r="B1443" s="23">
        <f>9886.272*0.6</f>
        <v>5931.7632000000003</v>
      </c>
      <c r="C1443" s="23">
        <f>79179.676*0.6</f>
        <v>47507.8056</v>
      </c>
      <c r="D1443" s="23">
        <f>30106.342*0.6</f>
        <v>18063.805199999999</v>
      </c>
      <c r="E1443" s="23">
        <f>30675.918*0.6</f>
        <v>18405.550800000001</v>
      </c>
      <c r="F1443" s="23">
        <f>177729.095*0.6</f>
        <v>106637.45699999999</v>
      </c>
      <c r="G1443" s="23">
        <f>203219.818*0.6</f>
        <v>121931.89079999999</v>
      </c>
      <c r="H1443" s="23">
        <f>32803.715*0.6</f>
        <v>19682.228999999996</v>
      </c>
      <c r="I1443" s="23">
        <f>SUM(B1443:H1443)</f>
        <v>338160.50159999996</v>
      </c>
    </row>
    <row r="1444" spans="1:10" x14ac:dyDescent="0.3">
      <c r="A1444" s="24" t="s">
        <v>25</v>
      </c>
      <c r="B1444" s="25"/>
      <c r="C1444" s="25"/>
      <c r="D1444" s="25"/>
      <c r="E1444" s="25"/>
      <c r="F1444" s="25"/>
      <c r="G1444" s="25"/>
      <c r="H1444" s="25"/>
      <c r="I1444" s="25"/>
    </row>
    <row r="1445" spans="1:10" x14ac:dyDescent="0.3">
      <c r="A1445" s="26" t="s">
        <v>23</v>
      </c>
      <c r="B1445" s="25">
        <v>0</v>
      </c>
      <c r="C1445" s="25">
        <v>0</v>
      </c>
      <c r="D1445" s="25">
        <v>0</v>
      </c>
      <c r="E1445" s="25">
        <f>10000/1.229</f>
        <v>8136.6965012205037</v>
      </c>
      <c r="F1445" s="25">
        <f>10000/1.229</f>
        <v>8136.6965012205037</v>
      </c>
      <c r="G1445" s="25">
        <f>10000/1.229</f>
        <v>8136.6965012205037</v>
      </c>
      <c r="H1445" s="25">
        <f>10000/1.229</f>
        <v>8136.6965012205037</v>
      </c>
      <c r="I1445" s="25">
        <f>SUM(B1445:H1445)</f>
        <v>32546.786004882015</v>
      </c>
    </row>
    <row r="1446" spans="1:10" ht="19.5" thickBot="1" x14ac:dyDescent="0.35">
      <c r="A1446" s="27" t="s">
        <v>24</v>
      </c>
      <c r="B1446" s="25">
        <f>(30000/1.229)+(10000/1.229)+(6000/1.229)+(6000/1.229)</f>
        <v>42310.821806346619</v>
      </c>
      <c r="C1446" s="25">
        <f>6000/1.229</f>
        <v>4882.0179007323022</v>
      </c>
      <c r="D1446" s="25">
        <f>(10000/1.229)+(6000/1.229)+(10000/1.229)+(10000/1.229)+(6000/1.229)</f>
        <v>34174.125305126116</v>
      </c>
      <c r="E1446" s="25">
        <f>(10000/1.229)+(6000/1.229)+(6000/1.229)</f>
        <v>17900.732302685108</v>
      </c>
      <c r="F1446" s="25">
        <f>(10000/1.229)+(6000/1.229)+(10000/1.229)+(6000/1.229)</f>
        <v>26037.428803905612</v>
      </c>
      <c r="G1446" s="25">
        <f>(10000/1.229)+(6000/1.229)+(6000/1.229)+(10000/1.229)+(6000/1.229)+(10000/1.229)</f>
        <v>39056.143205858418</v>
      </c>
      <c r="H1446" s="25">
        <f>(10000/1.229)+(6000/1.229)+(10000/1.229)+(6000/1.229)</f>
        <v>26037.428803905612</v>
      </c>
      <c r="I1446" s="25">
        <f>SUM(B1446:H1446)</f>
        <v>190398.6981285598</v>
      </c>
    </row>
    <row r="1448" spans="1:10" x14ac:dyDescent="0.3">
      <c r="A1448" s="4" t="s">
        <v>100</v>
      </c>
      <c r="B1448" s="5" t="s">
        <v>0</v>
      </c>
      <c r="C1448" s="5" t="s">
        <v>1</v>
      </c>
      <c r="D1448" s="5" t="s">
        <v>2</v>
      </c>
      <c r="E1448" s="6" t="s">
        <v>3</v>
      </c>
      <c r="F1448" s="5" t="s">
        <v>4</v>
      </c>
      <c r="G1448" s="5" t="s">
        <v>5</v>
      </c>
      <c r="H1448" s="5" t="s">
        <v>6</v>
      </c>
      <c r="I1448" s="5" t="s">
        <v>7</v>
      </c>
    </row>
    <row r="1449" spans="1:10" x14ac:dyDescent="0.3">
      <c r="A1449" s="7"/>
      <c r="B1449" s="8">
        <v>45649</v>
      </c>
      <c r="C1449" s="8">
        <v>45650</v>
      </c>
      <c r="D1449" s="8">
        <v>45651</v>
      </c>
      <c r="E1449" s="8">
        <v>45652</v>
      </c>
      <c r="F1449" s="8">
        <v>45653</v>
      </c>
      <c r="G1449" s="8">
        <v>45654</v>
      </c>
      <c r="H1449" s="8">
        <v>45655</v>
      </c>
      <c r="I1449" s="9"/>
    </row>
    <row r="1450" spans="1:10" ht="19.5" thickBot="1" x14ac:dyDescent="0.35">
      <c r="A1450" s="10" t="s">
        <v>8</v>
      </c>
      <c r="B1450" s="11" t="s">
        <v>9</v>
      </c>
      <c r="C1450" s="11" t="s">
        <v>9</v>
      </c>
      <c r="D1450" s="11" t="s">
        <v>9</v>
      </c>
      <c r="E1450" s="11" t="s">
        <v>9</v>
      </c>
      <c r="F1450" s="11" t="s">
        <v>9</v>
      </c>
      <c r="G1450" s="11" t="s">
        <v>9</v>
      </c>
      <c r="H1450" s="11" t="s">
        <v>9</v>
      </c>
      <c r="I1450" s="12" t="s">
        <v>9</v>
      </c>
    </row>
    <row r="1451" spans="1:10" x14ac:dyDescent="0.3">
      <c r="A1451" s="13" t="s">
        <v>10</v>
      </c>
      <c r="B1451" s="14">
        <v>54</v>
      </c>
      <c r="C1451" s="14">
        <v>54</v>
      </c>
      <c r="D1451" s="14">
        <v>54</v>
      </c>
      <c r="E1451" s="14">
        <v>54</v>
      </c>
      <c r="F1451" s="14">
        <v>54</v>
      </c>
      <c r="G1451" s="14">
        <v>54</v>
      </c>
      <c r="H1451" s="14">
        <v>54</v>
      </c>
      <c r="I1451" s="14"/>
    </row>
    <row r="1452" spans="1:10" x14ac:dyDescent="0.3">
      <c r="A1452" s="15" t="s">
        <v>11</v>
      </c>
      <c r="B1452" s="16">
        <v>5</v>
      </c>
      <c r="C1452" s="16">
        <v>2</v>
      </c>
      <c r="D1452" s="16">
        <v>6</v>
      </c>
      <c r="E1452" s="16">
        <v>3</v>
      </c>
      <c r="F1452" s="16">
        <v>5</v>
      </c>
      <c r="G1452" s="16">
        <v>4</v>
      </c>
      <c r="H1452" s="16">
        <v>9</v>
      </c>
      <c r="I1452" s="16">
        <f>SUM(B1452:H1452)</f>
        <v>34</v>
      </c>
      <c r="J1452" s="1">
        <f t="shared" ref="J1452:J1454" si="241">I1452+I1425+I1398+I1371+H1344</f>
        <v>56</v>
      </c>
    </row>
    <row r="1453" spans="1:10" x14ac:dyDescent="0.3">
      <c r="A1453" s="15" t="s">
        <v>12</v>
      </c>
      <c r="B1453" s="16">
        <v>13</v>
      </c>
      <c r="C1453" s="16">
        <v>32</v>
      </c>
      <c r="D1453" s="16">
        <v>39</v>
      </c>
      <c r="E1453" s="16">
        <v>36</v>
      </c>
      <c r="F1453" s="16">
        <v>28</v>
      </c>
      <c r="G1453" s="16">
        <v>44</v>
      </c>
      <c r="H1453" s="16">
        <v>34</v>
      </c>
      <c r="I1453" s="16">
        <f t="shared" ref="I1453:I1459" si="242">SUM(B1453:H1453)</f>
        <v>226</v>
      </c>
      <c r="J1453" s="1">
        <f t="shared" si="241"/>
        <v>706</v>
      </c>
    </row>
    <row r="1454" spans="1:10" x14ac:dyDescent="0.3">
      <c r="A1454" s="15" t="s">
        <v>30</v>
      </c>
      <c r="B1454" s="16">
        <v>0</v>
      </c>
      <c r="C1454" s="16">
        <v>0</v>
      </c>
      <c r="D1454" s="16">
        <v>0</v>
      </c>
      <c r="E1454" s="16">
        <v>0</v>
      </c>
      <c r="F1454" s="16">
        <v>0</v>
      </c>
      <c r="G1454" s="16">
        <v>0</v>
      </c>
      <c r="H1454" s="16">
        <v>0</v>
      </c>
      <c r="I1454" s="16">
        <f t="shared" si="242"/>
        <v>0</v>
      </c>
      <c r="J1454" s="1">
        <f t="shared" si="241"/>
        <v>1</v>
      </c>
    </row>
    <row r="1455" spans="1:10" x14ac:dyDescent="0.3">
      <c r="A1455" s="15" t="s">
        <v>28</v>
      </c>
      <c r="B1455" s="16">
        <v>119</v>
      </c>
      <c r="C1455" s="16">
        <v>97</v>
      </c>
      <c r="D1455" s="16">
        <v>268</v>
      </c>
      <c r="E1455" s="16">
        <v>501</v>
      </c>
      <c r="F1455" s="16">
        <v>330</v>
      </c>
      <c r="G1455" s="16">
        <v>476</v>
      </c>
      <c r="H1455" s="16">
        <f>261+24</f>
        <v>285</v>
      </c>
      <c r="I1455" s="16">
        <f t="shared" si="242"/>
        <v>2076</v>
      </c>
      <c r="J1455" s="1">
        <f>I1455+I1428+I1401+I1374+H1347+B1482+C1482</f>
        <v>4331</v>
      </c>
    </row>
    <row r="1456" spans="1:10" x14ac:dyDescent="0.3">
      <c r="A1456" s="15" t="s">
        <v>29</v>
      </c>
      <c r="B1456" s="16">
        <v>20</v>
      </c>
      <c r="C1456" s="16">
        <v>8</v>
      </c>
      <c r="D1456" s="16">
        <v>75</v>
      </c>
      <c r="E1456" s="16">
        <v>155</v>
      </c>
      <c r="F1456" s="16">
        <v>83</v>
      </c>
      <c r="G1456" s="16">
        <v>116</v>
      </c>
      <c r="H1456" s="16">
        <v>36</v>
      </c>
      <c r="I1456" s="16">
        <f t="shared" si="242"/>
        <v>493</v>
      </c>
      <c r="J1456" s="1">
        <f>I1456+I1429+I1402+I1375+H1348+B1483+C1483</f>
        <v>738</v>
      </c>
    </row>
    <row r="1457" spans="1:10" x14ac:dyDescent="0.3">
      <c r="A1457" s="15" t="s">
        <v>31</v>
      </c>
      <c r="B1457" s="16">
        <v>30</v>
      </c>
      <c r="C1457" s="16">
        <v>17</v>
      </c>
      <c r="D1457" s="16">
        <v>63</v>
      </c>
      <c r="E1457" s="16">
        <v>112</v>
      </c>
      <c r="F1457" s="16">
        <v>46</v>
      </c>
      <c r="G1457" s="16">
        <v>103</v>
      </c>
      <c r="H1457" s="16">
        <v>29</v>
      </c>
      <c r="I1457" s="16">
        <f t="shared" si="242"/>
        <v>400</v>
      </c>
      <c r="J1457" s="1">
        <f>I1457+I1430+I1403+I1376+H1349+B1484+C1484</f>
        <v>530</v>
      </c>
    </row>
    <row r="1458" spans="1:10" x14ac:dyDescent="0.3">
      <c r="A1458" s="15" t="s">
        <v>13</v>
      </c>
      <c r="B1458" s="16">
        <v>0</v>
      </c>
      <c r="C1458" s="16">
        <v>2</v>
      </c>
      <c r="D1458" s="16">
        <v>1</v>
      </c>
      <c r="E1458" s="16">
        <v>2</v>
      </c>
      <c r="F1458" s="16">
        <v>0</v>
      </c>
      <c r="G1458" s="16">
        <v>3</v>
      </c>
      <c r="H1458" s="16">
        <v>2</v>
      </c>
      <c r="I1458" s="16">
        <f t="shared" si="242"/>
        <v>10</v>
      </c>
      <c r="J1458" s="1">
        <f>I1458+I1431+I1404+I1377+H1350+B1485+C1485</f>
        <v>43</v>
      </c>
    </row>
    <row r="1459" spans="1:10" x14ac:dyDescent="0.3">
      <c r="A1459" s="15" t="s">
        <v>14</v>
      </c>
      <c r="B1459" s="16">
        <v>0</v>
      </c>
      <c r="C1459" s="16">
        <v>0</v>
      </c>
      <c r="D1459" s="16">
        <v>0</v>
      </c>
      <c r="E1459" s="16">
        <v>0</v>
      </c>
      <c r="F1459" s="16">
        <v>0</v>
      </c>
      <c r="G1459" s="16">
        <v>2</v>
      </c>
      <c r="H1459" s="16">
        <v>0</v>
      </c>
      <c r="I1459" s="16">
        <f t="shared" si="242"/>
        <v>2</v>
      </c>
      <c r="J1459" s="1">
        <f>I1459+I1432+I1405+I1378+H1351+B1486+C1486</f>
        <v>2</v>
      </c>
    </row>
    <row r="1460" spans="1:10" x14ac:dyDescent="0.3">
      <c r="A1460" s="15" t="s">
        <v>32</v>
      </c>
      <c r="B1460" s="16">
        <v>0</v>
      </c>
      <c r="C1460" s="16">
        <v>0</v>
      </c>
      <c r="D1460" s="16">
        <v>0</v>
      </c>
      <c r="E1460" s="16">
        <v>0</v>
      </c>
      <c r="F1460" s="16">
        <v>0</v>
      </c>
      <c r="G1460" s="16">
        <v>0</v>
      </c>
      <c r="H1460" s="16">
        <v>0</v>
      </c>
      <c r="I1460" s="16">
        <f>SUM(B1460:H1460)</f>
        <v>0</v>
      </c>
      <c r="J1460" s="1">
        <f t="shared" ref="J1460:J1473" si="243">I1460+I1433+I1406+I1379+H1352</f>
        <v>0</v>
      </c>
    </row>
    <row r="1461" spans="1:10" x14ac:dyDescent="0.3">
      <c r="A1461" s="15" t="s">
        <v>33</v>
      </c>
      <c r="B1461" s="16">
        <v>0</v>
      </c>
      <c r="C1461" s="16">
        <v>0</v>
      </c>
      <c r="D1461" s="16">
        <v>0</v>
      </c>
      <c r="E1461" s="16">
        <v>0</v>
      </c>
      <c r="F1461" s="16">
        <v>0</v>
      </c>
      <c r="G1461" s="16">
        <v>0</v>
      </c>
      <c r="H1461" s="16">
        <v>0</v>
      </c>
      <c r="I1461" s="16">
        <f t="shared" ref="I1461" si="244">SUM(B1461:H1461)</f>
        <v>0</v>
      </c>
      <c r="J1461" s="1">
        <f t="shared" si="243"/>
        <v>4</v>
      </c>
    </row>
    <row r="1462" spans="1:10" ht="19.5" thickBot="1" x14ac:dyDescent="0.35">
      <c r="A1462" s="30" t="s">
        <v>15</v>
      </c>
      <c r="B1462" s="31">
        <f t="shared" ref="B1462:H1462" si="245">(B1453+B1452)/B1451*100%</f>
        <v>0.33333333333333331</v>
      </c>
      <c r="C1462" s="31">
        <f t="shared" si="245"/>
        <v>0.62962962962962965</v>
      </c>
      <c r="D1462" s="31">
        <f t="shared" si="245"/>
        <v>0.83333333333333337</v>
      </c>
      <c r="E1462" s="31">
        <f t="shared" si="245"/>
        <v>0.72222222222222221</v>
      </c>
      <c r="F1462" s="31">
        <f t="shared" si="245"/>
        <v>0.61111111111111116</v>
      </c>
      <c r="G1462" s="31">
        <f t="shared" si="245"/>
        <v>0.88888888888888884</v>
      </c>
      <c r="H1462" s="31">
        <f t="shared" si="245"/>
        <v>0.79629629629629628</v>
      </c>
      <c r="I1462" s="32">
        <f>(B1462+C1462+D1462+E1462+F1462+G1462+H1462)/7</f>
        <v>0.68783068783068779</v>
      </c>
      <c r="J1462" s="1">
        <f t="shared" si="243"/>
        <v>2.1749213210984717</v>
      </c>
    </row>
    <row r="1463" spans="1:10" x14ac:dyDescent="0.3">
      <c r="A1463" s="67" t="s">
        <v>16</v>
      </c>
      <c r="B1463" s="16"/>
      <c r="C1463" s="17"/>
      <c r="D1463" s="16"/>
      <c r="E1463" s="18"/>
      <c r="F1463" s="16"/>
      <c r="G1463" s="16"/>
      <c r="H1463" s="16"/>
      <c r="I1463" s="16"/>
      <c r="J1463" s="1">
        <f t="shared" si="243"/>
        <v>0</v>
      </c>
    </row>
    <row r="1464" spans="1:10" x14ac:dyDescent="0.3">
      <c r="A1464" s="15" t="s">
        <v>17</v>
      </c>
      <c r="B1464" s="28">
        <v>54207.683000000005</v>
      </c>
      <c r="C1464" s="28">
        <v>130718.4664</v>
      </c>
      <c r="D1464" s="28">
        <v>144868.44780000002</v>
      </c>
      <c r="E1464" s="28">
        <v>126137.34700000001</v>
      </c>
      <c r="F1464" s="28">
        <v>117707.95740000001</v>
      </c>
      <c r="G1464" s="28">
        <v>163973.7616</v>
      </c>
      <c r="H1464" s="28">
        <v>105787.16880000001</v>
      </c>
      <c r="I1464" s="19">
        <f>SUM(B1464:H1464)</f>
        <v>843400.83199999994</v>
      </c>
      <c r="J1464" s="1">
        <f t="shared" si="243"/>
        <v>1872669.1409499999</v>
      </c>
    </row>
    <row r="1465" spans="1:10" x14ac:dyDescent="0.3">
      <c r="A1465" s="15" t="s">
        <v>18</v>
      </c>
      <c r="B1465" s="28">
        <v>70722.028949999993</v>
      </c>
      <c r="C1465" s="28">
        <v>117616.31108</v>
      </c>
      <c r="D1465" s="28">
        <v>170981.49591</v>
      </c>
      <c r="E1465" s="28">
        <v>234150.16635000001</v>
      </c>
      <c r="F1465" s="28">
        <v>180079.27993000002</v>
      </c>
      <c r="G1465" s="28">
        <v>251844.60541999998</v>
      </c>
      <c r="H1465" s="28">
        <v>159551.69091000003</v>
      </c>
      <c r="I1465" s="19">
        <f t="shared" ref="I1465" si="246">SUM(B1465:H1465)</f>
        <v>1184945.57855</v>
      </c>
      <c r="J1465" s="1">
        <f t="shared" si="243"/>
        <v>2442574.5063</v>
      </c>
    </row>
    <row r="1466" spans="1:10" x14ac:dyDescent="0.3">
      <c r="A1466" s="15" t="s">
        <v>19</v>
      </c>
      <c r="B1466" s="28">
        <v>48845.703750000001</v>
      </c>
      <c r="C1466" s="28">
        <v>81863.41042</v>
      </c>
      <c r="D1466" s="28">
        <v>108308.28159000001</v>
      </c>
      <c r="E1466" s="28">
        <v>122503.47555</v>
      </c>
      <c r="F1466" s="28">
        <v>99255.073969999998</v>
      </c>
      <c r="G1466" s="28">
        <v>146926.41998000001</v>
      </c>
      <c r="H1466" s="28">
        <v>91315.297089999993</v>
      </c>
      <c r="I1466" s="19">
        <f>SUM(B1466:H1466)</f>
        <v>699017.66235</v>
      </c>
      <c r="J1466" s="1">
        <f t="shared" si="243"/>
        <v>1479200.6706699999</v>
      </c>
    </row>
    <row r="1467" spans="1:10" x14ac:dyDescent="0.3">
      <c r="A1467" s="15" t="s">
        <v>21</v>
      </c>
      <c r="B1467" s="28">
        <v>0</v>
      </c>
      <c r="C1467" s="28">
        <v>0</v>
      </c>
      <c r="D1467" s="28">
        <v>0</v>
      </c>
      <c r="E1467" s="28">
        <v>0</v>
      </c>
      <c r="F1467" s="28">
        <v>0</v>
      </c>
      <c r="G1467" s="28">
        <v>0</v>
      </c>
      <c r="H1467" s="28">
        <v>0</v>
      </c>
      <c r="I1467" s="19">
        <f t="shared" ref="I1467:I1468" si="247">SUM(B1467:H1467)</f>
        <v>0</v>
      </c>
      <c r="J1467" s="1">
        <f t="shared" si="243"/>
        <v>111052.40328</v>
      </c>
    </row>
    <row r="1468" spans="1:10" ht="19.5" thickBot="1" x14ac:dyDescent="0.35">
      <c r="A1468" s="15" t="s">
        <v>22</v>
      </c>
      <c r="B1468" s="28">
        <v>0</v>
      </c>
      <c r="C1468" s="28">
        <v>0</v>
      </c>
      <c r="D1468" s="28">
        <v>0</v>
      </c>
      <c r="E1468" s="28">
        <v>0</v>
      </c>
      <c r="F1468" s="28">
        <v>0</v>
      </c>
      <c r="G1468" s="28">
        <v>0</v>
      </c>
      <c r="H1468" s="28">
        <v>1800</v>
      </c>
      <c r="I1468" s="19">
        <f t="shared" si="247"/>
        <v>1800</v>
      </c>
      <c r="J1468" s="1">
        <f t="shared" si="243"/>
        <v>5864.05</v>
      </c>
    </row>
    <row r="1469" spans="1:10" ht="19.5" thickBot="1" x14ac:dyDescent="0.35">
      <c r="A1469" s="20" t="s">
        <v>7</v>
      </c>
      <c r="B1469" s="21">
        <f>SUM(B1464:B1468)</f>
        <v>173775.41570000001</v>
      </c>
      <c r="C1469" s="21">
        <f>SUM(C1464:C1468)</f>
        <v>330198.18790000002</v>
      </c>
      <c r="D1469" s="21">
        <f>SUM(D1464:D1468)</f>
        <v>424158.22530000005</v>
      </c>
      <c r="E1469" s="21">
        <f t="shared" ref="E1469:H1469" si="248">SUM(E1464:E1468)</f>
        <v>482790.9889</v>
      </c>
      <c r="F1469" s="21">
        <f t="shared" si="248"/>
        <v>397042.31130000006</v>
      </c>
      <c r="G1469" s="21">
        <f t="shared" si="248"/>
        <v>562744.78700000001</v>
      </c>
      <c r="H1469" s="21">
        <f t="shared" si="248"/>
        <v>358454.15680000006</v>
      </c>
      <c r="I1469" s="21">
        <f>SUM(I1464:I1468)</f>
        <v>2729164.0729</v>
      </c>
      <c r="J1469" s="1">
        <f t="shared" si="243"/>
        <v>5911360.7712000012</v>
      </c>
    </row>
    <row r="1470" spans="1:10" ht="19.5" thickTop="1" x14ac:dyDescent="0.3">
      <c r="A1470" s="22" t="s">
        <v>20</v>
      </c>
      <c r="B1470" s="23">
        <f>74480.647*0.6</f>
        <v>44688.388199999994</v>
      </c>
      <c r="C1470" s="23">
        <f>57800.1*0.6</f>
        <v>34680.06</v>
      </c>
      <c r="D1470" s="23">
        <f>166975.955*0.6</f>
        <v>100185.57299999999</v>
      </c>
      <c r="E1470" s="23">
        <f>319505.559*0.6</f>
        <v>191703.33540000001</v>
      </c>
      <c r="F1470" s="23">
        <f>199841.069*0.6</f>
        <v>119904.64139999999</v>
      </c>
      <c r="G1470" s="23">
        <f>302287.994*0.6</f>
        <v>181372.79639999999</v>
      </c>
      <c r="H1470" s="23">
        <f>156396.315*0.6</f>
        <v>93837.789000000004</v>
      </c>
      <c r="I1470" s="23">
        <f>SUM(B1470:H1470)</f>
        <v>766372.58339999989</v>
      </c>
      <c r="J1470" s="1">
        <f t="shared" si="243"/>
        <v>1369859.8409999998</v>
      </c>
    </row>
    <row r="1471" spans="1:10" x14ac:dyDescent="0.3">
      <c r="A1471" s="24" t="s">
        <v>25</v>
      </c>
      <c r="B1471" s="25"/>
      <c r="C1471" s="25"/>
      <c r="D1471" s="25"/>
      <c r="E1471" s="25"/>
      <c r="F1471" s="25"/>
      <c r="G1471" s="25"/>
      <c r="H1471" s="25"/>
      <c r="I1471" s="25"/>
      <c r="J1471" s="1">
        <f t="shared" si="243"/>
        <v>0</v>
      </c>
    </row>
    <row r="1472" spans="1:10" x14ac:dyDescent="0.3">
      <c r="A1472" s="26" t="s">
        <v>23</v>
      </c>
      <c r="B1472" s="25">
        <v>0</v>
      </c>
      <c r="C1472" s="25">
        <v>0</v>
      </c>
      <c r="D1472" s="25">
        <f>12000/1.229</f>
        <v>9764.0358014646044</v>
      </c>
      <c r="E1472" s="25">
        <f>12000/1.229</f>
        <v>9764.0358014646044</v>
      </c>
      <c r="F1472" s="25">
        <f>12000/1.229</f>
        <v>9764.0358014646044</v>
      </c>
      <c r="G1472" s="25">
        <f>12000/1.229</f>
        <v>9764.0358014646044</v>
      </c>
      <c r="H1472" s="25">
        <f>(35000/1.229)+(12000/1.229)</f>
        <v>38242.473555736367</v>
      </c>
      <c r="I1472" s="25">
        <f>SUM(B1472:H1472)</f>
        <v>77298.616761594778</v>
      </c>
      <c r="J1472" s="1">
        <f t="shared" si="243"/>
        <v>184703.01527257933</v>
      </c>
    </row>
    <row r="1473" spans="1:10" ht="19.5" thickBot="1" x14ac:dyDescent="0.35">
      <c r="A1473" s="27" t="s">
        <v>24</v>
      </c>
      <c r="B1473" s="25">
        <f>(12000/1.229)+(6000/1.229)+(12000/1.229)+(6000/1.229)+(12000/1.229)</f>
        <v>39056.143205858418</v>
      </c>
      <c r="C1473" s="25">
        <f>(12000/1.229)+(6000/1.229)</f>
        <v>14646.053702196907</v>
      </c>
      <c r="D1473" s="25">
        <f>(12000/1.229)+(12000/1.229)+(12000/1.229)+(12000/1.229)+(12000/1.229)</f>
        <v>48820.179007323022</v>
      </c>
      <c r="E1473" s="25">
        <f>(12000/1.229)+(12000/1.229)</f>
        <v>19528.071602929209</v>
      </c>
      <c r="F1473" s="25">
        <f>(12000/1.229)+(12000/1.229)+(12000/1.229)+(12000/1.229)</f>
        <v>39056.143205858418</v>
      </c>
      <c r="G1473" s="25">
        <f>(12000/1.229)+(35000/1.229)+(35000/1.229)</f>
        <v>66720.91131000813</v>
      </c>
      <c r="H1473" s="25">
        <f>(12000/1.229)+(35000/1.229)+(12000/1.229)+(6000/1.229)+(6000/1.229)+(35000/1.229)+(35000/1.229)</f>
        <v>114727.42066720911</v>
      </c>
      <c r="I1473" s="25">
        <f>SUM(B1473:H1473)</f>
        <v>342554.92270138324</v>
      </c>
      <c r="J1473" s="1">
        <f t="shared" si="243"/>
        <v>669650.11753458111</v>
      </c>
    </row>
    <row r="1475" spans="1:10" x14ac:dyDescent="0.3">
      <c r="A1475" s="4" t="s">
        <v>101</v>
      </c>
      <c r="B1475" s="5" t="s">
        <v>0</v>
      </c>
      <c r="C1475" s="5" t="s">
        <v>1</v>
      </c>
      <c r="D1475" s="5" t="s">
        <v>2</v>
      </c>
      <c r="E1475" s="6" t="s">
        <v>3</v>
      </c>
      <c r="F1475" s="5" t="s">
        <v>4</v>
      </c>
      <c r="G1475" s="5" t="s">
        <v>5</v>
      </c>
      <c r="H1475" s="5" t="s">
        <v>6</v>
      </c>
      <c r="I1475" s="5" t="s">
        <v>7</v>
      </c>
    </row>
    <row r="1476" spans="1:10" x14ac:dyDescent="0.3">
      <c r="A1476" s="7"/>
      <c r="B1476" s="8">
        <v>45656</v>
      </c>
      <c r="C1476" s="8">
        <v>45657</v>
      </c>
      <c r="D1476" s="8">
        <v>45658</v>
      </c>
      <c r="E1476" s="8">
        <v>45659</v>
      </c>
      <c r="F1476" s="8">
        <v>45660</v>
      </c>
      <c r="G1476" s="8">
        <v>45661</v>
      </c>
      <c r="H1476" s="8">
        <v>45662</v>
      </c>
      <c r="I1476" s="9"/>
    </row>
    <row r="1477" spans="1:10" ht="19.5" thickBot="1" x14ac:dyDescent="0.35">
      <c r="A1477" s="10" t="s">
        <v>8</v>
      </c>
      <c r="B1477" s="11" t="s">
        <v>9</v>
      </c>
      <c r="C1477" s="11" t="s">
        <v>9</v>
      </c>
      <c r="D1477" s="11" t="s">
        <v>9</v>
      </c>
      <c r="E1477" s="11" t="s">
        <v>9</v>
      </c>
      <c r="F1477" s="11" t="s">
        <v>9</v>
      </c>
      <c r="G1477" s="11" t="s">
        <v>9</v>
      </c>
      <c r="H1477" s="11" t="s">
        <v>9</v>
      </c>
      <c r="I1477" s="12" t="s">
        <v>9</v>
      </c>
    </row>
    <row r="1478" spans="1:10" x14ac:dyDescent="0.3">
      <c r="A1478" s="13" t="s">
        <v>10</v>
      </c>
      <c r="B1478" s="14">
        <v>54</v>
      </c>
      <c r="C1478" s="14">
        <v>54</v>
      </c>
      <c r="D1478" s="14">
        <v>54</v>
      </c>
      <c r="E1478" s="14">
        <v>54</v>
      </c>
      <c r="F1478" s="14">
        <v>54</v>
      </c>
      <c r="G1478" s="14">
        <v>54</v>
      </c>
      <c r="H1478" s="14">
        <v>54</v>
      </c>
      <c r="I1478" s="14"/>
    </row>
    <row r="1479" spans="1:10" x14ac:dyDescent="0.3">
      <c r="A1479" s="15" t="s">
        <v>11</v>
      </c>
      <c r="B1479" s="16">
        <v>11</v>
      </c>
      <c r="C1479" s="16">
        <v>6</v>
      </c>
      <c r="D1479" s="16">
        <v>1</v>
      </c>
      <c r="E1479" s="16">
        <v>1</v>
      </c>
      <c r="F1479" s="16">
        <v>0</v>
      </c>
      <c r="G1479" s="16">
        <v>0</v>
      </c>
      <c r="H1479" s="16">
        <v>4</v>
      </c>
      <c r="I1479" s="16">
        <f>SUM(B1479:H1479)</f>
        <v>23</v>
      </c>
    </row>
    <row r="1480" spans="1:10" x14ac:dyDescent="0.3">
      <c r="A1480" s="15" t="s">
        <v>12</v>
      </c>
      <c r="B1480" s="16">
        <v>26</v>
      </c>
      <c r="C1480" s="16">
        <v>30</v>
      </c>
      <c r="D1480" s="16">
        <v>22</v>
      </c>
      <c r="E1480" s="16">
        <v>50</v>
      </c>
      <c r="F1480" s="16">
        <v>54</v>
      </c>
      <c r="G1480" s="16">
        <v>42</v>
      </c>
      <c r="H1480" s="16">
        <v>17</v>
      </c>
      <c r="I1480" s="16">
        <f t="shared" ref="I1480:I1486" si="249">SUM(B1480:H1480)</f>
        <v>241</v>
      </c>
    </row>
    <row r="1481" spans="1:10" x14ac:dyDescent="0.3">
      <c r="A1481" s="15" t="s">
        <v>30</v>
      </c>
      <c r="B1481" s="16">
        <v>0</v>
      </c>
      <c r="C1481" s="16">
        <v>0</v>
      </c>
      <c r="D1481" s="16">
        <v>0</v>
      </c>
      <c r="E1481" s="16">
        <v>0</v>
      </c>
      <c r="F1481" s="16">
        <v>0</v>
      </c>
      <c r="G1481" s="16">
        <v>0</v>
      </c>
      <c r="H1481" s="16">
        <v>0</v>
      </c>
      <c r="I1481" s="16">
        <f t="shared" si="249"/>
        <v>0</v>
      </c>
    </row>
    <row r="1482" spans="1:10" x14ac:dyDescent="0.3">
      <c r="A1482" s="15" t="s">
        <v>28</v>
      </c>
      <c r="B1482" s="16">
        <v>238</v>
      </c>
      <c r="C1482" s="16">
        <v>86</v>
      </c>
      <c r="D1482" s="16">
        <v>232</v>
      </c>
      <c r="E1482" s="16">
        <v>208</v>
      </c>
      <c r="F1482" s="16">
        <v>165</v>
      </c>
      <c r="G1482" s="16">
        <v>322</v>
      </c>
      <c r="H1482" s="16">
        <v>77</v>
      </c>
      <c r="I1482" s="16">
        <f t="shared" si="249"/>
        <v>1328</v>
      </c>
    </row>
    <row r="1483" spans="1:10" x14ac:dyDescent="0.3">
      <c r="A1483" s="15" t="s">
        <v>29</v>
      </c>
      <c r="B1483" s="16">
        <v>55</v>
      </c>
      <c r="C1483" s="16">
        <v>23</v>
      </c>
      <c r="D1483" s="16">
        <v>73</v>
      </c>
      <c r="E1483" s="16">
        <v>54</v>
      </c>
      <c r="F1483" s="16">
        <v>36</v>
      </c>
      <c r="G1483" s="16">
        <v>44</v>
      </c>
      <c r="H1483" s="16">
        <v>22</v>
      </c>
      <c r="I1483" s="16">
        <f t="shared" si="249"/>
        <v>307</v>
      </c>
    </row>
    <row r="1484" spans="1:10" x14ac:dyDescent="0.3">
      <c r="A1484" s="15" t="s">
        <v>31</v>
      </c>
      <c r="B1484" s="16">
        <v>38</v>
      </c>
      <c r="C1484" s="16">
        <v>21</v>
      </c>
      <c r="D1484" s="16">
        <v>38</v>
      </c>
      <c r="E1484" s="16">
        <v>42</v>
      </c>
      <c r="F1484" s="16">
        <v>24</v>
      </c>
      <c r="G1484" s="16">
        <v>39</v>
      </c>
      <c r="H1484" s="16">
        <v>16</v>
      </c>
      <c r="I1484" s="16">
        <f t="shared" si="249"/>
        <v>218</v>
      </c>
    </row>
    <row r="1485" spans="1:10" x14ac:dyDescent="0.3">
      <c r="A1485" s="15" t="s">
        <v>13</v>
      </c>
      <c r="B1485" s="16">
        <v>6</v>
      </c>
      <c r="C1485" s="16">
        <v>0</v>
      </c>
      <c r="D1485" s="16">
        <v>4</v>
      </c>
      <c r="E1485" s="16">
        <v>1</v>
      </c>
      <c r="F1485" s="16">
        <v>6</v>
      </c>
      <c r="G1485" s="16">
        <v>26</v>
      </c>
      <c r="H1485" s="16">
        <v>4</v>
      </c>
      <c r="I1485" s="16">
        <f t="shared" si="249"/>
        <v>47</v>
      </c>
    </row>
    <row r="1486" spans="1:10" x14ac:dyDescent="0.3">
      <c r="A1486" s="15" t="s">
        <v>14</v>
      </c>
      <c r="B1486" s="16">
        <v>0</v>
      </c>
      <c r="C1486" s="16">
        <v>0</v>
      </c>
      <c r="D1486" s="16">
        <v>0</v>
      </c>
      <c r="E1486" s="16">
        <v>0</v>
      </c>
      <c r="F1486" s="16">
        <v>0</v>
      </c>
      <c r="G1486" s="16">
        <v>0</v>
      </c>
      <c r="H1486" s="16">
        <v>0</v>
      </c>
      <c r="I1486" s="16">
        <f t="shared" si="249"/>
        <v>0</v>
      </c>
    </row>
    <row r="1487" spans="1:10" x14ac:dyDescent="0.3">
      <c r="A1487" s="15" t="s">
        <v>32</v>
      </c>
      <c r="B1487" s="16">
        <v>0</v>
      </c>
      <c r="C1487" s="16">
        <v>0</v>
      </c>
      <c r="D1487" s="16">
        <v>0</v>
      </c>
      <c r="E1487" s="16">
        <v>0</v>
      </c>
      <c r="F1487" s="16">
        <v>0</v>
      </c>
      <c r="G1487" s="16">
        <v>0</v>
      </c>
      <c r="H1487" s="16">
        <v>0</v>
      </c>
      <c r="I1487" s="16">
        <f>SUM(B1487:H1487)</f>
        <v>0</v>
      </c>
    </row>
    <row r="1488" spans="1:10" x14ac:dyDescent="0.3">
      <c r="A1488" s="15" t="s">
        <v>33</v>
      </c>
      <c r="B1488" s="16">
        <v>0</v>
      </c>
      <c r="C1488" s="16">
        <v>0</v>
      </c>
      <c r="D1488" s="16">
        <v>0</v>
      </c>
      <c r="E1488" s="16">
        <v>0</v>
      </c>
      <c r="F1488" s="16">
        <v>1</v>
      </c>
      <c r="G1488" s="16">
        <v>1</v>
      </c>
      <c r="H1488" s="16">
        <v>0</v>
      </c>
      <c r="I1488" s="16">
        <f t="shared" ref="I1488" si="250">SUM(B1488:H1488)</f>
        <v>2</v>
      </c>
    </row>
    <row r="1489" spans="1:9" ht="19.5" thickBot="1" x14ac:dyDescent="0.35">
      <c r="A1489" s="30" t="s">
        <v>15</v>
      </c>
      <c r="B1489" s="31">
        <f t="shared" ref="B1489:H1489" si="251">(B1480+B1479)/B1478*100%</f>
        <v>0.68518518518518523</v>
      </c>
      <c r="C1489" s="31">
        <f t="shared" si="251"/>
        <v>0.66666666666666663</v>
      </c>
      <c r="D1489" s="31">
        <f t="shared" si="251"/>
        <v>0.42592592592592593</v>
      </c>
      <c r="E1489" s="31">
        <f t="shared" si="251"/>
        <v>0.94444444444444442</v>
      </c>
      <c r="F1489" s="31">
        <f t="shared" si="251"/>
        <v>1</v>
      </c>
      <c r="G1489" s="31">
        <f t="shared" si="251"/>
        <v>0.77777777777777779</v>
      </c>
      <c r="H1489" s="31">
        <f t="shared" si="251"/>
        <v>0.3888888888888889</v>
      </c>
      <c r="I1489" s="32">
        <f>(B1489+C1489+D1489+E1489+F1489+G1489+H1489)/7</f>
        <v>0.69841269841269848</v>
      </c>
    </row>
    <row r="1490" spans="1:9" x14ac:dyDescent="0.3">
      <c r="A1490" s="67" t="s">
        <v>16</v>
      </c>
      <c r="B1490" s="16"/>
      <c r="C1490" s="17"/>
      <c r="D1490" s="16"/>
      <c r="E1490" s="18"/>
      <c r="F1490" s="16"/>
      <c r="G1490" s="16"/>
      <c r="H1490" s="16"/>
      <c r="I1490" s="16"/>
    </row>
    <row r="1491" spans="1:9" x14ac:dyDescent="0.3">
      <c r="A1491" s="15" t="s">
        <v>17</v>
      </c>
      <c r="B1491" s="28">
        <v>97430.62920000001</v>
      </c>
      <c r="C1491" s="28">
        <v>106202.13959999999</v>
      </c>
      <c r="D1491" s="28">
        <v>82434.411999999997</v>
      </c>
      <c r="E1491" s="28">
        <v>92432.797149999999</v>
      </c>
      <c r="F1491" s="28">
        <v>107153.33115</v>
      </c>
      <c r="G1491" s="28">
        <v>119073.99160000002</v>
      </c>
      <c r="H1491" s="28">
        <v>55436.349000000002</v>
      </c>
      <c r="I1491" s="19">
        <f>SUM(B1491:H1491)</f>
        <v>660163.64970000007</v>
      </c>
    </row>
    <row r="1492" spans="1:9" x14ac:dyDescent="0.3">
      <c r="A1492" s="15" t="s">
        <v>18</v>
      </c>
      <c r="B1492" s="28">
        <v>131897.09764000002</v>
      </c>
      <c r="C1492" s="28">
        <v>96931.831920000011</v>
      </c>
      <c r="D1492" s="28">
        <v>124904.27750000001</v>
      </c>
      <c r="E1492" s="28">
        <v>129161.58868</v>
      </c>
      <c r="F1492" s="28">
        <v>128115.59072000001</v>
      </c>
      <c r="G1492" s="28">
        <v>183259.81417000003</v>
      </c>
      <c r="H1492" s="28">
        <v>63046.337800000008</v>
      </c>
      <c r="I1492" s="19">
        <f t="shared" ref="I1492" si="252">SUM(B1492:H1492)</f>
        <v>857316.53843000007</v>
      </c>
    </row>
    <row r="1493" spans="1:9" x14ac:dyDescent="0.3">
      <c r="A1493" s="15" t="s">
        <v>19</v>
      </c>
      <c r="B1493" s="28">
        <v>87847.42955999999</v>
      </c>
      <c r="C1493" s="28">
        <v>77444.880579999997</v>
      </c>
      <c r="D1493" s="28">
        <v>70303.167799999996</v>
      </c>
      <c r="E1493" s="28">
        <v>72886.872869999992</v>
      </c>
      <c r="F1493" s="28">
        <v>82810.830910000004</v>
      </c>
      <c r="G1493" s="28">
        <v>103471.20903</v>
      </c>
      <c r="H1493" s="28">
        <v>42584.213000000003</v>
      </c>
      <c r="I1493" s="19">
        <f>SUM(B1493:H1493)</f>
        <v>537348.60375000001</v>
      </c>
    </row>
    <row r="1494" spans="1:9" x14ac:dyDescent="0.3">
      <c r="A1494" s="15" t="s">
        <v>21</v>
      </c>
      <c r="B1494" s="28">
        <v>0</v>
      </c>
      <c r="C1494" s="28">
        <v>0</v>
      </c>
      <c r="D1494" s="28">
        <v>0</v>
      </c>
      <c r="E1494" s="28">
        <v>14614.298000000001</v>
      </c>
      <c r="F1494" s="28">
        <v>15747.98792</v>
      </c>
      <c r="G1494" s="28">
        <v>0</v>
      </c>
      <c r="H1494" s="28">
        <v>0</v>
      </c>
      <c r="I1494" s="19">
        <f t="shared" ref="I1494:I1495" si="253">SUM(B1494:H1494)</f>
        <v>30362.285920000002</v>
      </c>
    </row>
    <row r="1495" spans="1:9" ht="19.5" thickBot="1" x14ac:dyDescent="0.35">
      <c r="A1495" s="15" t="s">
        <v>22</v>
      </c>
      <c r="B1495" s="28">
        <v>0</v>
      </c>
      <c r="C1495" s="28">
        <v>0</v>
      </c>
      <c r="D1495" s="28">
        <v>0</v>
      </c>
      <c r="E1495" s="28">
        <v>0</v>
      </c>
      <c r="F1495" s="28">
        <v>0</v>
      </c>
      <c r="G1495" s="28">
        <v>0</v>
      </c>
      <c r="H1495" s="28">
        <v>0</v>
      </c>
      <c r="I1495" s="19">
        <f t="shared" si="253"/>
        <v>0</v>
      </c>
    </row>
    <row r="1496" spans="1:9" ht="19.5" thickBot="1" x14ac:dyDescent="0.35">
      <c r="A1496" s="20" t="s">
        <v>7</v>
      </c>
      <c r="B1496" s="21">
        <f>SUM(B1491:B1495)</f>
        <v>317175.15639999998</v>
      </c>
      <c r="C1496" s="21">
        <f>SUM(C1491:C1495)</f>
        <v>280578.85210000002</v>
      </c>
      <c r="D1496" s="21">
        <f>SUM(D1491:D1495)</f>
        <v>277641.85730000003</v>
      </c>
      <c r="E1496" s="21">
        <f t="shared" ref="E1496:H1496" si="254">SUM(E1491:E1495)</f>
        <v>309095.55670000002</v>
      </c>
      <c r="F1496" s="21">
        <f t="shared" si="254"/>
        <v>333827.74070000002</v>
      </c>
      <c r="G1496" s="21">
        <f t="shared" si="254"/>
        <v>405805.0148</v>
      </c>
      <c r="H1496" s="21">
        <f t="shared" si="254"/>
        <v>161066.89980000001</v>
      </c>
      <c r="I1496" s="21">
        <f>SUM(I1491:I1495)</f>
        <v>2085191.0778000001</v>
      </c>
    </row>
    <row r="1497" spans="1:9" ht="19.5" thickTop="1" x14ac:dyDescent="0.3">
      <c r="A1497" s="22" t="s">
        <v>20</v>
      </c>
      <c r="B1497" s="23">
        <f>147040.992*0.6</f>
        <v>88224.595199999996</v>
      </c>
      <c r="C1497" s="23">
        <f>55411.94*0.6</f>
        <v>33247.163999999997</v>
      </c>
      <c r="D1497" s="23">
        <f>149514.578*0.6</f>
        <v>89708.746800000008</v>
      </c>
      <c r="E1497" s="23">
        <f>127286.348*0.6</f>
        <v>76371.808799999999</v>
      </c>
      <c r="F1497" s="23">
        <f>101767.556*0.6</f>
        <v>61060.533599999995</v>
      </c>
      <c r="G1497" s="23">
        <f>197911.077*0.6</f>
        <v>118746.64619999999</v>
      </c>
      <c r="H1497" s="23">
        <f>50651.888*0.6</f>
        <v>30391.132799999999</v>
      </c>
      <c r="I1497" s="23">
        <f>SUM(B1497:H1497)</f>
        <v>497750.6274</v>
      </c>
    </row>
    <row r="1498" spans="1:9" x14ac:dyDescent="0.3">
      <c r="A1498" s="24" t="s">
        <v>25</v>
      </c>
      <c r="B1498" s="25"/>
      <c r="C1498" s="25"/>
      <c r="D1498" s="25"/>
      <c r="E1498" s="25"/>
      <c r="F1498" s="25"/>
      <c r="G1498" s="25"/>
      <c r="H1498" s="25"/>
      <c r="I1498" s="25"/>
    </row>
    <row r="1499" spans="1:9" x14ac:dyDescent="0.3">
      <c r="A1499" s="26" t="s">
        <v>23</v>
      </c>
      <c r="B1499" s="25">
        <f>(12000/1.229)+(35000/1.229)</f>
        <v>38242.473555736367</v>
      </c>
      <c r="C1499" s="25">
        <v>0</v>
      </c>
      <c r="D1499" s="25">
        <v>0</v>
      </c>
      <c r="E1499" s="25">
        <v>0</v>
      </c>
      <c r="F1499" s="25">
        <v>0</v>
      </c>
      <c r="G1499" s="25">
        <v>0</v>
      </c>
      <c r="H1499" s="25">
        <v>0</v>
      </c>
      <c r="I1499" s="25">
        <f>SUM(B1499:H1499)</f>
        <v>38242.473555736367</v>
      </c>
    </row>
    <row r="1500" spans="1:9" ht="19.5" thickBot="1" x14ac:dyDescent="0.35">
      <c r="A1500" s="27" t="s">
        <v>24</v>
      </c>
      <c r="B1500" s="25">
        <f>(12000/1.229)+(6000/1.229)+(12000/1.229)+(12000/1.229)+(12000/1.229)+(12000/1.229)+(6000/1.229)+(6000/1.229)+(6000/1.229)+(35000/1.229)+(35000/1.229)</f>
        <v>125305.12611879574</v>
      </c>
      <c r="C1500" s="25">
        <f>(12000/1.229)+(12000/1.229)+(12000/1.229)+(6000/1.229)+(6000/1.229)+(35000/1.229)</f>
        <v>67534.580960130173</v>
      </c>
      <c r="D1500" s="25">
        <f>35000/1.229</f>
        <v>28478.437754271763</v>
      </c>
      <c r="E1500" s="25">
        <f>6000/1.229</f>
        <v>4882.0179007323022</v>
      </c>
      <c r="F1500" s="25">
        <v>0</v>
      </c>
      <c r="G1500" s="25">
        <v>0</v>
      </c>
      <c r="H1500" s="25">
        <f>(10000/1.229)+(10000/1.229)+(6000/1.229)+(30000/1.229)</f>
        <v>45565.500406834821</v>
      </c>
      <c r="I1500" s="25">
        <f>SUM(B1500:H1500)</f>
        <v>271765.66314076481</v>
      </c>
    </row>
    <row r="1502" spans="1:9" x14ac:dyDescent="0.3">
      <c r="A1502" s="4" t="s">
        <v>101</v>
      </c>
      <c r="B1502" s="5" t="s">
        <v>0</v>
      </c>
      <c r="C1502" s="5" t="s">
        <v>1</v>
      </c>
      <c r="D1502" s="5" t="s">
        <v>2</v>
      </c>
      <c r="E1502" s="6" t="s">
        <v>3</v>
      </c>
      <c r="F1502" s="5" t="s">
        <v>4</v>
      </c>
      <c r="G1502" s="5" t="s">
        <v>5</v>
      </c>
      <c r="H1502" s="5" t="s">
        <v>6</v>
      </c>
      <c r="I1502" s="5" t="s">
        <v>7</v>
      </c>
    </row>
    <row r="1503" spans="1:9" x14ac:dyDescent="0.3">
      <c r="A1503" s="7"/>
      <c r="B1503" s="8">
        <v>45656</v>
      </c>
      <c r="C1503" s="8">
        <v>45657</v>
      </c>
      <c r="D1503" s="8">
        <v>45658</v>
      </c>
      <c r="E1503" s="8">
        <v>45659</v>
      </c>
      <c r="F1503" s="8">
        <v>45660</v>
      </c>
      <c r="G1503" s="8">
        <v>45661</v>
      </c>
      <c r="H1503" s="8">
        <v>45662</v>
      </c>
      <c r="I1503" s="9"/>
    </row>
    <row r="1504" spans="1:9" ht="19.5" thickBot="1" x14ac:dyDescent="0.35">
      <c r="A1504" s="10" t="s">
        <v>8</v>
      </c>
      <c r="B1504" s="11" t="s">
        <v>9</v>
      </c>
      <c r="C1504" s="11" t="s">
        <v>9</v>
      </c>
      <c r="D1504" s="11" t="s">
        <v>9</v>
      </c>
      <c r="E1504" s="11" t="s">
        <v>9</v>
      </c>
      <c r="F1504" s="11" t="s">
        <v>9</v>
      </c>
      <c r="G1504" s="11" t="s">
        <v>9</v>
      </c>
      <c r="H1504" s="11" t="s">
        <v>9</v>
      </c>
      <c r="I1504" s="12" t="s">
        <v>9</v>
      </c>
    </row>
    <row r="1505" spans="1:9" x14ac:dyDescent="0.3">
      <c r="A1505" s="13" t="s">
        <v>10</v>
      </c>
      <c r="B1505" s="14">
        <v>54</v>
      </c>
      <c r="C1505" s="14">
        <v>54</v>
      </c>
      <c r="D1505" s="14">
        <v>54</v>
      </c>
      <c r="E1505" s="14">
        <v>54</v>
      </c>
      <c r="F1505" s="14">
        <v>54</v>
      </c>
      <c r="G1505" s="14">
        <v>47</v>
      </c>
      <c r="H1505" s="14">
        <v>48</v>
      </c>
      <c r="I1505" s="14"/>
    </row>
    <row r="1506" spans="1:9" x14ac:dyDescent="0.3">
      <c r="A1506" s="15" t="s">
        <v>11</v>
      </c>
      <c r="B1506" s="16">
        <v>0</v>
      </c>
      <c r="C1506" s="16">
        <v>0</v>
      </c>
      <c r="D1506" s="16">
        <v>0</v>
      </c>
      <c r="E1506" s="16">
        <v>0</v>
      </c>
      <c r="F1506" s="16">
        <v>0</v>
      </c>
      <c r="G1506" s="16">
        <v>0</v>
      </c>
      <c r="H1506" s="16">
        <v>0</v>
      </c>
      <c r="I1506" s="16">
        <f>SUM(B1506:H1506)</f>
        <v>0</v>
      </c>
    </row>
    <row r="1507" spans="1:9" x14ac:dyDescent="0.3">
      <c r="A1507" s="15" t="s">
        <v>12</v>
      </c>
      <c r="B1507" s="16">
        <v>0</v>
      </c>
      <c r="C1507" s="16">
        <v>0</v>
      </c>
      <c r="D1507" s="16">
        <v>0</v>
      </c>
      <c r="E1507" s="16">
        <v>0</v>
      </c>
      <c r="F1507" s="16">
        <v>0</v>
      </c>
      <c r="G1507" s="16">
        <v>0</v>
      </c>
      <c r="H1507" s="16">
        <v>0</v>
      </c>
      <c r="I1507" s="16">
        <f t="shared" ref="I1507:I1513" si="255">SUM(B1507:H1507)</f>
        <v>0</v>
      </c>
    </row>
    <row r="1508" spans="1:9" x14ac:dyDescent="0.3">
      <c r="A1508" s="15" t="s">
        <v>30</v>
      </c>
      <c r="B1508" s="16">
        <v>0</v>
      </c>
      <c r="C1508" s="16">
        <v>0</v>
      </c>
      <c r="D1508" s="16">
        <v>0</v>
      </c>
      <c r="E1508" s="16">
        <v>0</v>
      </c>
      <c r="F1508" s="16">
        <v>0</v>
      </c>
      <c r="G1508" s="16">
        <v>0</v>
      </c>
      <c r="H1508" s="16">
        <v>0</v>
      </c>
      <c r="I1508" s="16">
        <f t="shared" si="255"/>
        <v>0</v>
      </c>
    </row>
    <row r="1509" spans="1:9" x14ac:dyDescent="0.3">
      <c r="A1509" s="15" t="s">
        <v>28</v>
      </c>
      <c r="B1509" s="16">
        <v>0</v>
      </c>
      <c r="C1509" s="16">
        <v>0</v>
      </c>
      <c r="D1509" s="16">
        <v>0</v>
      </c>
      <c r="E1509" s="16">
        <v>0</v>
      </c>
      <c r="F1509" s="16">
        <v>0</v>
      </c>
      <c r="G1509" s="16">
        <v>0</v>
      </c>
      <c r="H1509" s="16">
        <v>0</v>
      </c>
      <c r="I1509" s="16">
        <f t="shared" si="255"/>
        <v>0</v>
      </c>
    </row>
    <row r="1510" spans="1:9" x14ac:dyDescent="0.3">
      <c r="A1510" s="15" t="s">
        <v>29</v>
      </c>
      <c r="B1510" s="16">
        <v>0</v>
      </c>
      <c r="C1510" s="16">
        <v>0</v>
      </c>
      <c r="D1510" s="16">
        <v>0</v>
      </c>
      <c r="E1510" s="16">
        <v>0</v>
      </c>
      <c r="F1510" s="16">
        <v>0</v>
      </c>
      <c r="G1510" s="16">
        <v>0</v>
      </c>
      <c r="H1510" s="16">
        <v>0</v>
      </c>
      <c r="I1510" s="16">
        <f t="shared" si="255"/>
        <v>0</v>
      </c>
    </row>
    <row r="1511" spans="1:9" x14ac:dyDescent="0.3">
      <c r="A1511" s="15" t="s">
        <v>31</v>
      </c>
      <c r="B1511" s="16">
        <v>0</v>
      </c>
      <c r="C1511" s="16">
        <v>0</v>
      </c>
      <c r="D1511" s="16">
        <v>0</v>
      </c>
      <c r="E1511" s="16">
        <v>0</v>
      </c>
      <c r="F1511" s="16">
        <v>0</v>
      </c>
      <c r="G1511" s="16">
        <v>0</v>
      </c>
      <c r="H1511" s="16">
        <v>0</v>
      </c>
      <c r="I1511" s="16">
        <f t="shared" si="255"/>
        <v>0</v>
      </c>
    </row>
    <row r="1512" spans="1:9" x14ac:dyDescent="0.3">
      <c r="A1512" s="15" t="s">
        <v>13</v>
      </c>
      <c r="B1512" s="16">
        <v>0</v>
      </c>
      <c r="C1512" s="16">
        <v>0</v>
      </c>
      <c r="D1512" s="16">
        <v>0</v>
      </c>
      <c r="E1512" s="16">
        <v>0</v>
      </c>
      <c r="F1512" s="16">
        <v>0</v>
      </c>
      <c r="G1512" s="16">
        <v>0</v>
      </c>
      <c r="H1512" s="16">
        <v>0</v>
      </c>
      <c r="I1512" s="16">
        <f t="shared" si="255"/>
        <v>0</v>
      </c>
    </row>
    <row r="1513" spans="1:9" x14ac:dyDescent="0.3">
      <c r="A1513" s="15" t="s">
        <v>14</v>
      </c>
      <c r="B1513" s="16">
        <v>0</v>
      </c>
      <c r="C1513" s="16">
        <v>0</v>
      </c>
      <c r="D1513" s="16">
        <v>0</v>
      </c>
      <c r="E1513" s="16">
        <v>0</v>
      </c>
      <c r="F1513" s="16">
        <v>0</v>
      </c>
      <c r="G1513" s="16">
        <v>0</v>
      </c>
      <c r="H1513" s="16">
        <v>0</v>
      </c>
      <c r="I1513" s="16">
        <f t="shared" si="255"/>
        <v>0</v>
      </c>
    </row>
    <row r="1514" spans="1:9" x14ac:dyDescent="0.3">
      <c r="A1514" s="15" t="s">
        <v>32</v>
      </c>
      <c r="B1514" s="16">
        <v>0</v>
      </c>
      <c r="C1514" s="16">
        <v>0</v>
      </c>
      <c r="D1514" s="16">
        <v>0</v>
      </c>
      <c r="E1514" s="16">
        <v>0</v>
      </c>
      <c r="F1514" s="16">
        <v>0</v>
      </c>
      <c r="G1514" s="16">
        <v>0</v>
      </c>
      <c r="H1514" s="16">
        <v>0</v>
      </c>
      <c r="I1514" s="16">
        <f>SUM(B1514:H1514)</f>
        <v>0</v>
      </c>
    </row>
    <row r="1515" spans="1:9" x14ac:dyDescent="0.3">
      <c r="A1515" s="15" t="s">
        <v>33</v>
      </c>
      <c r="B1515" s="16">
        <v>0</v>
      </c>
      <c r="C1515" s="16">
        <v>0</v>
      </c>
      <c r="D1515" s="16">
        <v>0</v>
      </c>
      <c r="E1515" s="16">
        <v>0</v>
      </c>
      <c r="F1515" s="16">
        <v>0</v>
      </c>
      <c r="G1515" s="16">
        <v>0</v>
      </c>
      <c r="H1515" s="16">
        <v>0</v>
      </c>
      <c r="I1515" s="16">
        <f t="shared" ref="I1515" si="256">SUM(B1515:H1515)</f>
        <v>0</v>
      </c>
    </row>
    <row r="1516" spans="1:9" ht="19.5" thickBot="1" x14ac:dyDescent="0.35">
      <c r="A1516" s="30" t="s">
        <v>15</v>
      </c>
      <c r="B1516" s="31">
        <f t="shared" ref="B1516:H1516" si="257">(B1507+B1506)/B1505*100%</f>
        <v>0</v>
      </c>
      <c r="C1516" s="31">
        <f t="shared" si="257"/>
        <v>0</v>
      </c>
      <c r="D1516" s="31">
        <f t="shared" si="257"/>
        <v>0</v>
      </c>
      <c r="E1516" s="31">
        <f t="shared" si="257"/>
        <v>0</v>
      </c>
      <c r="F1516" s="31">
        <f t="shared" si="257"/>
        <v>0</v>
      </c>
      <c r="G1516" s="31">
        <f t="shared" si="257"/>
        <v>0</v>
      </c>
      <c r="H1516" s="31">
        <f t="shared" si="257"/>
        <v>0</v>
      </c>
      <c r="I1516" s="32">
        <f>(B1516+C1516+D1516+E1516+F1516+G1516+H1516)/7</f>
        <v>0</v>
      </c>
    </row>
    <row r="1517" spans="1:9" x14ac:dyDescent="0.3">
      <c r="A1517" s="67" t="s">
        <v>16</v>
      </c>
      <c r="B1517" s="16"/>
      <c r="C1517" s="17"/>
      <c r="D1517" s="16"/>
      <c r="E1517" s="18"/>
      <c r="F1517" s="16"/>
      <c r="G1517" s="16"/>
      <c r="H1517" s="16"/>
      <c r="I1517" s="16"/>
    </row>
    <row r="1518" spans="1:9" x14ac:dyDescent="0.3">
      <c r="A1518" s="15" t="s">
        <v>17</v>
      </c>
      <c r="B1518" s="28">
        <v>0</v>
      </c>
      <c r="C1518" s="28">
        <v>0</v>
      </c>
      <c r="D1518" s="28">
        <v>0</v>
      </c>
      <c r="E1518" s="28">
        <v>0</v>
      </c>
      <c r="F1518" s="28">
        <v>0</v>
      </c>
      <c r="G1518" s="28">
        <v>0</v>
      </c>
      <c r="H1518" s="28">
        <v>0</v>
      </c>
      <c r="I1518" s="19">
        <f>SUM(B1518:H1518)</f>
        <v>0</v>
      </c>
    </row>
    <row r="1519" spans="1:9" x14ac:dyDescent="0.3">
      <c r="A1519" s="15" t="s">
        <v>18</v>
      </c>
      <c r="B1519" s="28">
        <v>0</v>
      </c>
      <c r="C1519" s="28">
        <v>0</v>
      </c>
      <c r="D1519" s="28">
        <v>0</v>
      </c>
      <c r="E1519" s="28">
        <v>0</v>
      </c>
      <c r="F1519" s="28">
        <v>0</v>
      </c>
      <c r="G1519" s="28">
        <v>0</v>
      </c>
      <c r="H1519" s="28">
        <v>0</v>
      </c>
      <c r="I1519" s="19">
        <f t="shared" ref="I1519" si="258">SUM(B1519:H1519)</f>
        <v>0</v>
      </c>
    </row>
    <row r="1520" spans="1:9" x14ac:dyDescent="0.3">
      <c r="A1520" s="15" t="s">
        <v>19</v>
      </c>
      <c r="B1520" s="28">
        <v>0</v>
      </c>
      <c r="C1520" s="28">
        <v>0</v>
      </c>
      <c r="D1520" s="28">
        <v>0</v>
      </c>
      <c r="E1520" s="28">
        <v>0</v>
      </c>
      <c r="F1520" s="28">
        <v>0</v>
      </c>
      <c r="G1520" s="28">
        <v>0</v>
      </c>
      <c r="H1520" s="28">
        <v>0</v>
      </c>
      <c r="I1520" s="19">
        <f>SUM(B1520:H1520)</f>
        <v>0</v>
      </c>
    </row>
    <row r="1521" spans="1:9" x14ac:dyDescent="0.3">
      <c r="A1521" s="15" t="s">
        <v>21</v>
      </c>
      <c r="B1521" s="28">
        <v>0</v>
      </c>
      <c r="C1521" s="28">
        <v>0</v>
      </c>
      <c r="D1521" s="28">
        <v>0</v>
      </c>
      <c r="E1521" s="28">
        <v>0</v>
      </c>
      <c r="F1521" s="28">
        <v>0</v>
      </c>
      <c r="G1521" s="28">
        <v>0</v>
      </c>
      <c r="H1521" s="28">
        <v>0</v>
      </c>
      <c r="I1521" s="19">
        <f t="shared" ref="I1521:I1522" si="259">SUM(B1521:H1521)</f>
        <v>0</v>
      </c>
    </row>
    <row r="1522" spans="1:9" ht="19.5" thickBot="1" x14ac:dyDescent="0.35">
      <c r="A1522" s="15" t="s">
        <v>22</v>
      </c>
      <c r="B1522" s="28">
        <v>0</v>
      </c>
      <c r="C1522" s="28">
        <v>0</v>
      </c>
      <c r="D1522" s="28">
        <v>0</v>
      </c>
      <c r="E1522" s="28">
        <v>0</v>
      </c>
      <c r="F1522" s="28">
        <v>0</v>
      </c>
      <c r="G1522" s="28">
        <v>0</v>
      </c>
      <c r="H1522" s="28">
        <v>0</v>
      </c>
      <c r="I1522" s="19">
        <f t="shared" si="259"/>
        <v>0</v>
      </c>
    </row>
    <row r="1523" spans="1:9" ht="19.5" thickBot="1" x14ac:dyDescent="0.35">
      <c r="A1523" s="20" t="s">
        <v>7</v>
      </c>
      <c r="B1523" s="21">
        <f>SUM(B1518:B1522)</f>
        <v>0</v>
      </c>
      <c r="C1523" s="21">
        <f>SUM(C1518:C1522)</f>
        <v>0</v>
      </c>
      <c r="D1523" s="21">
        <f>SUM(D1518:D1522)</f>
        <v>0</v>
      </c>
      <c r="E1523" s="21">
        <f t="shared" ref="E1523:H1523" si="260">SUM(E1518:E1522)</f>
        <v>0</v>
      </c>
      <c r="F1523" s="21">
        <f t="shared" si="260"/>
        <v>0</v>
      </c>
      <c r="G1523" s="21">
        <f t="shared" si="260"/>
        <v>0</v>
      </c>
      <c r="H1523" s="21">
        <f t="shared" si="260"/>
        <v>0</v>
      </c>
      <c r="I1523" s="21">
        <f>SUM(I1518:I1522)</f>
        <v>0</v>
      </c>
    </row>
    <row r="1524" spans="1:9" ht="19.5" thickTop="1" x14ac:dyDescent="0.3">
      <c r="A1524" s="22" t="s">
        <v>20</v>
      </c>
      <c r="B1524" s="23">
        <v>0</v>
      </c>
      <c r="C1524" s="23">
        <v>0</v>
      </c>
      <c r="D1524" s="23">
        <v>0</v>
      </c>
      <c r="E1524" s="23">
        <v>0</v>
      </c>
      <c r="F1524" s="23">
        <v>0</v>
      </c>
      <c r="G1524" s="23">
        <v>0</v>
      </c>
      <c r="H1524" s="23">
        <v>0</v>
      </c>
      <c r="I1524" s="23">
        <f>SUM(B1524:H1524)</f>
        <v>0</v>
      </c>
    </row>
    <row r="1525" spans="1:9" x14ac:dyDescent="0.3">
      <c r="A1525" s="24" t="s">
        <v>25</v>
      </c>
      <c r="B1525" s="25"/>
      <c r="C1525" s="25"/>
      <c r="D1525" s="25"/>
      <c r="E1525" s="25"/>
      <c r="F1525" s="25"/>
      <c r="G1525" s="25"/>
      <c r="H1525" s="25"/>
      <c r="I1525" s="25"/>
    </row>
    <row r="1526" spans="1:9" x14ac:dyDescent="0.3">
      <c r="A1526" s="26" t="s">
        <v>23</v>
      </c>
      <c r="B1526" s="25">
        <v>0</v>
      </c>
      <c r="C1526" s="25">
        <v>0</v>
      </c>
      <c r="D1526" s="25">
        <v>0</v>
      </c>
      <c r="E1526" s="25">
        <v>0</v>
      </c>
      <c r="F1526" s="25">
        <v>0</v>
      </c>
      <c r="G1526" s="25">
        <v>0</v>
      </c>
      <c r="H1526" s="25">
        <v>0</v>
      </c>
      <c r="I1526" s="25">
        <f>SUM(B1526:H1526)</f>
        <v>0</v>
      </c>
    </row>
    <row r="1527" spans="1:9" ht="19.5" thickBot="1" x14ac:dyDescent="0.35">
      <c r="A1527" s="27" t="s">
        <v>24</v>
      </c>
      <c r="B1527" s="25">
        <v>0</v>
      </c>
      <c r="C1527" s="25">
        <v>0</v>
      </c>
      <c r="D1527" s="25">
        <v>0</v>
      </c>
      <c r="E1527" s="25">
        <v>0</v>
      </c>
      <c r="F1527" s="25">
        <v>0</v>
      </c>
      <c r="G1527" s="25">
        <v>0</v>
      </c>
      <c r="H1527" s="25">
        <v>0</v>
      </c>
      <c r="I1527" s="25">
        <f>SUM(B1527:H1527)</f>
        <v>0</v>
      </c>
    </row>
  </sheetData>
  <mergeCells count="3">
    <mergeCell ref="G2:I5"/>
    <mergeCell ref="B5:F5"/>
    <mergeCell ref="C6:E6"/>
  </mergeCells>
  <pageMargins left="0.70866141732283505" right="0.70866141732283505" top="0.74803149606299202" bottom="0.74803149606299202" header="0.31496062992126" footer="0.31496062992126"/>
  <pageSetup paperSize="9" scale="49" orientation="landscape" r:id="rId1"/>
  <rowBreaks count="44" manualBreakCount="44">
    <brk id="34" max="8" man="1"/>
    <brk id="61" max="8" man="1"/>
    <brk id="91" max="8" man="1"/>
    <brk id="121" max="8" man="1"/>
    <brk id="149" max="8" man="1"/>
    <brk id="179" max="8" man="1"/>
    <brk id="205" max="8" man="1"/>
    <brk id="234" max="8" man="1"/>
    <brk id="265" max="8" man="1"/>
    <brk id="294" max="8" man="1"/>
    <brk id="323" max="8" man="1"/>
    <brk id="351" max="8" man="1"/>
    <brk id="380" max="8" man="1"/>
    <brk id="409" max="8" man="1"/>
    <brk id="438" max="8" man="1"/>
    <brk id="467" max="8" man="1"/>
    <brk id="494" max="8" man="1"/>
    <brk id="522" max="8" man="1"/>
    <brk id="551" max="8" man="1"/>
    <brk id="580" max="8" man="1"/>
    <brk id="609" max="8" man="1"/>
    <brk id="638" max="8" man="1"/>
    <brk id="667" max="8" man="1"/>
    <brk id="696" max="8" man="1"/>
    <brk id="725" max="8" man="1"/>
    <brk id="754" max="8" man="1"/>
    <brk id="783" max="8" man="1"/>
    <brk id="812" max="8" man="1"/>
    <brk id="841" max="8" man="1"/>
    <brk id="870" max="8" man="1"/>
    <brk id="899" max="8" man="1"/>
    <brk id="928" max="8" man="1"/>
    <brk id="955" max="8" man="1"/>
    <brk id="983" max="8" man="1"/>
    <brk id="1036" max="8" man="1"/>
    <brk id="1090" max="8" man="1"/>
    <brk id="1147" max="8" man="1"/>
    <brk id="1202" max="8" man="1"/>
    <brk id="1229" max="8" man="1"/>
    <brk id="1256" max="8" man="1"/>
    <brk id="1284" max="8" man="1"/>
    <brk id="1338" max="8" man="1"/>
    <brk id="1365" max="8" man="1"/>
    <brk id="1392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L1194"/>
  <sheetViews>
    <sheetView view="pageBreakPreview" topLeftCell="A1162" zoomScaleNormal="100" zoomScaleSheetLayoutView="100" workbookViewId="0">
      <selection activeCell="E1170" sqref="E1170:E1172"/>
    </sheetView>
  </sheetViews>
  <sheetFormatPr defaultColWidth="9.140625" defaultRowHeight="18.75" x14ac:dyDescent="0.3"/>
  <cols>
    <col min="1" max="1" width="41.85546875" style="1" customWidth="1"/>
    <col min="2" max="2" width="16" style="1" bestFit="1" customWidth="1"/>
    <col min="3" max="3" width="17.42578125" style="1" customWidth="1"/>
    <col min="4" max="4" width="18.140625" style="1" customWidth="1"/>
    <col min="5" max="5" width="18.5703125" style="1" customWidth="1"/>
    <col min="6" max="6" width="17.140625" style="1" customWidth="1"/>
    <col min="7" max="7" width="16" style="1" bestFit="1" customWidth="1"/>
    <col min="8" max="8" width="14.5703125" style="1" bestFit="1" customWidth="1"/>
    <col min="9" max="9" width="21.140625" style="1" customWidth="1"/>
    <col min="10" max="10" width="18.28515625" style="1" bestFit="1" customWidth="1"/>
    <col min="11" max="11" width="16" style="1" bestFit="1" customWidth="1"/>
    <col min="12" max="12" width="14.7109375" style="1" bestFit="1" customWidth="1"/>
    <col min="13" max="16384" width="9.140625" style="1"/>
  </cols>
  <sheetData>
    <row r="8" spans="1:9" ht="22.5" x14ac:dyDescent="0.45">
      <c r="B8" s="77" t="s">
        <v>27</v>
      </c>
      <c r="C8" s="77"/>
      <c r="D8" s="77"/>
      <c r="E8" s="77"/>
      <c r="F8" s="77"/>
    </row>
    <row r="9" spans="1:9" x14ac:dyDescent="0.3">
      <c r="B9" s="78" t="s">
        <v>103</v>
      </c>
      <c r="C9" s="78"/>
      <c r="D9" s="78"/>
      <c r="E9" s="78"/>
      <c r="F9" s="78"/>
    </row>
    <row r="10" spans="1:9" x14ac:dyDescent="0.3">
      <c r="A10" s="3"/>
      <c r="G10" s="3"/>
      <c r="H10" s="3"/>
      <c r="I10" s="3"/>
    </row>
    <row r="11" spans="1:9" x14ac:dyDescent="0.3">
      <c r="A11" s="4" t="s">
        <v>36</v>
      </c>
      <c r="B11" s="5" t="s">
        <v>0</v>
      </c>
      <c r="C11" s="5" t="s">
        <v>1</v>
      </c>
      <c r="D11" s="5" t="s">
        <v>2</v>
      </c>
      <c r="E11" s="6" t="s">
        <v>3</v>
      </c>
      <c r="F11" s="5" t="s">
        <v>4</v>
      </c>
      <c r="G11" s="5" t="s">
        <v>5</v>
      </c>
      <c r="H11" s="5" t="s">
        <v>6</v>
      </c>
      <c r="I11" s="5" t="s">
        <v>7</v>
      </c>
    </row>
    <row r="12" spans="1:9" x14ac:dyDescent="0.3">
      <c r="A12" s="7"/>
      <c r="B12" s="8">
        <v>44927</v>
      </c>
      <c r="C12" s="8">
        <v>44928</v>
      </c>
      <c r="D12" s="8">
        <v>44929</v>
      </c>
      <c r="E12" s="8">
        <v>44930</v>
      </c>
      <c r="F12" s="8">
        <v>44931</v>
      </c>
      <c r="G12" s="8">
        <v>44932</v>
      </c>
      <c r="H12" s="8">
        <v>44933</v>
      </c>
      <c r="I12" s="9"/>
    </row>
    <row r="13" spans="1:9" ht="19.5" thickBot="1" x14ac:dyDescent="0.35">
      <c r="A13" s="10" t="s">
        <v>8</v>
      </c>
      <c r="B13" s="11" t="s">
        <v>9</v>
      </c>
      <c r="C13" s="11" t="s">
        <v>9</v>
      </c>
      <c r="D13" s="11" t="s">
        <v>9</v>
      </c>
      <c r="E13" s="11" t="s">
        <v>9</v>
      </c>
      <c r="F13" s="11" t="s">
        <v>9</v>
      </c>
      <c r="G13" s="11" t="s">
        <v>9</v>
      </c>
      <c r="H13" s="11" t="s">
        <v>9</v>
      </c>
      <c r="I13" s="12" t="s">
        <v>9</v>
      </c>
    </row>
    <row r="14" spans="1:9" x14ac:dyDescent="0.3">
      <c r="A14" s="13" t="s">
        <v>10</v>
      </c>
      <c r="B14" s="14">
        <v>51</v>
      </c>
      <c r="C14" s="14">
        <v>52</v>
      </c>
      <c r="D14" s="14">
        <v>51</v>
      </c>
      <c r="E14" s="14">
        <v>52</v>
      </c>
      <c r="F14" s="14">
        <v>52</v>
      </c>
      <c r="G14" s="14">
        <v>53</v>
      </c>
      <c r="H14" s="14">
        <v>54</v>
      </c>
      <c r="I14" s="14"/>
    </row>
    <row r="15" spans="1:9" x14ac:dyDescent="0.3">
      <c r="A15" s="15" t="s">
        <v>11</v>
      </c>
      <c r="B15" s="16">
        <v>2</v>
      </c>
      <c r="C15" s="16">
        <v>2</v>
      </c>
      <c r="D15" s="16">
        <v>4</v>
      </c>
      <c r="E15" s="16">
        <v>4</v>
      </c>
      <c r="F15" s="16">
        <v>6</v>
      </c>
      <c r="G15" s="16">
        <v>2</v>
      </c>
      <c r="H15" s="16">
        <v>4</v>
      </c>
      <c r="I15" s="16">
        <f>SUM(B15:H15)</f>
        <v>24</v>
      </c>
    </row>
    <row r="16" spans="1:9" x14ac:dyDescent="0.3">
      <c r="A16" s="15" t="s">
        <v>12</v>
      </c>
      <c r="B16" s="16">
        <v>30</v>
      </c>
      <c r="C16" s="16">
        <v>24</v>
      </c>
      <c r="D16" s="16">
        <v>34</v>
      </c>
      <c r="E16" s="16">
        <v>31</v>
      </c>
      <c r="F16" s="16">
        <v>30</v>
      </c>
      <c r="G16" s="16">
        <v>26</v>
      </c>
      <c r="H16" s="16">
        <v>13</v>
      </c>
      <c r="I16" s="16">
        <f>SUM(B16:H16)</f>
        <v>188</v>
      </c>
    </row>
    <row r="17" spans="1:9" x14ac:dyDescent="0.3">
      <c r="A17" s="15" t="s">
        <v>30</v>
      </c>
      <c r="B17" s="16">
        <v>5</v>
      </c>
      <c r="C17" s="16">
        <v>2</v>
      </c>
      <c r="D17" s="16">
        <v>0</v>
      </c>
      <c r="E17" s="16">
        <v>0</v>
      </c>
      <c r="F17" s="16">
        <v>0</v>
      </c>
      <c r="G17" s="16">
        <v>14</v>
      </c>
      <c r="H17" s="16">
        <v>0</v>
      </c>
      <c r="I17" s="16">
        <f>SUM(B17:H17)</f>
        <v>21</v>
      </c>
    </row>
    <row r="18" spans="1:9" x14ac:dyDescent="0.3">
      <c r="A18" s="15" t="s">
        <v>28</v>
      </c>
      <c r="B18" s="16">
        <v>459</v>
      </c>
      <c r="C18" s="16">
        <v>136</v>
      </c>
      <c r="D18" s="16">
        <v>76</v>
      </c>
      <c r="E18" s="16">
        <v>96</v>
      </c>
      <c r="F18" s="16">
        <v>83</v>
      </c>
      <c r="G18" s="16">
        <v>279</v>
      </c>
      <c r="H18" s="16">
        <v>172</v>
      </c>
      <c r="I18" s="16">
        <f t="shared" ref="I18:I24" si="0">B18+C18+D18+E18+F18+G18+H18</f>
        <v>1301</v>
      </c>
    </row>
    <row r="19" spans="1:9" x14ac:dyDescent="0.3">
      <c r="A19" s="15" t="s">
        <v>29</v>
      </c>
      <c r="B19" s="16">
        <v>42</v>
      </c>
      <c r="C19" s="16">
        <v>35</v>
      </c>
      <c r="D19" s="16">
        <v>35</v>
      </c>
      <c r="E19" s="16">
        <v>18</v>
      </c>
      <c r="F19" s="16">
        <v>18</v>
      </c>
      <c r="G19" s="16">
        <v>57</v>
      </c>
      <c r="H19" s="16">
        <v>21</v>
      </c>
      <c r="I19" s="16">
        <f t="shared" si="0"/>
        <v>226</v>
      </c>
    </row>
    <row r="20" spans="1:9" x14ac:dyDescent="0.3">
      <c r="A20" s="15" t="s">
        <v>31</v>
      </c>
      <c r="B20" s="16">
        <v>9</v>
      </c>
      <c r="C20" s="16">
        <v>11</v>
      </c>
      <c r="D20" s="16">
        <v>24</v>
      </c>
      <c r="E20" s="16">
        <v>13</v>
      </c>
      <c r="F20" s="16">
        <v>15</v>
      </c>
      <c r="G20" s="16">
        <v>33</v>
      </c>
      <c r="H20" s="16">
        <v>7</v>
      </c>
      <c r="I20" s="16">
        <f t="shared" si="0"/>
        <v>112</v>
      </c>
    </row>
    <row r="21" spans="1:9" x14ac:dyDescent="0.3">
      <c r="A21" s="15" t="s">
        <v>13</v>
      </c>
      <c r="B21" s="16">
        <v>9</v>
      </c>
      <c r="C21" s="16">
        <v>0</v>
      </c>
      <c r="D21" s="16">
        <v>1</v>
      </c>
      <c r="E21" s="16">
        <v>1</v>
      </c>
      <c r="F21" s="16">
        <v>1</v>
      </c>
      <c r="G21" s="16">
        <v>4</v>
      </c>
      <c r="H21" s="16">
        <v>0</v>
      </c>
      <c r="I21" s="16">
        <f t="shared" si="0"/>
        <v>16</v>
      </c>
    </row>
    <row r="22" spans="1:9" x14ac:dyDescent="0.3">
      <c r="A22" s="15" t="s">
        <v>14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f t="shared" si="0"/>
        <v>0</v>
      </c>
    </row>
    <row r="23" spans="1:9" x14ac:dyDescent="0.3">
      <c r="A23" s="15" t="s">
        <v>32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f t="shared" si="0"/>
        <v>0</v>
      </c>
    </row>
    <row r="24" spans="1:9" x14ac:dyDescent="0.3">
      <c r="A24" s="15" t="s">
        <v>33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f t="shared" si="0"/>
        <v>0</v>
      </c>
    </row>
    <row r="25" spans="1:9" ht="19.5" thickBot="1" x14ac:dyDescent="0.35">
      <c r="A25" s="30" t="s">
        <v>15</v>
      </c>
      <c r="B25" s="31">
        <f t="shared" ref="B25:H25" si="1">(B16+B15)/B14*100%</f>
        <v>0.62745098039215685</v>
      </c>
      <c r="C25" s="31">
        <f t="shared" si="1"/>
        <v>0.5</v>
      </c>
      <c r="D25" s="31">
        <f t="shared" si="1"/>
        <v>0.74509803921568629</v>
      </c>
      <c r="E25" s="31">
        <f t="shared" si="1"/>
        <v>0.67307692307692313</v>
      </c>
      <c r="F25" s="31">
        <f t="shared" si="1"/>
        <v>0.69230769230769229</v>
      </c>
      <c r="G25" s="31">
        <f t="shared" si="1"/>
        <v>0.52830188679245282</v>
      </c>
      <c r="H25" s="31">
        <f t="shared" si="1"/>
        <v>0.31481481481481483</v>
      </c>
      <c r="I25" s="32">
        <f>(B25+C25+D25+E25+F25+G25+H25)/7</f>
        <v>0.58300719094281805</v>
      </c>
    </row>
    <row r="26" spans="1:9" x14ac:dyDescent="0.3">
      <c r="A26" s="33" t="s">
        <v>16</v>
      </c>
      <c r="B26" s="16"/>
      <c r="C26" s="17"/>
      <c r="D26" s="16"/>
      <c r="E26" s="18"/>
      <c r="F26" s="16"/>
      <c r="G26" s="16"/>
      <c r="H26" s="16"/>
      <c r="I26" s="16"/>
    </row>
    <row r="27" spans="1:9" x14ac:dyDescent="0.3">
      <c r="A27" s="15" t="s">
        <v>34</v>
      </c>
      <c r="B27" s="28">
        <v>22478.051000000003</v>
      </c>
      <c r="C27" s="28">
        <v>17827.822</v>
      </c>
      <c r="D27" s="28">
        <v>18815.114000000001</v>
      </c>
      <c r="E27" s="28">
        <v>16780.899000000001</v>
      </c>
      <c r="F27" s="28">
        <v>22636.488000000001</v>
      </c>
      <c r="G27" s="28">
        <v>14287.510999999999</v>
      </c>
      <c r="H27" s="28">
        <v>6704.7560000000003</v>
      </c>
      <c r="I27" s="19">
        <f>B27+C27+D27+E27+F27+G27+H27</f>
        <v>119530.641</v>
      </c>
    </row>
    <row r="28" spans="1:9" x14ac:dyDescent="0.3">
      <c r="A28" s="15" t="s">
        <v>35</v>
      </c>
      <c r="B28" s="28">
        <v>0</v>
      </c>
      <c r="C28" s="28">
        <v>2200</v>
      </c>
      <c r="D28" s="28">
        <v>5200.0480000000007</v>
      </c>
      <c r="E28" s="28">
        <v>4790.16</v>
      </c>
      <c r="F28" s="28">
        <v>0</v>
      </c>
      <c r="G28" s="28">
        <v>4200.8</v>
      </c>
      <c r="H28" s="28">
        <v>0</v>
      </c>
      <c r="I28" s="19">
        <f>B28+C28+D28+E28+F28+G28+H28</f>
        <v>16391.008000000002</v>
      </c>
    </row>
    <row r="29" spans="1:9" ht="19.5" thickBot="1" x14ac:dyDescent="0.35">
      <c r="A29" s="15" t="s">
        <v>20</v>
      </c>
      <c r="B29" s="28">
        <v>98562.928000000014</v>
      </c>
      <c r="C29" s="28">
        <v>31717.264000000003</v>
      </c>
      <c r="D29" s="28">
        <v>22240.784</v>
      </c>
      <c r="E29" s="28">
        <v>22343.664000000004</v>
      </c>
      <c r="F29" s="28">
        <v>20065.376000000004</v>
      </c>
      <c r="G29" s="28">
        <v>66394.759999999995</v>
      </c>
      <c r="H29" s="28">
        <v>30919.984000000004</v>
      </c>
      <c r="I29" s="19">
        <f>B29+C29+D29+E29+F29+G29+H29</f>
        <v>292244.76</v>
      </c>
    </row>
    <row r="30" spans="1:9" ht="19.5" thickBot="1" x14ac:dyDescent="0.35">
      <c r="A30" s="34" t="s">
        <v>7</v>
      </c>
      <c r="B30" s="35">
        <f t="shared" ref="B30:I30" si="2">B27+B28+B29</f>
        <v>121040.97900000002</v>
      </c>
      <c r="C30" s="35">
        <f t="shared" si="2"/>
        <v>51745.086000000003</v>
      </c>
      <c r="D30" s="35">
        <f t="shared" si="2"/>
        <v>46255.946000000004</v>
      </c>
      <c r="E30" s="35">
        <f t="shared" si="2"/>
        <v>43914.723000000005</v>
      </c>
      <c r="F30" s="35">
        <f t="shared" si="2"/>
        <v>42701.864000000001</v>
      </c>
      <c r="G30" s="35">
        <f t="shared" si="2"/>
        <v>84883.070999999996</v>
      </c>
      <c r="H30" s="35">
        <f t="shared" si="2"/>
        <v>37624.740000000005</v>
      </c>
      <c r="I30" s="36">
        <f t="shared" si="2"/>
        <v>428166.40899999999</v>
      </c>
    </row>
    <row r="31" spans="1:9" ht="19.5" thickTop="1" x14ac:dyDescent="0.3">
      <c r="A31" s="16"/>
      <c r="B31" s="19"/>
      <c r="C31" s="19"/>
      <c r="D31" s="19"/>
      <c r="E31" s="19"/>
      <c r="F31" s="19"/>
      <c r="G31" s="19"/>
      <c r="H31" s="19"/>
      <c r="I31" s="19"/>
    </row>
    <row r="32" spans="1:9" x14ac:dyDescent="0.3">
      <c r="A32" s="16"/>
      <c r="B32" s="19"/>
      <c r="C32" s="19"/>
      <c r="D32" s="19"/>
      <c r="E32" s="19"/>
      <c r="F32" s="19"/>
      <c r="G32" s="19"/>
      <c r="H32" s="19"/>
      <c r="I32" s="19"/>
    </row>
    <row r="34" spans="1:11" x14ac:dyDescent="0.3">
      <c r="A34" s="4" t="s">
        <v>37</v>
      </c>
      <c r="B34" s="5" t="s">
        <v>0</v>
      </c>
      <c r="C34" s="5" t="s">
        <v>1</v>
      </c>
      <c r="D34" s="5" t="s">
        <v>2</v>
      </c>
      <c r="E34" s="6" t="s">
        <v>3</v>
      </c>
      <c r="F34" s="5" t="s">
        <v>4</v>
      </c>
      <c r="G34" s="5" t="s">
        <v>5</v>
      </c>
      <c r="H34" s="5" t="s">
        <v>6</v>
      </c>
      <c r="I34" s="5" t="s">
        <v>7</v>
      </c>
    </row>
    <row r="35" spans="1:11" x14ac:dyDescent="0.3">
      <c r="A35" s="7"/>
      <c r="B35" s="8">
        <v>44934</v>
      </c>
      <c r="C35" s="8">
        <v>44935</v>
      </c>
      <c r="D35" s="8">
        <v>44936</v>
      </c>
      <c r="E35" s="8">
        <v>44937</v>
      </c>
      <c r="F35" s="8">
        <v>44938</v>
      </c>
      <c r="G35" s="8">
        <v>44939</v>
      </c>
      <c r="H35" s="8">
        <v>44940</v>
      </c>
      <c r="I35" s="9"/>
    </row>
    <row r="36" spans="1:11" ht="19.5" thickBot="1" x14ac:dyDescent="0.35">
      <c r="A36" s="10" t="s">
        <v>8</v>
      </c>
      <c r="B36" s="11" t="s">
        <v>9</v>
      </c>
      <c r="C36" s="11" t="s">
        <v>9</v>
      </c>
      <c r="D36" s="11" t="s">
        <v>9</v>
      </c>
      <c r="E36" s="11" t="s">
        <v>9</v>
      </c>
      <c r="F36" s="11" t="s">
        <v>9</v>
      </c>
      <c r="G36" s="11" t="s">
        <v>9</v>
      </c>
      <c r="H36" s="11" t="s">
        <v>9</v>
      </c>
      <c r="I36" s="12" t="s">
        <v>9</v>
      </c>
    </row>
    <row r="37" spans="1:11" x14ac:dyDescent="0.3">
      <c r="A37" s="13" t="s">
        <v>10</v>
      </c>
      <c r="B37" s="14">
        <v>52</v>
      </c>
      <c r="C37" s="14">
        <v>52</v>
      </c>
      <c r="D37" s="14">
        <v>52</v>
      </c>
      <c r="E37" s="14">
        <v>52</v>
      </c>
      <c r="F37" s="14">
        <v>54</v>
      </c>
      <c r="G37" s="14">
        <v>54</v>
      </c>
      <c r="H37" s="14">
        <v>53</v>
      </c>
      <c r="I37" s="14"/>
    </row>
    <row r="38" spans="1:11" x14ac:dyDescent="0.3">
      <c r="A38" s="15" t="s">
        <v>11</v>
      </c>
      <c r="B38" s="16">
        <v>5</v>
      </c>
      <c r="C38" s="16">
        <v>2</v>
      </c>
      <c r="D38" s="16">
        <v>0</v>
      </c>
      <c r="E38" s="16">
        <v>1</v>
      </c>
      <c r="F38" s="16">
        <v>0</v>
      </c>
      <c r="G38" s="16">
        <v>1</v>
      </c>
      <c r="H38" s="16">
        <v>3</v>
      </c>
      <c r="I38" s="16">
        <f>SUM(B38:H38)</f>
        <v>12</v>
      </c>
    </row>
    <row r="39" spans="1:11" x14ac:dyDescent="0.3">
      <c r="A39" s="15" t="s">
        <v>12</v>
      </c>
      <c r="B39" s="16">
        <v>3</v>
      </c>
      <c r="C39" s="16">
        <v>14</v>
      </c>
      <c r="D39" s="16">
        <v>11</v>
      </c>
      <c r="E39" s="16">
        <v>25</v>
      </c>
      <c r="F39" s="16">
        <v>46</v>
      </c>
      <c r="G39" s="16">
        <v>48</v>
      </c>
      <c r="H39" s="16">
        <v>3</v>
      </c>
      <c r="I39" s="16">
        <f>SUM(B39:H39)</f>
        <v>150</v>
      </c>
    </row>
    <row r="40" spans="1:11" x14ac:dyDescent="0.3">
      <c r="A40" s="15" t="s">
        <v>30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f>SUM(B40:H40)</f>
        <v>0</v>
      </c>
    </row>
    <row r="41" spans="1:11" x14ac:dyDescent="0.3">
      <c r="A41" s="15" t="s">
        <v>28</v>
      </c>
      <c r="B41" s="16">
        <v>133</v>
      </c>
      <c r="C41" s="16">
        <v>5</v>
      </c>
      <c r="D41" s="16">
        <v>42</v>
      </c>
      <c r="E41" s="16">
        <v>28</v>
      </c>
      <c r="F41" s="16">
        <v>22</v>
      </c>
      <c r="G41" s="16">
        <v>115</v>
      </c>
      <c r="H41" s="16">
        <v>43</v>
      </c>
      <c r="I41" s="16">
        <f t="shared" ref="I41:I47" si="3">B41+C41+D41+E41+F41+G41+H41</f>
        <v>388</v>
      </c>
    </row>
    <row r="42" spans="1:11" x14ac:dyDescent="0.3">
      <c r="A42" s="15" t="s">
        <v>29</v>
      </c>
      <c r="B42" s="16">
        <v>23</v>
      </c>
      <c r="C42" s="16">
        <v>2</v>
      </c>
      <c r="D42" s="16">
        <v>1</v>
      </c>
      <c r="E42" s="16">
        <v>3</v>
      </c>
      <c r="F42" s="16">
        <v>0</v>
      </c>
      <c r="G42" s="16">
        <v>18</v>
      </c>
      <c r="H42" s="16">
        <v>6</v>
      </c>
      <c r="I42" s="16">
        <f t="shared" si="3"/>
        <v>53</v>
      </c>
    </row>
    <row r="43" spans="1:11" x14ac:dyDescent="0.3">
      <c r="A43" s="15" t="s">
        <v>31</v>
      </c>
      <c r="B43" s="16">
        <v>17</v>
      </c>
      <c r="C43" s="16">
        <v>8</v>
      </c>
      <c r="D43" s="16">
        <v>5</v>
      </c>
      <c r="E43" s="16">
        <v>1</v>
      </c>
      <c r="F43" s="16">
        <v>0</v>
      </c>
      <c r="G43" s="16">
        <v>18</v>
      </c>
      <c r="H43" s="16">
        <v>3</v>
      </c>
      <c r="I43" s="16">
        <f t="shared" si="3"/>
        <v>52</v>
      </c>
    </row>
    <row r="44" spans="1:11" x14ac:dyDescent="0.3">
      <c r="A44" s="15" t="s">
        <v>13</v>
      </c>
      <c r="B44" s="16">
        <v>0</v>
      </c>
      <c r="C44" s="16">
        <v>0</v>
      </c>
      <c r="D44" s="16">
        <v>0</v>
      </c>
      <c r="E44" s="16">
        <v>0</v>
      </c>
      <c r="F44" s="16">
        <v>1</v>
      </c>
      <c r="G44" s="16">
        <v>0</v>
      </c>
      <c r="H44" s="16">
        <v>1</v>
      </c>
      <c r="I44" s="16">
        <f t="shared" si="3"/>
        <v>2</v>
      </c>
    </row>
    <row r="45" spans="1:11" x14ac:dyDescent="0.3">
      <c r="A45" s="15" t="s">
        <v>14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f t="shared" si="3"/>
        <v>0</v>
      </c>
    </row>
    <row r="46" spans="1:11" x14ac:dyDescent="0.3">
      <c r="A46" s="15" t="s">
        <v>32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f t="shared" si="3"/>
        <v>0</v>
      </c>
    </row>
    <row r="47" spans="1:11" x14ac:dyDescent="0.3">
      <c r="A47" s="15" t="s">
        <v>33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f t="shared" si="3"/>
        <v>0</v>
      </c>
      <c r="K47" s="37">
        <f>F50+'SAFARI VALLEY RESORT'!F52</f>
        <v>67434.887999999992</v>
      </c>
    </row>
    <row r="48" spans="1:11" ht="19.5" thickBot="1" x14ac:dyDescent="0.35">
      <c r="A48" s="30" t="s">
        <v>15</v>
      </c>
      <c r="B48" s="31">
        <f t="shared" ref="B48:H48" si="4">(B39+B38)/B37*100%</f>
        <v>0.15384615384615385</v>
      </c>
      <c r="C48" s="31">
        <f t="shared" si="4"/>
        <v>0.30769230769230771</v>
      </c>
      <c r="D48" s="31">
        <f t="shared" si="4"/>
        <v>0.21153846153846154</v>
      </c>
      <c r="E48" s="31">
        <f t="shared" si="4"/>
        <v>0.5</v>
      </c>
      <c r="F48" s="31">
        <f t="shared" si="4"/>
        <v>0.85185185185185186</v>
      </c>
      <c r="G48" s="31">
        <f t="shared" si="4"/>
        <v>0.90740740740740744</v>
      </c>
      <c r="H48" s="31">
        <f t="shared" si="4"/>
        <v>0.11320754716981132</v>
      </c>
      <c r="I48" s="32">
        <f>(B48+C48+D48+E48+F48+G48+H48)/7</f>
        <v>0.43507767564371341</v>
      </c>
    </row>
    <row r="49" spans="1:9" x14ac:dyDescent="0.3">
      <c r="A49" s="33" t="s">
        <v>16</v>
      </c>
      <c r="B49" s="16"/>
      <c r="C49" s="17"/>
      <c r="D49" s="16"/>
      <c r="E49" s="18"/>
      <c r="F49" s="16"/>
      <c r="G49" s="16"/>
      <c r="H49" s="16"/>
      <c r="I49" s="16"/>
    </row>
    <row r="50" spans="1:9" x14ac:dyDescent="0.3">
      <c r="A50" s="15" t="s">
        <v>34</v>
      </c>
      <c r="B50" s="28">
        <v>1659.9160000000002</v>
      </c>
      <c r="C50" s="28">
        <v>2441.0549999999998</v>
      </c>
      <c r="D50" s="28">
        <v>732.3180000000001</v>
      </c>
      <c r="E50" s="28">
        <v>3173.3830000000003</v>
      </c>
      <c r="F50" s="28">
        <v>2115.5</v>
      </c>
      <c r="G50" s="28">
        <v>1790.105</v>
      </c>
      <c r="H50" s="28">
        <v>2359.6860000000001</v>
      </c>
      <c r="I50" s="19">
        <f>B50+C50+D50+E50+F50+G50+H50</f>
        <v>14271.963</v>
      </c>
    </row>
    <row r="51" spans="1:9" x14ac:dyDescent="0.3">
      <c r="A51" s="15" t="s">
        <v>35</v>
      </c>
      <c r="B51" s="28">
        <v>0</v>
      </c>
      <c r="C51" s="28">
        <v>4093.2450000000008</v>
      </c>
      <c r="D51" s="28">
        <v>4500.0800000000008</v>
      </c>
      <c r="E51" s="28">
        <v>10541.197</v>
      </c>
      <c r="F51" s="28">
        <v>16244.968000000001</v>
      </c>
      <c r="G51" s="28">
        <v>20639.178</v>
      </c>
      <c r="H51" s="28">
        <v>0</v>
      </c>
      <c r="I51" s="19">
        <f>B51+C51+D51+E51+F51+G51+H51</f>
        <v>56018.668000000005</v>
      </c>
    </row>
    <row r="52" spans="1:9" ht="19.5" thickBot="1" x14ac:dyDescent="0.35">
      <c r="A52" s="15" t="s">
        <v>20</v>
      </c>
      <c r="B52" s="28">
        <v>31434.203999999998</v>
      </c>
      <c r="C52" s="28">
        <v>2131.8319999999999</v>
      </c>
      <c r="D52" s="28">
        <v>9536.4040000000005</v>
      </c>
      <c r="E52" s="28">
        <v>6281.6239999999998</v>
      </c>
      <c r="F52" s="28">
        <v>4768.1720000000005</v>
      </c>
      <c r="G52" s="28">
        <v>27671.7</v>
      </c>
      <c r="H52" s="28">
        <v>10040.828000000001</v>
      </c>
      <c r="I52" s="19">
        <f>B52+C52+D52+E52+F52+G52+H52</f>
        <v>91864.763999999996</v>
      </c>
    </row>
    <row r="53" spans="1:9" ht="19.5" thickBot="1" x14ac:dyDescent="0.35">
      <c r="A53" s="34" t="s">
        <v>7</v>
      </c>
      <c r="B53" s="35">
        <f t="shared" ref="B53:I53" si="5">B50+B51+B52</f>
        <v>33094.119999999995</v>
      </c>
      <c r="C53" s="35">
        <f t="shared" si="5"/>
        <v>8666.1320000000014</v>
      </c>
      <c r="D53" s="35">
        <f t="shared" si="5"/>
        <v>14768.802000000001</v>
      </c>
      <c r="E53" s="35">
        <f t="shared" si="5"/>
        <v>19996.203999999998</v>
      </c>
      <c r="F53" s="35">
        <f t="shared" si="5"/>
        <v>23128.639999999999</v>
      </c>
      <c r="G53" s="35">
        <f t="shared" si="5"/>
        <v>50100.983</v>
      </c>
      <c r="H53" s="35">
        <f t="shared" si="5"/>
        <v>12400.514000000001</v>
      </c>
      <c r="I53" s="36">
        <f t="shared" si="5"/>
        <v>162155.39500000002</v>
      </c>
    </row>
    <row r="54" spans="1:9" ht="19.5" thickTop="1" x14ac:dyDescent="0.3">
      <c r="A54" s="16"/>
      <c r="B54" s="19"/>
      <c r="C54" s="19"/>
      <c r="D54" s="19"/>
      <c r="E54" s="19"/>
      <c r="F54" s="19"/>
      <c r="G54" s="19"/>
      <c r="H54" s="19"/>
      <c r="I54" s="19"/>
    </row>
    <row r="55" spans="1:9" x14ac:dyDescent="0.3">
      <c r="A55" s="16"/>
      <c r="B55" s="19"/>
      <c r="C55" s="19"/>
      <c r="D55" s="19"/>
      <c r="E55" s="19"/>
      <c r="F55" s="19"/>
      <c r="G55" s="19"/>
      <c r="H55" s="19"/>
      <c r="I55" s="19"/>
    </row>
    <row r="57" spans="1:9" x14ac:dyDescent="0.3">
      <c r="A57" s="4" t="s">
        <v>39</v>
      </c>
      <c r="B57" s="5" t="s">
        <v>0</v>
      </c>
      <c r="C57" s="5" t="s">
        <v>1</v>
      </c>
      <c r="D57" s="5" t="s">
        <v>2</v>
      </c>
      <c r="E57" s="6" t="s">
        <v>3</v>
      </c>
      <c r="F57" s="5" t="s">
        <v>4</v>
      </c>
      <c r="G57" s="5" t="s">
        <v>5</v>
      </c>
      <c r="H57" s="5" t="s">
        <v>6</v>
      </c>
      <c r="I57" s="5" t="s">
        <v>7</v>
      </c>
    </row>
    <row r="58" spans="1:9" x14ac:dyDescent="0.3">
      <c r="A58" s="7"/>
      <c r="B58" s="8">
        <v>44941</v>
      </c>
      <c r="C58" s="8">
        <v>44942</v>
      </c>
      <c r="D58" s="8">
        <v>44943</v>
      </c>
      <c r="E58" s="8">
        <v>44944</v>
      </c>
      <c r="F58" s="8">
        <v>44945</v>
      </c>
      <c r="G58" s="8">
        <v>44946</v>
      </c>
      <c r="H58" s="8">
        <v>44947</v>
      </c>
      <c r="I58" s="9"/>
    </row>
    <row r="59" spans="1:9" ht="19.5" thickBot="1" x14ac:dyDescent="0.35">
      <c r="A59" s="10" t="s">
        <v>8</v>
      </c>
      <c r="B59" s="11" t="s">
        <v>9</v>
      </c>
      <c r="C59" s="11" t="s">
        <v>9</v>
      </c>
      <c r="D59" s="11" t="s">
        <v>9</v>
      </c>
      <c r="E59" s="11" t="s">
        <v>9</v>
      </c>
      <c r="F59" s="11" t="s">
        <v>9</v>
      </c>
      <c r="G59" s="11" t="s">
        <v>9</v>
      </c>
      <c r="H59" s="11" t="s">
        <v>9</v>
      </c>
      <c r="I59" s="12" t="s">
        <v>9</v>
      </c>
    </row>
    <row r="60" spans="1:9" x14ac:dyDescent="0.3">
      <c r="A60" s="13" t="s">
        <v>10</v>
      </c>
      <c r="B60" s="14">
        <v>54</v>
      </c>
      <c r="C60" s="14">
        <v>54</v>
      </c>
      <c r="D60" s="14">
        <v>53</v>
      </c>
      <c r="E60" s="14">
        <v>53</v>
      </c>
      <c r="F60" s="14">
        <v>53</v>
      </c>
      <c r="G60" s="14">
        <v>53</v>
      </c>
      <c r="H60" s="14">
        <v>53</v>
      </c>
      <c r="I60" s="14"/>
    </row>
    <row r="61" spans="1:9" x14ac:dyDescent="0.3">
      <c r="A61" s="15" t="s">
        <v>11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1</v>
      </c>
      <c r="H61" s="16">
        <v>2</v>
      </c>
      <c r="I61" s="16">
        <f>SUM(B61:H61)</f>
        <v>3</v>
      </c>
    </row>
    <row r="62" spans="1:9" x14ac:dyDescent="0.3">
      <c r="A62" s="15" t="s">
        <v>12</v>
      </c>
      <c r="B62" s="16">
        <v>5</v>
      </c>
      <c r="C62" s="16">
        <v>5</v>
      </c>
      <c r="D62" s="16">
        <v>23</v>
      </c>
      <c r="E62" s="16">
        <v>35</v>
      </c>
      <c r="F62" s="16">
        <v>47</v>
      </c>
      <c r="G62" s="16">
        <v>20</v>
      </c>
      <c r="H62" s="16">
        <v>3</v>
      </c>
      <c r="I62" s="16">
        <f>SUM(B62:H62)</f>
        <v>138</v>
      </c>
    </row>
    <row r="63" spans="1:9" x14ac:dyDescent="0.3">
      <c r="A63" s="15" t="s">
        <v>30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f>SUM(B63:H63)</f>
        <v>0</v>
      </c>
    </row>
    <row r="64" spans="1:9" x14ac:dyDescent="0.3">
      <c r="A64" s="15" t="s">
        <v>28</v>
      </c>
      <c r="B64" s="16">
        <v>2</v>
      </c>
      <c r="C64" s="16">
        <v>13</v>
      </c>
      <c r="D64" s="16">
        <v>71</v>
      </c>
      <c r="E64" s="16">
        <v>13</v>
      </c>
      <c r="F64" s="16">
        <v>40</v>
      </c>
      <c r="G64" s="16">
        <v>55</v>
      </c>
      <c r="H64" s="16">
        <v>31</v>
      </c>
      <c r="I64" s="16">
        <f t="shared" ref="I64:I70" si="6">B64+C64+D64+E64+F64+G64+H64</f>
        <v>225</v>
      </c>
    </row>
    <row r="65" spans="1:9" x14ac:dyDescent="0.3">
      <c r="A65" s="15" t="s">
        <v>29</v>
      </c>
      <c r="B65" s="16">
        <v>0</v>
      </c>
      <c r="C65" s="16">
        <v>2</v>
      </c>
      <c r="D65" s="16">
        <v>0</v>
      </c>
      <c r="E65" s="16">
        <v>2</v>
      </c>
      <c r="F65" s="16">
        <v>4</v>
      </c>
      <c r="G65" s="16">
        <v>13</v>
      </c>
      <c r="H65" s="16">
        <v>4</v>
      </c>
      <c r="I65" s="16">
        <f t="shared" si="6"/>
        <v>25</v>
      </c>
    </row>
    <row r="66" spans="1:9" x14ac:dyDescent="0.3">
      <c r="A66" s="15" t="s">
        <v>31</v>
      </c>
      <c r="B66" s="16">
        <v>4</v>
      </c>
      <c r="C66" s="16">
        <v>0</v>
      </c>
      <c r="D66" s="16">
        <v>2</v>
      </c>
      <c r="E66" s="16">
        <v>1</v>
      </c>
      <c r="F66" s="16">
        <v>2</v>
      </c>
      <c r="G66" s="16">
        <v>3</v>
      </c>
      <c r="H66" s="16">
        <v>1</v>
      </c>
      <c r="I66" s="16">
        <f t="shared" si="6"/>
        <v>13</v>
      </c>
    </row>
    <row r="67" spans="1:9" x14ac:dyDescent="0.3">
      <c r="A67" s="15" t="s">
        <v>13</v>
      </c>
      <c r="B67" s="16">
        <v>9</v>
      </c>
      <c r="C67" s="16">
        <v>19</v>
      </c>
      <c r="D67" s="16">
        <v>0</v>
      </c>
      <c r="E67" s="16">
        <v>0</v>
      </c>
      <c r="F67" s="16">
        <v>4</v>
      </c>
      <c r="G67" s="16">
        <v>1</v>
      </c>
      <c r="H67" s="16">
        <v>4</v>
      </c>
      <c r="I67" s="16">
        <f t="shared" si="6"/>
        <v>37</v>
      </c>
    </row>
    <row r="68" spans="1:9" x14ac:dyDescent="0.3">
      <c r="A68" s="15" t="s">
        <v>14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f t="shared" si="6"/>
        <v>0</v>
      </c>
    </row>
    <row r="69" spans="1:9" x14ac:dyDescent="0.3">
      <c r="A69" s="15" t="s">
        <v>32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f t="shared" si="6"/>
        <v>0</v>
      </c>
    </row>
    <row r="70" spans="1:9" x14ac:dyDescent="0.3">
      <c r="A70" s="15" t="s">
        <v>33</v>
      </c>
      <c r="B70" s="16">
        <v>0</v>
      </c>
      <c r="C70" s="16">
        <v>0</v>
      </c>
      <c r="D70" s="16">
        <v>0</v>
      </c>
      <c r="E70" s="16">
        <v>15</v>
      </c>
      <c r="F70" s="16">
        <v>12</v>
      </c>
      <c r="G70" s="16">
        <v>0</v>
      </c>
      <c r="H70" s="16">
        <v>0</v>
      </c>
      <c r="I70" s="16">
        <f t="shared" si="6"/>
        <v>27</v>
      </c>
    </row>
    <row r="71" spans="1:9" ht="19.5" thickBot="1" x14ac:dyDescent="0.35">
      <c r="A71" s="30" t="s">
        <v>15</v>
      </c>
      <c r="B71" s="31">
        <f t="shared" ref="B71:H71" si="7">(B62+B61)/B60*100%</f>
        <v>9.2592592592592587E-2</v>
      </c>
      <c r="C71" s="31">
        <f t="shared" si="7"/>
        <v>9.2592592592592587E-2</v>
      </c>
      <c r="D71" s="31">
        <f t="shared" si="7"/>
        <v>0.43396226415094341</v>
      </c>
      <c r="E71" s="31">
        <f t="shared" si="7"/>
        <v>0.660377358490566</v>
      </c>
      <c r="F71" s="31">
        <f t="shared" si="7"/>
        <v>0.8867924528301887</v>
      </c>
      <c r="G71" s="31">
        <f t="shared" si="7"/>
        <v>0.39622641509433965</v>
      </c>
      <c r="H71" s="31">
        <f t="shared" si="7"/>
        <v>9.4339622641509441E-2</v>
      </c>
      <c r="I71" s="32">
        <f>(B71+C71+D71+E71+F71+G71+H71)/7</f>
        <v>0.37955475691324753</v>
      </c>
    </row>
    <row r="72" spans="1:9" x14ac:dyDescent="0.3">
      <c r="A72" s="33" t="s">
        <v>16</v>
      </c>
      <c r="B72" s="16"/>
      <c r="C72" s="17"/>
      <c r="D72" s="16"/>
      <c r="E72" s="18"/>
      <c r="F72" s="16"/>
      <c r="G72" s="16"/>
      <c r="H72" s="16"/>
      <c r="I72" s="16"/>
    </row>
    <row r="73" spans="1:9" x14ac:dyDescent="0.3">
      <c r="A73" s="15" t="s">
        <v>34</v>
      </c>
      <c r="B73" s="28">
        <v>3783.6330000000003</v>
      </c>
      <c r="C73" s="28">
        <v>3987.056</v>
      </c>
      <c r="D73" s="28">
        <v>813.66</v>
      </c>
      <c r="E73" s="28">
        <v>1220.53</v>
      </c>
      <c r="F73" s="28">
        <v>3173.37</v>
      </c>
      <c r="G73" s="28">
        <v>5370.32</v>
      </c>
      <c r="H73" s="28">
        <v>2099.31</v>
      </c>
      <c r="I73" s="19">
        <f>B73+C73+D73+E73+F73+G73+H73</f>
        <v>20447.879000000001</v>
      </c>
    </row>
    <row r="74" spans="1:9" x14ac:dyDescent="0.3">
      <c r="A74" s="15" t="s">
        <v>35</v>
      </c>
      <c r="B74" s="28">
        <v>0</v>
      </c>
      <c r="C74" s="28">
        <v>0</v>
      </c>
      <c r="D74" s="28">
        <v>9960.18</v>
      </c>
      <c r="E74" s="28">
        <v>15725.29</v>
      </c>
      <c r="F74" s="28">
        <v>22129.64</v>
      </c>
      <c r="G74" s="28">
        <v>5600.1</v>
      </c>
      <c r="H74" s="28">
        <v>0</v>
      </c>
      <c r="I74" s="19">
        <f>B74+C74+D74+E74+F74+G74+H74</f>
        <v>53415.21</v>
      </c>
    </row>
    <row r="75" spans="1:9" ht="19.5" thickBot="1" x14ac:dyDescent="0.35">
      <c r="A75" s="15" t="s">
        <v>20</v>
      </c>
      <c r="B75" s="28">
        <v>1904.0040000000001</v>
      </c>
      <c r="C75" s="28">
        <v>5223.8480000000009</v>
      </c>
      <c r="D75" s="28">
        <v>11580.33</v>
      </c>
      <c r="E75" s="28">
        <v>15027.31</v>
      </c>
      <c r="F75" s="28">
        <v>14001.88</v>
      </c>
      <c r="G75" s="28">
        <v>12771.52</v>
      </c>
      <c r="H75" s="28">
        <v>7453.31</v>
      </c>
      <c r="I75" s="19">
        <f>B75+C75+D75+E75+F75+G75+H75</f>
        <v>67962.20199999999</v>
      </c>
    </row>
    <row r="76" spans="1:9" ht="19.5" thickBot="1" x14ac:dyDescent="0.35">
      <c r="A76" s="34" t="s">
        <v>7</v>
      </c>
      <c r="B76" s="35">
        <f t="shared" ref="B76:I76" si="8">B73+B74+B75</f>
        <v>5687.6370000000006</v>
      </c>
      <c r="C76" s="35">
        <f t="shared" si="8"/>
        <v>9210.9040000000005</v>
      </c>
      <c r="D76" s="35">
        <f t="shared" si="8"/>
        <v>22354.17</v>
      </c>
      <c r="E76" s="35">
        <f t="shared" si="8"/>
        <v>31973.129999999997</v>
      </c>
      <c r="F76" s="35">
        <f t="shared" si="8"/>
        <v>39304.89</v>
      </c>
      <c r="G76" s="35">
        <f t="shared" si="8"/>
        <v>23741.940000000002</v>
      </c>
      <c r="H76" s="35">
        <f t="shared" si="8"/>
        <v>9552.6200000000008</v>
      </c>
      <c r="I76" s="36">
        <f t="shared" si="8"/>
        <v>141825.291</v>
      </c>
    </row>
    <row r="77" spans="1:9" ht="19.5" thickTop="1" x14ac:dyDescent="0.3">
      <c r="A77" s="16"/>
      <c r="B77" s="19"/>
      <c r="C77" s="19"/>
      <c r="D77" s="19"/>
      <c r="E77" s="19"/>
      <c r="F77" s="19"/>
      <c r="G77" s="19"/>
      <c r="H77" s="19"/>
      <c r="I77" s="19"/>
    </row>
    <row r="78" spans="1:9" x14ac:dyDescent="0.3">
      <c r="A78" s="16"/>
      <c r="B78" s="19"/>
      <c r="C78" s="19"/>
      <c r="D78" s="19"/>
      <c r="E78" s="19"/>
      <c r="F78" s="19"/>
      <c r="G78" s="19"/>
      <c r="H78" s="19"/>
      <c r="I78" s="19"/>
    </row>
    <row r="80" spans="1:9" x14ac:dyDescent="0.3">
      <c r="A80" s="4" t="s">
        <v>40</v>
      </c>
      <c r="B80" s="5" t="s">
        <v>0</v>
      </c>
      <c r="C80" s="5" t="s">
        <v>1</v>
      </c>
      <c r="D80" s="5" t="s">
        <v>2</v>
      </c>
      <c r="E80" s="6" t="s">
        <v>3</v>
      </c>
      <c r="F80" s="5" t="s">
        <v>4</v>
      </c>
      <c r="G80" s="5" t="s">
        <v>5</v>
      </c>
      <c r="H80" s="5" t="s">
        <v>6</v>
      </c>
      <c r="I80" s="5" t="s">
        <v>7</v>
      </c>
    </row>
    <row r="81" spans="1:9" x14ac:dyDescent="0.3">
      <c r="A81" s="7"/>
      <c r="B81" s="8">
        <v>44948</v>
      </c>
      <c r="C81" s="8">
        <v>44949</v>
      </c>
      <c r="D81" s="8">
        <v>44950</v>
      </c>
      <c r="E81" s="8">
        <v>44951</v>
      </c>
      <c r="F81" s="8">
        <v>44952</v>
      </c>
      <c r="G81" s="8">
        <v>44953</v>
      </c>
      <c r="H81" s="8">
        <v>44954</v>
      </c>
      <c r="I81" s="9"/>
    </row>
    <row r="82" spans="1:9" ht="19.5" thickBot="1" x14ac:dyDescent="0.35">
      <c r="A82" s="10" t="s">
        <v>8</v>
      </c>
      <c r="B82" s="11" t="s">
        <v>9</v>
      </c>
      <c r="C82" s="11" t="s">
        <v>9</v>
      </c>
      <c r="D82" s="11" t="s">
        <v>9</v>
      </c>
      <c r="E82" s="11" t="s">
        <v>9</v>
      </c>
      <c r="F82" s="11" t="s">
        <v>9</v>
      </c>
      <c r="G82" s="11" t="s">
        <v>9</v>
      </c>
      <c r="H82" s="11" t="s">
        <v>9</v>
      </c>
      <c r="I82" s="12" t="s">
        <v>9</v>
      </c>
    </row>
    <row r="83" spans="1:9" x14ac:dyDescent="0.3">
      <c r="A83" s="13" t="s">
        <v>10</v>
      </c>
      <c r="B83" s="14">
        <v>54</v>
      </c>
      <c r="C83" s="14">
        <v>54</v>
      </c>
      <c r="D83" s="14">
        <v>53</v>
      </c>
      <c r="E83" s="14">
        <v>53</v>
      </c>
      <c r="F83" s="14">
        <v>53</v>
      </c>
      <c r="G83" s="14">
        <v>53</v>
      </c>
      <c r="H83" s="14">
        <v>54</v>
      </c>
      <c r="I83" s="14"/>
    </row>
    <row r="84" spans="1:9" x14ac:dyDescent="0.3">
      <c r="A84" s="15" t="s">
        <v>11</v>
      </c>
      <c r="B84" s="16">
        <v>1</v>
      </c>
      <c r="C84" s="16">
        <v>0</v>
      </c>
      <c r="D84" s="16">
        <v>0</v>
      </c>
      <c r="E84" s="16">
        <v>0</v>
      </c>
      <c r="F84" s="16">
        <v>2</v>
      </c>
      <c r="G84" s="16">
        <v>2</v>
      </c>
      <c r="H84" s="16">
        <v>0</v>
      </c>
      <c r="I84" s="16">
        <f>SUM(B84:H84)</f>
        <v>5</v>
      </c>
    </row>
    <row r="85" spans="1:9" x14ac:dyDescent="0.3">
      <c r="A85" s="15" t="s">
        <v>12</v>
      </c>
      <c r="B85" s="16">
        <v>3</v>
      </c>
      <c r="C85" s="16">
        <v>4</v>
      </c>
      <c r="D85" s="16">
        <v>35</v>
      </c>
      <c r="E85" s="16">
        <v>37</v>
      </c>
      <c r="F85" s="16">
        <v>40</v>
      </c>
      <c r="G85" s="16">
        <v>15</v>
      </c>
      <c r="H85" s="16">
        <v>49</v>
      </c>
      <c r="I85" s="16">
        <f>SUM(B85:H85)</f>
        <v>183</v>
      </c>
    </row>
    <row r="86" spans="1:9" x14ac:dyDescent="0.3">
      <c r="A86" s="15" t="s">
        <v>30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f>SUM(B86:H86)</f>
        <v>0</v>
      </c>
    </row>
    <row r="87" spans="1:9" x14ac:dyDescent="0.3">
      <c r="A87" s="15" t="s">
        <v>28</v>
      </c>
      <c r="B87" s="16">
        <v>6</v>
      </c>
      <c r="C87" s="16">
        <v>26</v>
      </c>
      <c r="D87" s="16">
        <v>35</v>
      </c>
      <c r="E87" s="16">
        <v>13</v>
      </c>
      <c r="F87" s="16">
        <v>61</v>
      </c>
      <c r="G87" s="16">
        <v>76</v>
      </c>
      <c r="H87" s="16">
        <v>23</v>
      </c>
      <c r="I87" s="16">
        <f t="shared" ref="I87:I93" si="9">B87+C87+D87+E87+F87+G87+H87</f>
        <v>240</v>
      </c>
    </row>
    <row r="88" spans="1:9" x14ac:dyDescent="0.3">
      <c r="A88" s="15" t="s">
        <v>29</v>
      </c>
      <c r="B88" s="16">
        <v>0</v>
      </c>
      <c r="C88" s="16">
        <v>0</v>
      </c>
      <c r="D88" s="16">
        <v>0</v>
      </c>
      <c r="E88" s="16">
        <v>1</v>
      </c>
      <c r="F88" s="16">
        <v>0</v>
      </c>
      <c r="G88" s="16">
        <v>17</v>
      </c>
      <c r="H88" s="16">
        <v>4</v>
      </c>
      <c r="I88" s="16">
        <f t="shared" si="9"/>
        <v>22</v>
      </c>
    </row>
    <row r="89" spans="1:9" x14ac:dyDescent="0.3">
      <c r="A89" s="15" t="s">
        <v>31</v>
      </c>
      <c r="B89" s="16">
        <v>0</v>
      </c>
      <c r="C89" s="16">
        <v>0</v>
      </c>
      <c r="D89" s="16">
        <v>0</v>
      </c>
      <c r="E89" s="16">
        <v>3</v>
      </c>
      <c r="F89" s="16">
        <v>3</v>
      </c>
      <c r="G89" s="16">
        <v>3</v>
      </c>
      <c r="H89" s="16">
        <v>1</v>
      </c>
      <c r="I89" s="16">
        <f t="shared" si="9"/>
        <v>10</v>
      </c>
    </row>
    <row r="90" spans="1:9" x14ac:dyDescent="0.3">
      <c r="A90" s="15" t="s">
        <v>13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2</v>
      </c>
      <c r="H90" s="16">
        <v>0</v>
      </c>
      <c r="I90" s="16">
        <f t="shared" si="9"/>
        <v>2</v>
      </c>
    </row>
    <row r="91" spans="1:9" x14ac:dyDescent="0.3">
      <c r="A91" s="15" t="s">
        <v>14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f t="shared" si="9"/>
        <v>0</v>
      </c>
    </row>
    <row r="92" spans="1:9" x14ac:dyDescent="0.3">
      <c r="A92" s="15" t="s">
        <v>32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f t="shared" si="9"/>
        <v>0</v>
      </c>
    </row>
    <row r="93" spans="1:9" x14ac:dyDescent="0.3">
      <c r="A93" s="15" t="s">
        <v>33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f t="shared" si="9"/>
        <v>0</v>
      </c>
    </row>
    <row r="94" spans="1:9" ht="19.5" thickBot="1" x14ac:dyDescent="0.35">
      <c r="A94" s="30" t="s">
        <v>15</v>
      </c>
      <c r="B94" s="31">
        <f t="shared" ref="B94:H94" si="10">(B85+B84)/B83*100%</f>
        <v>7.407407407407407E-2</v>
      </c>
      <c r="C94" s="31">
        <f t="shared" si="10"/>
        <v>7.407407407407407E-2</v>
      </c>
      <c r="D94" s="31">
        <f t="shared" si="10"/>
        <v>0.660377358490566</v>
      </c>
      <c r="E94" s="31">
        <f t="shared" si="10"/>
        <v>0.69811320754716977</v>
      </c>
      <c r="F94" s="31">
        <f t="shared" si="10"/>
        <v>0.79245283018867929</v>
      </c>
      <c r="G94" s="31">
        <f t="shared" si="10"/>
        <v>0.32075471698113206</v>
      </c>
      <c r="H94" s="31">
        <f t="shared" si="10"/>
        <v>0.90740740740740744</v>
      </c>
      <c r="I94" s="32">
        <f>(B94+C94+D94+E94+F94+G94+H94)/7</f>
        <v>0.50389338125187177</v>
      </c>
    </row>
    <row r="95" spans="1:9" x14ac:dyDescent="0.3">
      <c r="A95" s="33" t="s">
        <v>16</v>
      </c>
      <c r="B95" s="16"/>
      <c r="C95" s="17"/>
      <c r="D95" s="16"/>
      <c r="E95" s="18"/>
      <c r="F95" s="16"/>
      <c r="G95" s="16"/>
      <c r="H95" s="16"/>
      <c r="I95" s="16"/>
    </row>
    <row r="96" spans="1:9" x14ac:dyDescent="0.3">
      <c r="A96" s="15" t="s">
        <v>34</v>
      </c>
      <c r="B96" s="28">
        <v>1936.57</v>
      </c>
      <c r="C96" s="28">
        <v>2858.75</v>
      </c>
      <c r="D96" s="28">
        <v>1383.27</v>
      </c>
      <c r="E96" s="28">
        <v>1692.47</v>
      </c>
      <c r="F96" s="28">
        <v>3742.95</v>
      </c>
      <c r="G96" s="28">
        <v>5777.16</v>
      </c>
      <c r="H96" s="28">
        <v>813.68500000000006</v>
      </c>
      <c r="I96" s="19">
        <f>B96+C96+D96+E96+F96+G96+H96</f>
        <v>18204.855</v>
      </c>
    </row>
    <row r="97" spans="1:9" x14ac:dyDescent="0.3">
      <c r="A97" s="15" t="s">
        <v>35</v>
      </c>
      <c r="B97" s="28">
        <v>0</v>
      </c>
      <c r="C97" s="28">
        <v>0</v>
      </c>
      <c r="D97" s="28">
        <v>13125.24</v>
      </c>
      <c r="E97" s="28">
        <v>14625.27</v>
      </c>
      <c r="F97" s="28">
        <v>14535.05</v>
      </c>
      <c r="G97" s="28">
        <v>2426.5</v>
      </c>
      <c r="H97" s="28">
        <v>12024.653</v>
      </c>
      <c r="I97" s="19">
        <f>B97+C97+D97+E97+F97+G97+H97</f>
        <v>56736.712999999996</v>
      </c>
    </row>
    <row r="98" spans="1:9" ht="19.5" thickBot="1" x14ac:dyDescent="0.35">
      <c r="A98" s="15" t="s">
        <v>20</v>
      </c>
      <c r="B98" s="28">
        <v>1057.8</v>
      </c>
      <c r="C98" s="28">
        <v>5354.04</v>
      </c>
      <c r="D98" s="28">
        <v>6791.01</v>
      </c>
      <c r="E98" s="28">
        <v>3173.37</v>
      </c>
      <c r="F98" s="28">
        <v>11928.62</v>
      </c>
      <c r="G98" s="28">
        <v>17901.009999999998</v>
      </c>
      <c r="H98" s="28">
        <v>5305.2120000000004</v>
      </c>
      <c r="I98" s="19">
        <f>B98+C98+D98+E98+F98+G98+H98</f>
        <v>51511.062000000005</v>
      </c>
    </row>
    <row r="99" spans="1:9" ht="19.5" thickBot="1" x14ac:dyDescent="0.35">
      <c r="A99" s="34" t="s">
        <v>7</v>
      </c>
      <c r="B99" s="35">
        <f t="shared" ref="B99:I99" si="11">B96+B97+B98</f>
        <v>2994.37</v>
      </c>
      <c r="C99" s="35">
        <f t="shared" si="11"/>
        <v>8212.7900000000009</v>
      </c>
      <c r="D99" s="35">
        <f t="shared" si="11"/>
        <v>21299.52</v>
      </c>
      <c r="E99" s="35">
        <f t="shared" si="11"/>
        <v>19491.11</v>
      </c>
      <c r="F99" s="35">
        <f t="shared" si="11"/>
        <v>30206.620000000003</v>
      </c>
      <c r="G99" s="35">
        <f t="shared" si="11"/>
        <v>26104.67</v>
      </c>
      <c r="H99" s="35">
        <f t="shared" si="11"/>
        <v>18143.55</v>
      </c>
      <c r="I99" s="36">
        <f t="shared" si="11"/>
        <v>126452.63</v>
      </c>
    </row>
    <row r="100" spans="1:9" ht="19.5" thickTop="1" x14ac:dyDescent="0.3">
      <c r="A100" s="16"/>
      <c r="B100" s="19"/>
      <c r="C100" s="19"/>
      <c r="D100" s="19"/>
      <c r="E100" s="19"/>
      <c r="F100" s="19"/>
      <c r="G100" s="19"/>
      <c r="H100" s="19"/>
      <c r="I100" s="19"/>
    </row>
    <row r="101" spans="1:9" x14ac:dyDescent="0.3">
      <c r="A101" s="16"/>
      <c r="B101" s="19"/>
      <c r="C101" s="19"/>
      <c r="D101" s="19"/>
      <c r="E101" s="19"/>
      <c r="F101" s="19"/>
      <c r="G101" s="19"/>
      <c r="H101" s="19"/>
      <c r="I101" s="19"/>
    </row>
    <row r="103" spans="1:9" x14ac:dyDescent="0.3">
      <c r="A103" s="4" t="s">
        <v>41</v>
      </c>
      <c r="B103" s="5" t="s">
        <v>0</v>
      </c>
      <c r="C103" s="5" t="s">
        <v>1</v>
      </c>
      <c r="D103" s="5" t="s">
        <v>2</v>
      </c>
      <c r="E103" s="6" t="s">
        <v>3</v>
      </c>
      <c r="F103" s="5" t="s">
        <v>4</v>
      </c>
      <c r="G103" s="5" t="s">
        <v>5</v>
      </c>
      <c r="H103" s="5" t="s">
        <v>6</v>
      </c>
      <c r="I103" s="5" t="s">
        <v>7</v>
      </c>
    </row>
    <row r="104" spans="1:9" x14ac:dyDescent="0.3">
      <c r="A104" s="7"/>
      <c r="B104" s="8">
        <v>44955</v>
      </c>
      <c r="C104" s="8">
        <v>44956</v>
      </c>
      <c r="D104" s="8">
        <v>44957</v>
      </c>
      <c r="E104" s="8">
        <v>44958</v>
      </c>
      <c r="F104" s="8">
        <v>44959</v>
      </c>
      <c r="G104" s="8">
        <v>44960</v>
      </c>
      <c r="H104" s="8">
        <v>44961</v>
      </c>
      <c r="I104" s="9"/>
    </row>
    <row r="105" spans="1:9" ht="19.5" thickBot="1" x14ac:dyDescent="0.35">
      <c r="A105" s="10" t="s">
        <v>8</v>
      </c>
      <c r="B105" s="11" t="s">
        <v>9</v>
      </c>
      <c r="C105" s="11" t="s">
        <v>9</v>
      </c>
      <c r="D105" s="11" t="s">
        <v>9</v>
      </c>
      <c r="E105" s="11" t="s">
        <v>9</v>
      </c>
      <c r="F105" s="11" t="s">
        <v>9</v>
      </c>
      <c r="G105" s="11" t="s">
        <v>9</v>
      </c>
      <c r="H105" s="11" t="s">
        <v>9</v>
      </c>
      <c r="I105" s="12" t="s">
        <v>9</v>
      </c>
    </row>
    <row r="106" spans="1:9" x14ac:dyDescent="0.3">
      <c r="A106" s="13" t="s">
        <v>10</v>
      </c>
      <c r="B106" s="14">
        <v>54</v>
      </c>
      <c r="C106" s="14">
        <v>54</v>
      </c>
      <c r="D106" s="14">
        <v>54</v>
      </c>
      <c r="E106" s="14">
        <v>54</v>
      </c>
      <c r="F106" s="14">
        <v>54</v>
      </c>
      <c r="G106" s="14">
        <v>54</v>
      </c>
      <c r="H106" s="14">
        <v>54</v>
      </c>
      <c r="I106" s="14"/>
    </row>
    <row r="107" spans="1:9" x14ac:dyDescent="0.3">
      <c r="A107" s="15" t="s">
        <v>11</v>
      </c>
      <c r="B107" s="16">
        <v>0</v>
      </c>
      <c r="C107" s="16">
        <v>1</v>
      </c>
      <c r="D107" s="16">
        <v>1</v>
      </c>
      <c r="E107" s="16">
        <v>0</v>
      </c>
      <c r="F107" s="16">
        <v>0</v>
      </c>
      <c r="G107" s="16">
        <v>0</v>
      </c>
      <c r="H107" s="16">
        <v>3</v>
      </c>
      <c r="I107" s="16">
        <f>SUM(B107:H107)</f>
        <v>5</v>
      </c>
    </row>
    <row r="108" spans="1:9" x14ac:dyDescent="0.3">
      <c r="A108" s="15" t="s">
        <v>12</v>
      </c>
      <c r="B108" s="16">
        <v>49</v>
      </c>
      <c r="C108" s="16">
        <v>49</v>
      </c>
      <c r="D108" s="16">
        <v>50</v>
      </c>
      <c r="E108" s="16">
        <v>0</v>
      </c>
      <c r="F108" s="16">
        <v>4</v>
      </c>
      <c r="G108" s="16">
        <v>10</v>
      </c>
      <c r="H108" s="16">
        <v>4</v>
      </c>
      <c r="I108" s="16">
        <f>SUM(B108:H108)</f>
        <v>166</v>
      </c>
    </row>
    <row r="109" spans="1:9" x14ac:dyDescent="0.3">
      <c r="A109" s="15" t="s">
        <v>30</v>
      </c>
      <c r="B109" s="16">
        <v>0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f>SUM(B109:H109)</f>
        <v>0</v>
      </c>
    </row>
    <row r="110" spans="1:9" x14ac:dyDescent="0.3">
      <c r="A110" s="15" t="s">
        <v>28</v>
      </c>
      <c r="B110" s="16">
        <v>5</v>
      </c>
      <c r="C110" s="16">
        <v>26</v>
      </c>
      <c r="D110" s="16">
        <v>16</v>
      </c>
      <c r="E110" s="16">
        <v>10</v>
      </c>
      <c r="F110" s="16">
        <v>29</v>
      </c>
      <c r="G110" s="16">
        <v>104</v>
      </c>
      <c r="H110" s="16">
        <v>39</v>
      </c>
      <c r="I110" s="16">
        <f t="shared" ref="I110:I116" si="12">B110+C110+D110+E110+F110+G110+H110</f>
        <v>229</v>
      </c>
    </row>
    <row r="111" spans="1:9" x14ac:dyDescent="0.3">
      <c r="A111" s="15" t="s">
        <v>29</v>
      </c>
      <c r="B111" s="16">
        <v>0</v>
      </c>
      <c r="C111" s="16">
        <v>0</v>
      </c>
      <c r="D111" s="16">
        <v>0</v>
      </c>
      <c r="E111" s="16">
        <v>0</v>
      </c>
      <c r="F111" s="16">
        <v>0</v>
      </c>
      <c r="G111" s="16">
        <v>15</v>
      </c>
      <c r="H111" s="16">
        <v>6</v>
      </c>
      <c r="I111" s="16">
        <f t="shared" si="12"/>
        <v>21</v>
      </c>
    </row>
    <row r="112" spans="1:9" x14ac:dyDescent="0.3">
      <c r="A112" s="15" t="s">
        <v>31</v>
      </c>
      <c r="B112" s="16">
        <v>0</v>
      </c>
      <c r="C112" s="16">
        <v>0</v>
      </c>
      <c r="D112" s="16">
        <v>0</v>
      </c>
      <c r="E112" s="16">
        <v>0</v>
      </c>
      <c r="F112" s="16">
        <v>0</v>
      </c>
      <c r="G112" s="16">
        <v>8</v>
      </c>
      <c r="H112" s="16">
        <v>0</v>
      </c>
      <c r="I112" s="16">
        <f t="shared" si="12"/>
        <v>8</v>
      </c>
    </row>
    <row r="113" spans="1:11" x14ac:dyDescent="0.3">
      <c r="A113" s="15" t="s">
        <v>13</v>
      </c>
      <c r="B113" s="16">
        <v>0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1</v>
      </c>
      <c r="I113" s="16">
        <f t="shared" si="12"/>
        <v>1</v>
      </c>
    </row>
    <row r="114" spans="1:11" x14ac:dyDescent="0.3">
      <c r="A114" s="15" t="s">
        <v>14</v>
      </c>
      <c r="B114" s="16">
        <v>0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f t="shared" si="12"/>
        <v>0</v>
      </c>
    </row>
    <row r="115" spans="1:11" x14ac:dyDescent="0.3">
      <c r="A115" s="15" t="s">
        <v>32</v>
      </c>
      <c r="B115" s="16">
        <v>0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f t="shared" si="12"/>
        <v>0</v>
      </c>
    </row>
    <row r="116" spans="1:11" x14ac:dyDescent="0.3">
      <c r="A116" s="15" t="s">
        <v>33</v>
      </c>
      <c r="B116" s="16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f t="shared" si="12"/>
        <v>0</v>
      </c>
    </row>
    <row r="117" spans="1:11" ht="19.5" thickBot="1" x14ac:dyDescent="0.35">
      <c r="A117" s="30" t="s">
        <v>15</v>
      </c>
      <c r="B117" s="31">
        <f t="shared" ref="B117:H117" si="13">(B108+B107)/B106*100%</f>
        <v>0.90740740740740744</v>
      </c>
      <c r="C117" s="31">
        <f t="shared" si="13"/>
        <v>0.92592592592592593</v>
      </c>
      <c r="D117" s="31">
        <f t="shared" si="13"/>
        <v>0.94444444444444442</v>
      </c>
      <c r="E117" s="31">
        <f t="shared" si="13"/>
        <v>0</v>
      </c>
      <c r="F117" s="31">
        <f t="shared" si="13"/>
        <v>7.407407407407407E-2</v>
      </c>
      <c r="G117" s="31">
        <f t="shared" si="13"/>
        <v>0.18518518518518517</v>
      </c>
      <c r="H117" s="31">
        <f t="shared" si="13"/>
        <v>0.12962962962962962</v>
      </c>
      <c r="I117" s="32">
        <f>(B117+C117+D117+E117+F117+G117+H117)/7</f>
        <v>0.45238095238095238</v>
      </c>
      <c r="K117" s="37"/>
    </row>
    <row r="118" spans="1:11" x14ac:dyDescent="0.3">
      <c r="A118" s="33" t="s">
        <v>16</v>
      </c>
      <c r="B118" s="16"/>
      <c r="C118" s="17"/>
      <c r="D118" s="16"/>
      <c r="E118" s="18"/>
      <c r="F118" s="16"/>
      <c r="G118" s="16"/>
      <c r="H118" s="16"/>
      <c r="I118" s="16"/>
    </row>
    <row r="119" spans="1:11" x14ac:dyDescent="0.3">
      <c r="A119" s="15" t="s">
        <v>34</v>
      </c>
      <c r="B119" s="28">
        <v>0</v>
      </c>
      <c r="C119" s="28">
        <v>0</v>
      </c>
      <c r="D119" s="28">
        <v>0</v>
      </c>
      <c r="E119" s="28">
        <v>0</v>
      </c>
      <c r="F119" s="28">
        <v>3987.0550000000003</v>
      </c>
      <c r="G119" s="28">
        <v>6929.8270000000011</v>
      </c>
      <c r="H119" s="28">
        <v>2685.16</v>
      </c>
      <c r="I119" s="19">
        <f>B119+C119+D119+E119+F119+G119+H119</f>
        <v>13602.042000000001</v>
      </c>
      <c r="K119" s="29">
        <f t="shared" ref="K119:K121" si="14">D119+C119+B119+I96+I73+I50+I27</f>
        <v>172455.33799999999</v>
      </c>
    </row>
    <row r="120" spans="1:11" x14ac:dyDescent="0.3">
      <c r="A120" s="15" t="s">
        <v>35</v>
      </c>
      <c r="B120" s="28">
        <v>11926.577000000001</v>
      </c>
      <c r="C120" s="28">
        <v>12219.505000000001</v>
      </c>
      <c r="D120" s="28">
        <v>11970.113000000001</v>
      </c>
      <c r="E120" s="28">
        <v>0</v>
      </c>
      <c r="F120" s="28">
        <v>0</v>
      </c>
      <c r="G120" s="28">
        <v>0</v>
      </c>
      <c r="H120" s="28">
        <v>0</v>
      </c>
      <c r="I120" s="19">
        <f>B120+C120+D120+E120+F120+G120+H120</f>
        <v>36116.195000000007</v>
      </c>
      <c r="K120" s="29">
        <f t="shared" si="14"/>
        <v>218677.79399999999</v>
      </c>
    </row>
    <row r="121" spans="1:11" ht="19.5" thickBot="1" x14ac:dyDescent="0.35">
      <c r="A121" s="15" t="s">
        <v>20</v>
      </c>
      <c r="B121" s="28">
        <v>1057.7840000000001</v>
      </c>
      <c r="C121" s="28">
        <v>3659.9519999999998</v>
      </c>
      <c r="D121" s="28">
        <v>3222.1720000000005</v>
      </c>
      <c r="E121" s="28">
        <v>2115.576</v>
      </c>
      <c r="F121" s="28">
        <v>5923.612000000001</v>
      </c>
      <c r="G121" s="28">
        <v>22893.756000000001</v>
      </c>
      <c r="H121" s="28">
        <v>8496.4520000000011</v>
      </c>
      <c r="I121" s="19">
        <f>B121+C121+D121+E121+F121+G121+H121</f>
        <v>47369.304000000004</v>
      </c>
      <c r="K121" s="29">
        <f t="shared" si="14"/>
        <v>511522.696</v>
      </c>
    </row>
    <row r="122" spans="1:11" ht="19.5" thickBot="1" x14ac:dyDescent="0.35">
      <c r="A122" s="34" t="s">
        <v>7</v>
      </c>
      <c r="B122" s="35">
        <f t="shared" ref="B122:I122" si="15">B119+B120+B121</f>
        <v>12984.361000000001</v>
      </c>
      <c r="C122" s="35">
        <f t="shared" si="15"/>
        <v>15879.457</v>
      </c>
      <c r="D122" s="35">
        <f t="shared" si="15"/>
        <v>15192.285000000002</v>
      </c>
      <c r="E122" s="35">
        <f t="shared" si="15"/>
        <v>2115.576</v>
      </c>
      <c r="F122" s="35">
        <f t="shared" si="15"/>
        <v>9910.6670000000013</v>
      </c>
      <c r="G122" s="35">
        <f t="shared" si="15"/>
        <v>29823.583000000002</v>
      </c>
      <c r="H122" s="35">
        <f t="shared" si="15"/>
        <v>11181.612000000001</v>
      </c>
      <c r="I122" s="36">
        <f t="shared" si="15"/>
        <v>97087.541000000012</v>
      </c>
      <c r="K122" s="29">
        <f>D122+C122+B122+I99+I76+I53+I30</f>
        <v>902655.82799999998</v>
      </c>
    </row>
    <row r="123" spans="1:11" ht="19.5" thickTop="1" x14ac:dyDescent="0.3">
      <c r="A123" s="16"/>
      <c r="B123" s="19"/>
      <c r="C123" s="19"/>
      <c r="D123" s="19"/>
      <c r="E123" s="19"/>
      <c r="F123" s="19"/>
      <c r="G123" s="19"/>
      <c r="H123" s="19"/>
      <c r="I123" s="19"/>
    </row>
    <row r="124" spans="1:11" x14ac:dyDescent="0.3">
      <c r="A124" s="16"/>
      <c r="B124" s="19"/>
      <c r="C124" s="19"/>
      <c r="D124" s="19"/>
      <c r="E124" s="19"/>
      <c r="F124" s="19"/>
      <c r="G124" s="19"/>
      <c r="H124" s="19"/>
      <c r="I124" s="19"/>
    </row>
    <row r="126" spans="1:11" x14ac:dyDescent="0.3">
      <c r="A126" s="4" t="s">
        <v>42</v>
      </c>
      <c r="B126" s="5" t="s">
        <v>0</v>
      </c>
      <c r="C126" s="5" t="s">
        <v>1</v>
      </c>
      <c r="D126" s="5" t="s">
        <v>2</v>
      </c>
      <c r="E126" s="6" t="s">
        <v>3</v>
      </c>
      <c r="F126" s="5" t="s">
        <v>4</v>
      </c>
      <c r="G126" s="5" t="s">
        <v>5</v>
      </c>
      <c r="H126" s="5" t="s">
        <v>6</v>
      </c>
      <c r="I126" s="5" t="s">
        <v>7</v>
      </c>
    </row>
    <row r="127" spans="1:11" x14ac:dyDescent="0.3">
      <c r="A127" s="7"/>
      <c r="B127" s="8">
        <v>44962</v>
      </c>
      <c r="C127" s="8">
        <v>44963</v>
      </c>
      <c r="D127" s="8">
        <v>44964</v>
      </c>
      <c r="E127" s="8">
        <v>44965</v>
      </c>
      <c r="F127" s="8">
        <v>44966</v>
      </c>
      <c r="G127" s="8">
        <v>44967</v>
      </c>
      <c r="H127" s="8">
        <v>44968</v>
      </c>
      <c r="I127" s="9"/>
    </row>
    <row r="128" spans="1:11" ht="19.5" thickBot="1" x14ac:dyDescent="0.35">
      <c r="A128" s="10" t="s">
        <v>8</v>
      </c>
      <c r="B128" s="11" t="s">
        <v>9</v>
      </c>
      <c r="C128" s="11" t="s">
        <v>9</v>
      </c>
      <c r="D128" s="11" t="s">
        <v>9</v>
      </c>
      <c r="E128" s="11" t="s">
        <v>9</v>
      </c>
      <c r="F128" s="11" t="s">
        <v>9</v>
      </c>
      <c r="G128" s="11" t="s">
        <v>9</v>
      </c>
      <c r="H128" s="11" t="s">
        <v>9</v>
      </c>
      <c r="I128" s="12" t="s">
        <v>9</v>
      </c>
    </row>
    <row r="129" spans="1:9" x14ac:dyDescent="0.3">
      <c r="A129" s="13" t="s">
        <v>10</v>
      </c>
      <c r="B129" s="14">
        <v>54</v>
      </c>
      <c r="C129" s="14">
        <v>53</v>
      </c>
      <c r="D129" s="14">
        <v>54</v>
      </c>
      <c r="E129" s="14">
        <v>53</v>
      </c>
      <c r="F129" s="14">
        <v>52</v>
      </c>
      <c r="G129" s="14">
        <v>50</v>
      </c>
      <c r="H129" s="14">
        <v>49</v>
      </c>
      <c r="I129" s="14"/>
    </row>
    <row r="130" spans="1:9" x14ac:dyDescent="0.3">
      <c r="A130" s="15" t="s">
        <v>11</v>
      </c>
      <c r="B130" s="16">
        <v>5</v>
      </c>
      <c r="C130" s="16">
        <v>5</v>
      </c>
      <c r="D130" s="16">
        <v>4</v>
      </c>
      <c r="E130" s="16">
        <v>4</v>
      </c>
      <c r="F130" s="16">
        <v>4</v>
      </c>
      <c r="G130" s="16">
        <v>2</v>
      </c>
      <c r="H130" s="16">
        <v>2</v>
      </c>
      <c r="I130" s="16">
        <f>SUM(B130:H130)</f>
        <v>26</v>
      </c>
    </row>
    <row r="131" spans="1:9" x14ac:dyDescent="0.3">
      <c r="A131" s="15" t="s">
        <v>12</v>
      </c>
      <c r="B131" s="16">
        <v>1</v>
      </c>
      <c r="C131" s="16">
        <v>2</v>
      </c>
      <c r="D131" s="16">
        <v>22</v>
      </c>
      <c r="E131" s="16">
        <v>23</v>
      </c>
      <c r="F131" s="16">
        <v>2</v>
      </c>
      <c r="G131" s="16">
        <v>5</v>
      </c>
      <c r="H131" s="16">
        <v>5</v>
      </c>
      <c r="I131" s="16">
        <f>SUM(B131:H131)</f>
        <v>60</v>
      </c>
    </row>
    <row r="132" spans="1:9" x14ac:dyDescent="0.3">
      <c r="A132" s="15" t="s">
        <v>30</v>
      </c>
      <c r="B132" s="16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f>SUM(B132:H132)</f>
        <v>0</v>
      </c>
    </row>
    <row r="133" spans="1:9" x14ac:dyDescent="0.3">
      <c r="A133" s="15" t="s">
        <v>28</v>
      </c>
      <c r="B133" s="16">
        <v>10</v>
      </c>
      <c r="C133" s="16">
        <v>9</v>
      </c>
      <c r="D133" s="16">
        <v>7</v>
      </c>
      <c r="E133" s="16">
        <v>14</v>
      </c>
      <c r="F133" s="16">
        <v>20</v>
      </c>
      <c r="G133" s="16">
        <v>50</v>
      </c>
      <c r="H133" s="16">
        <v>40</v>
      </c>
      <c r="I133" s="16">
        <f t="shared" ref="I133:I139" si="16">B133+C133+D133+E133+F133+G133+H133</f>
        <v>150</v>
      </c>
    </row>
    <row r="134" spans="1:9" x14ac:dyDescent="0.3">
      <c r="A134" s="15" t="s">
        <v>29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17</v>
      </c>
      <c r="H134" s="16">
        <v>4</v>
      </c>
      <c r="I134" s="16">
        <f t="shared" si="16"/>
        <v>21</v>
      </c>
    </row>
    <row r="135" spans="1:9" x14ac:dyDescent="0.3">
      <c r="A135" s="15" t="s">
        <v>31</v>
      </c>
      <c r="B135" s="16">
        <v>0</v>
      </c>
      <c r="C135" s="16">
        <v>0</v>
      </c>
      <c r="D135" s="16">
        <v>2</v>
      </c>
      <c r="E135" s="16">
        <v>0</v>
      </c>
      <c r="F135" s="16">
        <v>0</v>
      </c>
      <c r="G135" s="16">
        <v>33</v>
      </c>
      <c r="H135" s="16">
        <v>0</v>
      </c>
      <c r="I135" s="16">
        <f t="shared" si="16"/>
        <v>35</v>
      </c>
    </row>
    <row r="136" spans="1:9" x14ac:dyDescent="0.3">
      <c r="A136" s="15" t="s">
        <v>13</v>
      </c>
      <c r="B136" s="16">
        <v>0</v>
      </c>
      <c r="C136" s="16">
        <v>1</v>
      </c>
      <c r="D136" s="16">
        <v>0</v>
      </c>
      <c r="E136" s="16">
        <v>0</v>
      </c>
      <c r="F136" s="16">
        <v>1</v>
      </c>
      <c r="G136" s="16">
        <v>0</v>
      </c>
      <c r="H136" s="16">
        <v>0</v>
      </c>
      <c r="I136" s="16">
        <f t="shared" si="16"/>
        <v>2</v>
      </c>
    </row>
    <row r="137" spans="1:9" x14ac:dyDescent="0.3">
      <c r="A137" s="15" t="s">
        <v>14</v>
      </c>
      <c r="B137" s="16">
        <v>0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f t="shared" si="16"/>
        <v>0</v>
      </c>
    </row>
    <row r="138" spans="1:9" x14ac:dyDescent="0.3">
      <c r="A138" s="15" t="s">
        <v>32</v>
      </c>
      <c r="B138" s="16">
        <v>0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f t="shared" si="16"/>
        <v>0</v>
      </c>
    </row>
    <row r="139" spans="1:9" x14ac:dyDescent="0.3">
      <c r="A139" s="15" t="s">
        <v>33</v>
      </c>
      <c r="B139" s="16">
        <v>0</v>
      </c>
      <c r="C139" s="16">
        <v>0</v>
      </c>
      <c r="D139" s="16">
        <v>0</v>
      </c>
      <c r="E139" s="16">
        <v>23</v>
      </c>
      <c r="F139" s="16">
        <v>22</v>
      </c>
      <c r="G139" s="16">
        <v>0</v>
      </c>
      <c r="H139" s="16">
        <v>0</v>
      </c>
      <c r="I139" s="16">
        <f t="shared" si="16"/>
        <v>45</v>
      </c>
    </row>
    <row r="140" spans="1:9" ht="19.5" thickBot="1" x14ac:dyDescent="0.35">
      <c r="A140" s="30" t="s">
        <v>15</v>
      </c>
      <c r="B140" s="31">
        <f t="shared" ref="B140:H140" si="17">(B131+B130)/B129*100%</f>
        <v>0.1111111111111111</v>
      </c>
      <c r="C140" s="31">
        <f t="shared" si="17"/>
        <v>0.13207547169811321</v>
      </c>
      <c r="D140" s="31">
        <f t="shared" si="17"/>
        <v>0.48148148148148145</v>
      </c>
      <c r="E140" s="31">
        <f t="shared" si="17"/>
        <v>0.50943396226415094</v>
      </c>
      <c r="F140" s="31">
        <f t="shared" si="17"/>
        <v>0.11538461538461539</v>
      </c>
      <c r="G140" s="31">
        <f t="shared" si="17"/>
        <v>0.14000000000000001</v>
      </c>
      <c r="H140" s="31">
        <f t="shared" si="17"/>
        <v>0.14285714285714285</v>
      </c>
      <c r="I140" s="32">
        <f>(B140+C140+D140+E140+F140+G140+H140)/7</f>
        <v>0.23319196925665928</v>
      </c>
    </row>
    <row r="141" spans="1:9" x14ac:dyDescent="0.3">
      <c r="A141" s="33" t="s">
        <v>16</v>
      </c>
      <c r="B141" s="16"/>
      <c r="C141" s="17"/>
      <c r="D141" s="16"/>
      <c r="E141" s="18"/>
      <c r="F141" s="16"/>
      <c r="G141" s="16"/>
      <c r="H141" s="16"/>
      <c r="I141" s="16"/>
    </row>
    <row r="142" spans="1:9" x14ac:dyDescent="0.3">
      <c r="A142" s="15" t="s">
        <v>34</v>
      </c>
      <c r="B142" s="28">
        <v>569.58000000000004</v>
      </c>
      <c r="C142" s="28">
        <v>800.01400000000012</v>
      </c>
      <c r="D142" s="28">
        <v>813.68500000000006</v>
      </c>
      <c r="E142" s="28">
        <v>1505.3180000000002</v>
      </c>
      <c r="F142" s="28">
        <v>1383.2660000000001</v>
      </c>
      <c r="G142" s="28">
        <v>2888.5810000000001</v>
      </c>
      <c r="H142" s="28">
        <v>3620.8980000000006</v>
      </c>
      <c r="I142" s="19">
        <f>B142+C142+D142+E142+F142+G142+H142</f>
        <v>11581.342000000001</v>
      </c>
    </row>
    <row r="143" spans="1:9" x14ac:dyDescent="0.3">
      <c r="A143" s="15" t="s">
        <v>35</v>
      </c>
      <c r="B143" s="28">
        <v>0</v>
      </c>
      <c r="C143" s="28">
        <v>0</v>
      </c>
      <c r="D143" s="28">
        <v>9200.1610000000001</v>
      </c>
      <c r="E143" s="28">
        <v>9200.1610000000001</v>
      </c>
      <c r="F143" s="28">
        <v>0</v>
      </c>
      <c r="G143" s="28">
        <v>0</v>
      </c>
      <c r="H143" s="28">
        <v>0</v>
      </c>
      <c r="I143" s="19">
        <f>B143+C143+D143+E143+F143+G143+H143</f>
        <v>18400.322</v>
      </c>
    </row>
    <row r="144" spans="1:9" ht="19.5" thickBot="1" x14ac:dyDescent="0.35">
      <c r="A144" s="15" t="s">
        <v>20</v>
      </c>
      <c r="B144" s="28">
        <v>2115.5840000000003</v>
      </c>
      <c r="C144" s="28">
        <v>2017.944</v>
      </c>
      <c r="D144" s="28">
        <v>1708.732</v>
      </c>
      <c r="E144" s="28">
        <v>16761.792000000001</v>
      </c>
      <c r="F144" s="28">
        <v>16517.795999999998</v>
      </c>
      <c r="G144" s="28">
        <v>15428.36</v>
      </c>
      <c r="H144" s="28">
        <v>8766.5960000000014</v>
      </c>
      <c r="I144" s="19">
        <f>B144+C144+D144+E144+F144+G144+H144</f>
        <v>63316.804000000004</v>
      </c>
    </row>
    <row r="145" spans="1:9" ht="19.5" thickBot="1" x14ac:dyDescent="0.35">
      <c r="A145" s="34" t="s">
        <v>7</v>
      </c>
      <c r="B145" s="35">
        <f t="shared" ref="B145:I145" si="18">B142+B143+B144</f>
        <v>2685.1640000000002</v>
      </c>
      <c r="C145" s="35">
        <f t="shared" si="18"/>
        <v>2817.9580000000001</v>
      </c>
      <c r="D145" s="35">
        <f t="shared" si="18"/>
        <v>11722.578</v>
      </c>
      <c r="E145" s="35">
        <f t="shared" si="18"/>
        <v>27467.271000000001</v>
      </c>
      <c r="F145" s="35">
        <f t="shared" si="18"/>
        <v>17901.061999999998</v>
      </c>
      <c r="G145" s="35">
        <f t="shared" si="18"/>
        <v>18316.940999999999</v>
      </c>
      <c r="H145" s="35">
        <f t="shared" si="18"/>
        <v>12387.494000000002</v>
      </c>
      <c r="I145" s="36">
        <f t="shared" si="18"/>
        <v>93298.468000000008</v>
      </c>
    </row>
    <row r="146" spans="1:9" ht="19.5" thickTop="1" x14ac:dyDescent="0.3">
      <c r="A146" s="16"/>
      <c r="B146" s="19"/>
      <c r="C146" s="19"/>
      <c r="D146" s="19"/>
      <c r="E146" s="19"/>
      <c r="F146" s="19"/>
      <c r="G146" s="19"/>
      <c r="H146" s="19"/>
      <c r="I146" s="19"/>
    </row>
    <row r="147" spans="1:9" x14ac:dyDescent="0.3">
      <c r="A147" s="16"/>
      <c r="B147" s="19"/>
      <c r="C147" s="19"/>
      <c r="D147" s="19"/>
      <c r="E147" s="19"/>
      <c r="F147" s="19"/>
      <c r="G147" s="19"/>
      <c r="H147" s="19"/>
      <c r="I147" s="19"/>
    </row>
    <row r="149" spans="1:9" x14ac:dyDescent="0.3">
      <c r="A149" s="4" t="s">
        <v>43</v>
      </c>
      <c r="B149" s="5" t="s">
        <v>0</v>
      </c>
      <c r="C149" s="5" t="s">
        <v>1</v>
      </c>
      <c r="D149" s="5" t="s">
        <v>2</v>
      </c>
      <c r="E149" s="6" t="s">
        <v>3</v>
      </c>
      <c r="F149" s="5" t="s">
        <v>4</v>
      </c>
      <c r="G149" s="5" t="s">
        <v>5</v>
      </c>
      <c r="H149" s="5" t="s">
        <v>6</v>
      </c>
      <c r="I149" s="5" t="s">
        <v>7</v>
      </c>
    </row>
    <row r="150" spans="1:9" x14ac:dyDescent="0.3">
      <c r="A150" s="7"/>
      <c r="B150" s="8">
        <v>44969</v>
      </c>
      <c r="C150" s="8">
        <v>44970</v>
      </c>
      <c r="D150" s="8">
        <v>44971</v>
      </c>
      <c r="E150" s="8">
        <v>44972</v>
      </c>
      <c r="F150" s="8">
        <v>44973</v>
      </c>
      <c r="G150" s="8">
        <v>44974</v>
      </c>
      <c r="H150" s="8">
        <v>44975</v>
      </c>
      <c r="I150" s="9"/>
    </row>
    <row r="151" spans="1:9" ht="19.5" thickBot="1" x14ac:dyDescent="0.35">
      <c r="A151" s="10" t="s">
        <v>8</v>
      </c>
      <c r="B151" s="11" t="s">
        <v>9</v>
      </c>
      <c r="C151" s="11" t="s">
        <v>9</v>
      </c>
      <c r="D151" s="11" t="s">
        <v>9</v>
      </c>
      <c r="E151" s="11" t="s">
        <v>9</v>
      </c>
      <c r="F151" s="11" t="s">
        <v>9</v>
      </c>
      <c r="G151" s="11" t="s">
        <v>9</v>
      </c>
      <c r="H151" s="11" t="s">
        <v>9</v>
      </c>
      <c r="I151" s="12" t="s">
        <v>9</v>
      </c>
    </row>
    <row r="152" spans="1:9" x14ac:dyDescent="0.3">
      <c r="A152" s="13" t="s">
        <v>10</v>
      </c>
      <c r="B152" s="14">
        <v>49</v>
      </c>
      <c r="C152" s="14">
        <v>49</v>
      </c>
      <c r="D152" s="14">
        <v>50</v>
      </c>
      <c r="E152" s="14">
        <v>51</v>
      </c>
      <c r="F152" s="14">
        <v>50</v>
      </c>
      <c r="G152" s="14">
        <v>48</v>
      </c>
      <c r="H152" s="14">
        <v>48</v>
      </c>
      <c r="I152" s="14"/>
    </row>
    <row r="153" spans="1:9" x14ac:dyDescent="0.3">
      <c r="A153" s="15" t="s">
        <v>11</v>
      </c>
      <c r="B153" s="16">
        <v>1</v>
      </c>
      <c r="C153" s="16">
        <v>1</v>
      </c>
      <c r="D153" s="16">
        <v>1</v>
      </c>
      <c r="E153" s="16">
        <v>0</v>
      </c>
      <c r="F153" s="16">
        <v>1</v>
      </c>
      <c r="G153" s="16">
        <v>5</v>
      </c>
      <c r="H153" s="16">
        <v>1</v>
      </c>
      <c r="I153" s="16">
        <f>SUM(B153:H153)</f>
        <v>10</v>
      </c>
    </row>
    <row r="154" spans="1:9" x14ac:dyDescent="0.3">
      <c r="A154" s="15" t="s">
        <v>12</v>
      </c>
      <c r="B154" s="16">
        <v>4</v>
      </c>
      <c r="C154" s="16">
        <v>9</v>
      </c>
      <c r="D154" s="16">
        <v>14</v>
      </c>
      <c r="E154" s="16">
        <v>10</v>
      </c>
      <c r="F154" s="16">
        <v>22</v>
      </c>
      <c r="G154" s="16">
        <v>26</v>
      </c>
      <c r="H154" s="16">
        <v>2</v>
      </c>
      <c r="I154" s="16">
        <f>SUM(B154:H154)</f>
        <v>87</v>
      </c>
    </row>
    <row r="155" spans="1:9" x14ac:dyDescent="0.3">
      <c r="A155" s="15" t="s">
        <v>30</v>
      </c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f>SUM(B155:H155)</f>
        <v>0</v>
      </c>
    </row>
    <row r="156" spans="1:9" x14ac:dyDescent="0.3">
      <c r="A156" s="15" t="s">
        <v>28</v>
      </c>
      <c r="B156" s="16">
        <v>10</v>
      </c>
      <c r="C156" s="16">
        <v>25</v>
      </c>
      <c r="D156" s="16">
        <v>13</v>
      </c>
      <c r="E156" s="16">
        <v>39</v>
      </c>
      <c r="F156" s="16">
        <v>17</v>
      </c>
      <c r="G156" s="16">
        <v>71</v>
      </c>
      <c r="H156" s="16">
        <v>91</v>
      </c>
      <c r="I156" s="16">
        <f t="shared" ref="I156:I162" si="19">B156+C156+D156+E156+F156+G156+H156</f>
        <v>266</v>
      </c>
    </row>
    <row r="157" spans="1:9" x14ac:dyDescent="0.3">
      <c r="A157" s="15" t="s">
        <v>29</v>
      </c>
      <c r="B157" s="16">
        <v>2</v>
      </c>
      <c r="C157" s="16">
        <v>4</v>
      </c>
      <c r="D157" s="16">
        <v>0</v>
      </c>
      <c r="E157" s="16">
        <v>123</v>
      </c>
      <c r="F157" s="16">
        <v>0</v>
      </c>
      <c r="G157" s="16">
        <v>6</v>
      </c>
      <c r="H157" s="16">
        <v>16</v>
      </c>
      <c r="I157" s="16">
        <f t="shared" si="19"/>
        <v>151</v>
      </c>
    </row>
    <row r="158" spans="1:9" x14ac:dyDescent="0.3">
      <c r="A158" s="15" t="s">
        <v>31</v>
      </c>
      <c r="B158" s="16">
        <v>1</v>
      </c>
      <c r="C158" s="16">
        <v>1</v>
      </c>
      <c r="D158" s="16">
        <v>0</v>
      </c>
      <c r="E158" s="16">
        <v>0</v>
      </c>
      <c r="F158" s="16">
        <v>40</v>
      </c>
      <c r="G158" s="16">
        <v>5</v>
      </c>
      <c r="H158" s="16">
        <v>10</v>
      </c>
      <c r="I158" s="16">
        <f t="shared" si="19"/>
        <v>57</v>
      </c>
    </row>
    <row r="159" spans="1:9" x14ac:dyDescent="0.3">
      <c r="A159" s="15" t="s">
        <v>13</v>
      </c>
      <c r="B159" s="16">
        <v>0</v>
      </c>
      <c r="C159" s="16">
        <v>0</v>
      </c>
      <c r="D159" s="16">
        <v>0</v>
      </c>
      <c r="E159" s="16">
        <v>0</v>
      </c>
      <c r="F159" s="16">
        <v>2</v>
      </c>
      <c r="G159" s="16">
        <v>0</v>
      </c>
      <c r="H159" s="16">
        <v>2</v>
      </c>
      <c r="I159" s="16">
        <f t="shared" si="19"/>
        <v>4</v>
      </c>
    </row>
    <row r="160" spans="1:9" x14ac:dyDescent="0.3">
      <c r="A160" s="15" t="s">
        <v>14</v>
      </c>
      <c r="B160" s="16">
        <v>0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f t="shared" si="19"/>
        <v>0</v>
      </c>
    </row>
    <row r="161" spans="1:9" x14ac:dyDescent="0.3">
      <c r="A161" s="15" t="s">
        <v>32</v>
      </c>
      <c r="B161" s="16">
        <v>0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f t="shared" si="19"/>
        <v>0</v>
      </c>
    </row>
    <row r="162" spans="1:9" x14ac:dyDescent="0.3">
      <c r="A162" s="15" t="s">
        <v>33</v>
      </c>
      <c r="B162" s="16">
        <v>0</v>
      </c>
      <c r="C162" s="16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f t="shared" si="19"/>
        <v>0</v>
      </c>
    </row>
    <row r="163" spans="1:9" ht="19.5" thickBot="1" x14ac:dyDescent="0.35">
      <c r="A163" s="30" t="s">
        <v>15</v>
      </c>
      <c r="B163" s="31">
        <f t="shared" ref="B163:H163" si="20">(B154+B153)/B152*100%</f>
        <v>0.10204081632653061</v>
      </c>
      <c r="C163" s="31">
        <f t="shared" si="20"/>
        <v>0.20408163265306123</v>
      </c>
      <c r="D163" s="31">
        <f t="shared" si="20"/>
        <v>0.3</v>
      </c>
      <c r="E163" s="31">
        <f t="shared" si="20"/>
        <v>0.19607843137254902</v>
      </c>
      <c r="F163" s="31">
        <f t="shared" si="20"/>
        <v>0.46</v>
      </c>
      <c r="G163" s="31">
        <f t="shared" si="20"/>
        <v>0.64583333333333337</v>
      </c>
      <c r="H163" s="31">
        <f t="shared" si="20"/>
        <v>6.25E-2</v>
      </c>
      <c r="I163" s="32">
        <f>(B163+C163+D163+E163+F163+G163+H163)/7</f>
        <v>0.28150488766935344</v>
      </c>
    </row>
    <row r="164" spans="1:9" x14ac:dyDescent="0.3">
      <c r="A164" s="33" t="s">
        <v>16</v>
      </c>
      <c r="B164" s="16"/>
      <c r="C164" s="17"/>
      <c r="D164" s="16"/>
      <c r="E164" s="18"/>
      <c r="F164" s="16"/>
      <c r="G164" s="16"/>
      <c r="H164" s="16"/>
      <c r="I164" s="16"/>
    </row>
    <row r="165" spans="1:9" x14ac:dyDescent="0.3">
      <c r="A165" s="15" t="s">
        <v>34</v>
      </c>
      <c r="B165" s="28">
        <v>3083.866</v>
      </c>
      <c r="C165" s="28">
        <v>6094.5020000000004</v>
      </c>
      <c r="D165" s="28">
        <v>9259.741</v>
      </c>
      <c r="E165" s="28">
        <v>4922.7980000000007</v>
      </c>
      <c r="F165" s="28">
        <v>8470.4630000000016</v>
      </c>
      <c r="G165" s="28">
        <v>12427.75</v>
      </c>
      <c r="H165" s="28">
        <v>142.39500000000001</v>
      </c>
      <c r="I165" s="19">
        <f>B165+C165+D165+E165+F165+G165+H165</f>
        <v>44401.514999999999</v>
      </c>
    </row>
    <row r="166" spans="1:9" x14ac:dyDescent="0.3">
      <c r="A166" s="15" t="s">
        <v>35</v>
      </c>
      <c r="B166" s="28">
        <v>0</v>
      </c>
      <c r="C166" s="28">
        <v>0</v>
      </c>
      <c r="D166" s="28">
        <v>0</v>
      </c>
      <c r="E166" s="28">
        <v>1198.5060000000001</v>
      </c>
      <c r="F166" s="28">
        <v>3196.0160000000001</v>
      </c>
      <c r="G166" s="28">
        <v>3645.6680000000001</v>
      </c>
      <c r="H166" s="28">
        <v>0</v>
      </c>
      <c r="I166" s="19">
        <f>B166+C166+D166+E166+F166+G166+H166</f>
        <v>8040.1900000000005</v>
      </c>
    </row>
    <row r="167" spans="1:9" ht="19.5" thickBot="1" x14ac:dyDescent="0.35">
      <c r="A167" s="15" t="s">
        <v>20</v>
      </c>
      <c r="B167" s="28">
        <v>2392.2360000000003</v>
      </c>
      <c r="C167" s="28">
        <v>7428.348</v>
      </c>
      <c r="D167" s="28">
        <v>2750.248</v>
      </c>
      <c r="E167" s="28">
        <v>14229.707999999999</v>
      </c>
      <c r="F167" s="28">
        <v>7632.344000000001</v>
      </c>
      <c r="G167" s="28">
        <v>15515.272000000001</v>
      </c>
      <c r="H167" s="28">
        <v>19663.392000000003</v>
      </c>
      <c r="I167" s="19">
        <f>B167+C167+D167+E167+F167+G167+H167</f>
        <v>69611.54800000001</v>
      </c>
    </row>
    <row r="168" spans="1:9" ht="19.5" thickBot="1" x14ac:dyDescent="0.35">
      <c r="A168" s="34" t="s">
        <v>7</v>
      </c>
      <c r="B168" s="35">
        <f t="shared" ref="B168:I168" si="21">B165+B166+B167</f>
        <v>5476.1020000000008</v>
      </c>
      <c r="C168" s="35">
        <f t="shared" si="21"/>
        <v>13522.85</v>
      </c>
      <c r="D168" s="35">
        <f t="shared" si="21"/>
        <v>12009.989</v>
      </c>
      <c r="E168" s="35">
        <f t="shared" si="21"/>
        <v>20351.011999999999</v>
      </c>
      <c r="F168" s="35">
        <f t="shared" si="21"/>
        <v>19298.823000000004</v>
      </c>
      <c r="G168" s="35">
        <f t="shared" si="21"/>
        <v>31588.690000000002</v>
      </c>
      <c r="H168" s="35">
        <f t="shared" si="21"/>
        <v>19805.787000000004</v>
      </c>
      <c r="I168" s="36">
        <f t="shared" si="21"/>
        <v>122053.25300000001</v>
      </c>
    </row>
    <row r="169" spans="1:9" ht="19.5" thickTop="1" x14ac:dyDescent="0.3">
      <c r="A169" s="16"/>
      <c r="B169" s="19"/>
      <c r="C169" s="19"/>
      <c r="D169" s="19"/>
      <c r="E169" s="19"/>
      <c r="F169" s="19"/>
      <c r="G169" s="19"/>
      <c r="H169" s="19"/>
      <c r="I169" s="19"/>
    </row>
    <row r="170" spans="1:9" x14ac:dyDescent="0.3">
      <c r="A170" s="16"/>
      <c r="B170" s="19"/>
      <c r="C170" s="19"/>
      <c r="D170" s="19"/>
      <c r="E170" s="19"/>
      <c r="F170" s="19"/>
      <c r="G170" s="19"/>
      <c r="H170" s="19"/>
      <c r="I170" s="19"/>
    </row>
    <row r="172" spans="1:9" x14ac:dyDescent="0.3">
      <c r="A172" s="4" t="s">
        <v>44</v>
      </c>
      <c r="B172" s="5" t="s">
        <v>0</v>
      </c>
      <c r="C172" s="5" t="s">
        <v>1</v>
      </c>
      <c r="D172" s="5" t="s">
        <v>2</v>
      </c>
      <c r="E172" s="6" t="s">
        <v>3</v>
      </c>
      <c r="F172" s="5" t="s">
        <v>4</v>
      </c>
      <c r="G172" s="5" t="s">
        <v>5</v>
      </c>
      <c r="H172" s="5" t="s">
        <v>6</v>
      </c>
      <c r="I172" s="5" t="s">
        <v>7</v>
      </c>
    </row>
    <row r="173" spans="1:9" x14ac:dyDescent="0.3">
      <c r="A173" s="7"/>
      <c r="B173" s="8">
        <v>44976</v>
      </c>
      <c r="C173" s="8">
        <v>44977</v>
      </c>
      <c r="D173" s="8">
        <v>44978</v>
      </c>
      <c r="E173" s="8">
        <v>44979</v>
      </c>
      <c r="F173" s="8">
        <v>44980</v>
      </c>
      <c r="G173" s="8">
        <v>44981</v>
      </c>
      <c r="H173" s="8">
        <v>44982</v>
      </c>
      <c r="I173" s="9"/>
    </row>
    <row r="174" spans="1:9" ht="19.5" thickBot="1" x14ac:dyDescent="0.35">
      <c r="A174" s="10" t="s">
        <v>8</v>
      </c>
      <c r="B174" s="11" t="s">
        <v>9</v>
      </c>
      <c r="C174" s="11" t="s">
        <v>9</v>
      </c>
      <c r="D174" s="11" t="s">
        <v>9</v>
      </c>
      <c r="E174" s="11" t="s">
        <v>9</v>
      </c>
      <c r="F174" s="11" t="s">
        <v>9</v>
      </c>
      <c r="G174" s="11" t="s">
        <v>9</v>
      </c>
      <c r="H174" s="11" t="s">
        <v>9</v>
      </c>
      <c r="I174" s="12" t="s">
        <v>9</v>
      </c>
    </row>
    <row r="175" spans="1:9" x14ac:dyDescent="0.3">
      <c r="A175" s="13" t="s">
        <v>10</v>
      </c>
      <c r="B175" s="14">
        <v>51</v>
      </c>
      <c r="C175" s="14">
        <v>51</v>
      </c>
      <c r="D175" s="14">
        <v>49</v>
      </c>
      <c r="E175" s="14">
        <f>55-7</f>
        <v>48</v>
      </c>
      <c r="F175" s="14">
        <v>50</v>
      </c>
      <c r="G175" s="14">
        <v>48</v>
      </c>
      <c r="H175" s="14">
        <f>55-4</f>
        <v>51</v>
      </c>
      <c r="I175" s="14"/>
    </row>
    <row r="176" spans="1:9" x14ac:dyDescent="0.3">
      <c r="A176" s="15" t="s">
        <v>11</v>
      </c>
      <c r="B176" s="16">
        <v>7</v>
      </c>
      <c r="C176" s="16">
        <v>8</v>
      </c>
      <c r="D176" s="16">
        <v>9</v>
      </c>
      <c r="E176" s="16">
        <v>3</v>
      </c>
      <c r="F176" s="16">
        <v>4</v>
      </c>
      <c r="G176" s="16">
        <v>1</v>
      </c>
      <c r="H176" s="16">
        <v>1</v>
      </c>
      <c r="I176" s="16">
        <f>SUM(B176:H176)</f>
        <v>33</v>
      </c>
    </row>
    <row r="177" spans="1:9" x14ac:dyDescent="0.3">
      <c r="A177" s="15" t="s">
        <v>12</v>
      </c>
      <c r="B177" s="16">
        <v>0</v>
      </c>
      <c r="C177" s="16">
        <v>1</v>
      </c>
      <c r="D177" s="16">
        <v>4</v>
      </c>
      <c r="E177" s="16">
        <v>26</v>
      </c>
      <c r="F177" s="16">
        <v>42</v>
      </c>
      <c r="G177" s="16">
        <v>25</v>
      </c>
      <c r="H177" s="16">
        <v>2</v>
      </c>
      <c r="I177" s="16">
        <f>SUM(B177:H177)</f>
        <v>100</v>
      </c>
    </row>
    <row r="178" spans="1:9" x14ac:dyDescent="0.3">
      <c r="A178" s="15" t="s">
        <v>30</v>
      </c>
      <c r="B178" s="16">
        <v>0</v>
      </c>
      <c r="C178" s="16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f>SUM(B178:H178)</f>
        <v>0</v>
      </c>
    </row>
    <row r="179" spans="1:9" x14ac:dyDescent="0.3">
      <c r="A179" s="15" t="s">
        <v>28</v>
      </c>
      <c r="B179" s="16">
        <v>17</v>
      </c>
      <c r="C179" s="16">
        <v>2</v>
      </c>
      <c r="D179" s="16">
        <v>27</v>
      </c>
      <c r="E179" s="16">
        <v>13</v>
      </c>
      <c r="F179" s="16">
        <v>19</v>
      </c>
      <c r="G179" s="16">
        <v>110</v>
      </c>
      <c r="H179" s="16">
        <v>55</v>
      </c>
      <c r="I179" s="16">
        <f t="shared" ref="I179:I185" si="22">B179+C179+D179+E179+F179+G179+H179</f>
        <v>243</v>
      </c>
    </row>
    <row r="180" spans="1:9" x14ac:dyDescent="0.3">
      <c r="A180" s="15" t="s">
        <v>29</v>
      </c>
      <c r="B180" s="16">
        <v>1</v>
      </c>
      <c r="C180" s="16">
        <v>2</v>
      </c>
      <c r="D180" s="16">
        <v>143</v>
      </c>
      <c r="E180" s="16">
        <v>98</v>
      </c>
      <c r="F180" s="16">
        <v>1</v>
      </c>
      <c r="G180" s="16">
        <v>2</v>
      </c>
      <c r="H180" s="16">
        <v>1</v>
      </c>
      <c r="I180" s="16">
        <f t="shared" si="22"/>
        <v>248</v>
      </c>
    </row>
    <row r="181" spans="1:9" x14ac:dyDescent="0.3">
      <c r="A181" s="15" t="s">
        <v>31</v>
      </c>
      <c r="B181" s="16">
        <v>0</v>
      </c>
      <c r="C181" s="16">
        <v>0</v>
      </c>
      <c r="D181" s="16">
        <v>1</v>
      </c>
      <c r="E181" s="16">
        <v>0</v>
      </c>
      <c r="F181" s="16">
        <v>1</v>
      </c>
      <c r="G181" s="16">
        <v>1</v>
      </c>
      <c r="H181" s="16">
        <v>64</v>
      </c>
      <c r="I181" s="16">
        <f t="shared" si="22"/>
        <v>67</v>
      </c>
    </row>
    <row r="182" spans="1:9" x14ac:dyDescent="0.3">
      <c r="A182" s="15" t="s">
        <v>13</v>
      </c>
      <c r="B182" s="16">
        <v>0</v>
      </c>
      <c r="C182" s="16">
        <v>0</v>
      </c>
      <c r="D182" s="16">
        <v>1</v>
      </c>
      <c r="E182" s="16">
        <v>1</v>
      </c>
      <c r="F182" s="16">
        <v>2</v>
      </c>
      <c r="G182" s="16">
        <v>4</v>
      </c>
      <c r="H182" s="16">
        <v>1</v>
      </c>
      <c r="I182" s="16">
        <f t="shared" si="22"/>
        <v>9</v>
      </c>
    </row>
    <row r="183" spans="1:9" x14ac:dyDescent="0.3">
      <c r="A183" s="15" t="s">
        <v>14</v>
      </c>
      <c r="B183" s="16">
        <v>0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f t="shared" si="22"/>
        <v>0</v>
      </c>
    </row>
    <row r="184" spans="1:9" x14ac:dyDescent="0.3">
      <c r="A184" s="15" t="s">
        <v>32</v>
      </c>
      <c r="B184" s="16">
        <v>0</v>
      </c>
      <c r="C184" s="16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f t="shared" si="22"/>
        <v>0</v>
      </c>
    </row>
    <row r="185" spans="1:9" x14ac:dyDescent="0.3">
      <c r="A185" s="15" t="s">
        <v>33</v>
      </c>
      <c r="B185" s="16">
        <v>0</v>
      </c>
      <c r="C185" s="16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f t="shared" si="22"/>
        <v>0</v>
      </c>
    </row>
    <row r="186" spans="1:9" ht="19.5" thickBot="1" x14ac:dyDescent="0.35">
      <c r="A186" s="30" t="s">
        <v>15</v>
      </c>
      <c r="B186" s="31">
        <f t="shared" ref="B186:H186" si="23">(B177+B176)/B175*100%</f>
        <v>0.13725490196078433</v>
      </c>
      <c r="C186" s="31">
        <f t="shared" si="23"/>
        <v>0.17647058823529413</v>
      </c>
      <c r="D186" s="31">
        <f t="shared" si="23"/>
        <v>0.26530612244897961</v>
      </c>
      <c r="E186" s="31">
        <f t="shared" si="23"/>
        <v>0.60416666666666663</v>
      </c>
      <c r="F186" s="31">
        <f>(F177+F176)/F175*100%</f>
        <v>0.92</v>
      </c>
      <c r="G186" s="31">
        <f t="shared" si="23"/>
        <v>0.54166666666666663</v>
      </c>
      <c r="H186" s="31">
        <f t="shared" si="23"/>
        <v>5.8823529411764705E-2</v>
      </c>
      <c r="I186" s="32">
        <f>(B186+C186+D186+E186+F186+G186+H186)/7</f>
        <v>0.38624121077002227</v>
      </c>
    </row>
    <row r="187" spans="1:9" x14ac:dyDescent="0.3">
      <c r="A187" s="33" t="s">
        <v>16</v>
      </c>
      <c r="B187" s="16"/>
      <c r="C187" s="17"/>
      <c r="D187" s="16"/>
      <c r="E187" s="18"/>
      <c r="F187" s="16"/>
      <c r="G187" s="16"/>
      <c r="H187" s="16"/>
      <c r="I187" s="16"/>
    </row>
    <row r="188" spans="1:9" x14ac:dyDescent="0.3">
      <c r="A188" s="15" t="s">
        <v>34</v>
      </c>
      <c r="B188" s="28">
        <v>0</v>
      </c>
      <c r="C188" s="28">
        <v>813.68500000000006</v>
      </c>
      <c r="D188" s="28">
        <v>2302.7290000000003</v>
      </c>
      <c r="E188" s="28">
        <v>2546.8310000000001</v>
      </c>
      <c r="F188" s="28">
        <v>0</v>
      </c>
      <c r="G188" s="28">
        <v>3905.6890000000003</v>
      </c>
      <c r="H188" s="28">
        <v>480.07200000000006</v>
      </c>
      <c r="I188" s="19">
        <f>B188+C188+D188+E188+F188+G188+H188</f>
        <v>10049.006000000001</v>
      </c>
    </row>
    <row r="189" spans="1:9" x14ac:dyDescent="0.3">
      <c r="A189" s="15" t="s">
        <v>35</v>
      </c>
      <c r="B189" s="28">
        <v>0</v>
      </c>
      <c r="C189" s="28">
        <v>0</v>
      </c>
      <c r="D189" s="28">
        <v>0</v>
      </c>
      <c r="E189" s="28">
        <v>6346.77</v>
      </c>
      <c r="F189" s="28">
        <v>15609.509</v>
      </c>
      <c r="G189" s="28">
        <v>8000.1400000000012</v>
      </c>
      <c r="H189" s="28">
        <v>0</v>
      </c>
      <c r="I189" s="19">
        <f>B189+C189+D189+E189+F189+G189+H189</f>
        <v>29956.419000000002</v>
      </c>
    </row>
    <row r="190" spans="1:9" ht="19.5" thickBot="1" x14ac:dyDescent="0.35">
      <c r="A190" s="15" t="s">
        <v>20</v>
      </c>
      <c r="B190" s="28">
        <v>3677.8440000000005</v>
      </c>
      <c r="C190" s="28">
        <v>650.92680000000007</v>
      </c>
      <c r="D190" s="28">
        <v>17185.008000000002</v>
      </c>
      <c r="E190" s="28">
        <v>8585.9800000000014</v>
      </c>
      <c r="F190" s="28">
        <v>4442.6959999999999</v>
      </c>
      <c r="G190" s="28">
        <v>22734.416000000001</v>
      </c>
      <c r="H190" s="28">
        <v>18698.488000000001</v>
      </c>
      <c r="I190" s="19">
        <f>B190+C190+D190+E190+F190+G190+H190</f>
        <v>75975.358800000002</v>
      </c>
    </row>
    <row r="191" spans="1:9" ht="19.5" thickBot="1" x14ac:dyDescent="0.35">
      <c r="A191" s="34" t="s">
        <v>7</v>
      </c>
      <c r="B191" s="35">
        <f t="shared" ref="B191:I191" si="24">B188+B189+B190</f>
        <v>3677.8440000000005</v>
      </c>
      <c r="C191" s="35">
        <f t="shared" si="24"/>
        <v>1464.6118000000001</v>
      </c>
      <c r="D191" s="35">
        <f t="shared" si="24"/>
        <v>19487.737000000001</v>
      </c>
      <c r="E191" s="35">
        <f t="shared" si="24"/>
        <v>17479.581000000002</v>
      </c>
      <c r="F191" s="35">
        <f t="shared" si="24"/>
        <v>20052.205000000002</v>
      </c>
      <c r="G191" s="35">
        <f t="shared" si="24"/>
        <v>34640.245000000003</v>
      </c>
      <c r="H191" s="35">
        <f t="shared" si="24"/>
        <v>19178.560000000001</v>
      </c>
      <c r="I191" s="36">
        <f t="shared" si="24"/>
        <v>115980.7838</v>
      </c>
    </row>
    <row r="192" spans="1:9" ht="19.5" thickTop="1" x14ac:dyDescent="0.3"/>
    <row r="194" spans="1:9" x14ac:dyDescent="0.3">
      <c r="A194" s="4" t="s">
        <v>45</v>
      </c>
      <c r="B194" s="5" t="s">
        <v>0</v>
      </c>
      <c r="C194" s="5" t="s">
        <v>1</v>
      </c>
      <c r="D194" s="5" t="s">
        <v>2</v>
      </c>
      <c r="E194" s="6" t="s">
        <v>3</v>
      </c>
      <c r="F194" s="5" t="s">
        <v>4</v>
      </c>
      <c r="G194" s="5" t="s">
        <v>5</v>
      </c>
      <c r="H194" s="5" t="s">
        <v>6</v>
      </c>
      <c r="I194" s="5" t="s">
        <v>7</v>
      </c>
    </row>
    <row r="195" spans="1:9" x14ac:dyDescent="0.3">
      <c r="A195" s="7"/>
      <c r="B195" s="8">
        <v>45348</v>
      </c>
      <c r="C195" s="8">
        <v>45349</v>
      </c>
      <c r="D195" s="8">
        <v>45350</v>
      </c>
      <c r="E195" s="8">
        <v>45351</v>
      </c>
      <c r="F195" s="8">
        <v>45352</v>
      </c>
      <c r="G195" s="8">
        <v>45353</v>
      </c>
      <c r="H195" s="8">
        <v>45354</v>
      </c>
      <c r="I195" s="9"/>
    </row>
    <row r="196" spans="1:9" ht="19.5" thickBot="1" x14ac:dyDescent="0.35">
      <c r="A196" s="10" t="s">
        <v>8</v>
      </c>
      <c r="B196" s="11" t="s">
        <v>9</v>
      </c>
      <c r="C196" s="11" t="s">
        <v>9</v>
      </c>
      <c r="D196" s="11" t="s">
        <v>9</v>
      </c>
      <c r="E196" s="11" t="s">
        <v>9</v>
      </c>
      <c r="F196" s="11" t="s">
        <v>9</v>
      </c>
      <c r="G196" s="11" t="s">
        <v>9</v>
      </c>
      <c r="H196" s="11" t="s">
        <v>9</v>
      </c>
      <c r="I196" s="12" t="s">
        <v>9</v>
      </c>
    </row>
    <row r="197" spans="1:9" x14ac:dyDescent="0.3">
      <c r="A197" s="13" t="s">
        <v>10</v>
      </c>
      <c r="B197" s="14">
        <v>51</v>
      </c>
      <c r="C197" s="14">
        <f>55-3</f>
        <v>52</v>
      </c>
      <c r="D197" s="14">
        <v>51</v>
      </c>
      <c r="E197" s="14">
        <v>52</v>
      </c>
      <c r="F197" s="14">
        <f>55-3</f>
        <v>52</v>
      </c>
      <c r="G197" s="14">
        <f>55-3</f>
        <v>52</v>
      </c>
      <c r="H197" s="14">
        <f>55-2</f>
        <v>53</v>
      </c>
      <c r="I197" s="14"/>
    </row>
    <row r="198" spans="1:9" x14ac:dyDescent="0.3">
      <c r="A198" s="15" t="s">
        <v>11</v>
      </c>
      <c r="B198" s="16">
        <v>1</v>
      </c>
      <c r="C198" s="16">
        <v>2</v>
      </c>
      <c r="D198" s="16">
        <v>1</v>
      </c>
      <c r="E198" s="16">
        <v>0</v>
      </c>
      <c r="F198" s="16">
        <v>1</v>
      </c>
      <c r="G198" s="16">
        <v>2</v>
      </c>
      <c r="H198" s="16">
        <v>2</v>
      </c>
      <c r="I198" s="16">
        <f>SUM(B198:H198)</f>
        <v>9</v>
      </c>
    </row>
    <row r="199" spans="1:9" x14ac:dyDescent="0.3">
      <c r="A199" s="15" t="s">
        <v>12</v>
      </c>
      <c r="B199" s="16">
        <v>0</v>
      </c>
      <c r="C199" s="16">
        <v>4</v>
      </c>
      <c r="D199" s="16">
        <v>3</v>
      </c>
      <c r="E199" s="16">
        <v>34</v>
      </c>
      <c r="F199" s="16">
        <v>47</v>
      </c>
      <c r="G199" s="16">
        <v>15</v>
      </c>
      <c r="H199" s="16">
        <v>5</v>
      </c>
      <c r="I199" s="16">
        <f>SUM(B199:H199)</f>
        <v>108</v>
      </c>
    </row>
    <row r="200" spans="1:9" x14ac:dyDescent="0.3">
      <c r="A200" s="15" t="s">
        <v>30</v>
      </c>
      <c r="B200" s="16">
        <v>0</v>
      </c>
      <c r="C200" s="16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f>SUM(B200:H200)</f>
        <v>0</v>
      </c>
    </row>
    <row r="201" spans="1:9" x14ac:dyDescent="0.3">
      <c r="A201" s="15" t="s">
        <v>28</v>
      </c>
      <c r="B201" s="16">
        <v>26</v>
      </c>
      <c r="C201" s="16">
        <v>23</v>
      </c>
      <c r="D201" s="16">
        <v>20</v>
      </c>
      <c r="E201" s="16">
        <v>24</v>
      </c>
      <c r="F201" s="16">
        <v>19</v>
      </c>
      <c r="G201" s="16">
        <v>87</v>
      </c>
      <c r="H201" s="16">
        <v>27</v>
      </c>
      <c r="I201" s="16">
        <f t="shared" ref="I201:I207" si="25">B201+C201+D201+E201+F201+G201+H201</f>
        <v>226</v>
      </c>
    </row>
    <row r="202" spans="1:9" x14ac:dyDescent="0.3">
      <c r="A202" s="15" t="s">
        <v>29</v>
      </c>
      <c r="B202" s="16">
        <v>0</v>
      </c>
      <c r="C202" s="16">
        <v>0</v>
      </c>
      <c r="D202" s="16">
        <v>0</v>
      </c>
      <c r="E202" s="16">
        <v>105</v>
      </c>
      <c r="F202" s="16">
        <v>3</v>
      </c>
      <c r="G202" s="16">
        <v>12</v>
      </c>
      <c r="H202" s="16">
        <v>1</v>
      </c>
      <c r="I202" s="16">
        <f t="shared" si="25"/>
        <v>121</v>
      </c>
    </row>
    <row r="203" spans="1:9" x14ac:dyDescent="0.3">
      <c r="A203" s="15" t="s">
        <v>31</v>
      </c>
      <c r="B203" s="16">
        <v>1</v>
      </c>
      <c r="C203" s="16">
        <v>0</v>
      </c>
      <c r="D203" s="16">
        <v>1</v>
      </c>
      <c r="E203" s="16">
        <v>39</v>
      </c>
      <c r="F203" s="16">
        <v>0</v>
      </c>
      <c r="G203" s="16">
        <v>2</v>
      </c>
      <c r="H203" s="16">
        <v>0</v>
      </c>
      <c r="I203" s="16">
        <f t="shared" si="25"/>
        <v>43</v>
      </c>
    </row>
    <row r="204" spans="1:9" x14ac:dyDescent="0.3">
      <c r="A204" s="15" t="s">
        <v>13</v>
      </c>
      <c r="B204" s="16">
        <v>0</v>
      </c>
      <c r="C204" s="16">
        <v>0</v>
      </c>
      <c r="D204" s="16">
        <v>0</v>
      </c>
      <c r="E204" s="16">
        <v>0</v>
      </c>
      <c r="F204" s="16">
        <v>0</v>
      </c>
      <c r="G204" s="16">
        <v>1</v>
      </c>
      <c r="H204" s="16">
        <v>1</v>
      </c>
      <c r="I204" s="16">
        <f t="shared" si="25"/>
        <v>2</v>
      </c>
    </row>
    <row r="205" spans="1:9" x14ac:dyDescent="0.3">
      <c r="A205" s="15" t="s">
        <v>14</v>
      </c>
      <c r="B205" s="16">
        <v>0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f t="shared" si="25"/>
        <v>0</v>
      </c>
    </row>
    <row r="206" spans="1:9" x14ac:dyDescent="0.3">
      <c r="A206" s="15" t="s">
        <v>32</v>
      </c>
      <c r="B206" s="16">
        <v>0</v>
      </c>
      <c r="C206" s="16">
        <v>0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f t="shared" si="25"/>
        <v>0</v>
      </c>
    </row>
    <row r="207" spans="1:9" x14ac:dyDescent="0.3">
      <c r="A207" s="15" t="s">
        <v>33</v>
      </c>
      <c r="B207" s="16">
        <v>0</v>
      </c>
      <c r="C207" s="16">
        <v>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f t="shared" si="25"/>
        <v>0</v>
      </c>
    </row>
    <row r="208" spans="1:9" ht="19.5" thickBot="1" x14ac:dyDescent="0.35">
      <c r="A208" s="30" t="s">
        <v>15</v>
      </c>
      <c r="B208" s="31">
        <f t="shared" ref="B208:H208" si="26">(B199+B198)/B197*100%</f>
        <v>1.9607843137254902E-2</v>
      </c>
      <c r="C208" s="31">
        <f t="shared" si="26"/>
        <v>0.11538461538461539</v>
      </c>
      <c r="D208" s="31">
        <f t="shared" si="26"/>
        <v>7.8431372549019607E-2</v>
      </c>
      <c r="E208" s="31">
        <f t="shared" si="26"/>
        <v>0.65384615384615385</v>
      </c>
      <c r="F208" s="31">
        <f t="shared" si="26"/>
        <v>0.92307692307692313</v>
      </c>
      <c r="G208" s="31">
        <f t="shared" si="26"/>
        <v>0.32692307692307693</v>
      </c>
      <c r="H208" s="31">
        <f t="shared" si="26"/>
        <v>0.13207547169811321</v>
      </c>
      <c r="I208" s="32">
        <f>(B208+C208+D208+E208+F208+G208+H208)/7</f>
        <v>0.32133506523073674</v>
      </c>
    </row>
    <row r="209" spans="1:11" x14ac:dyDescent="0.3">
      <c r="A209" s="33" t="s">
        <v>16</v>
      </c>
      <c r="B209" s="16"/>
      <c r="C209" s="17"/>
      <c r="D209" s="16"/>
      <c r="E209" s="18"/>
      <c r="F209" s="16"/>
      <c r="G209" s="16"/>
      <c r="H209" s="16"/>
      <c r="I209" s="16"/>
    </row>
    <row r="210" spans="1:11" x14ac:dyDescent="0.3">
      <c r="A210" s="15" t="s">
        <v>34</v>
      </c>
      <c r="B210" s="28">
        <v>0</v>
      </c>
      <c r="C210" s="28">
        <v>3905.69</v>
      </c>
      <c r="D210" s="28">
        <v>3173.37</v>
      </c>
      <c r="E210" s="28">
        <v>1708.7380000000003</v>
      </c>
      <c r="F210" s="28">
        <v>8079.8960000000006</v>
      </c>
      <c r="G210" s="28">
        <v>11527.157000000001</v>
      </c>
      <c r="H210" s="28">
        <v>3295.4230000000007</v>
      </c>
      <c r="I210" s="19">
        <f>B210+C210+D210+E210+F210+G210+H210</f>
        <v>31690.274000000005</v>
      </c>
      <c r="J210" s="29">
        <f>'ECO PARK'!E210+'ECO PARK'!D210+'ECO PARK'!C210+'ECO PARK'!B210+'ECO PARK'!I188+'ECO PARK'!I165+'ECO PARK'!I142+'ECO PARK'!H119+'ECO PARK'!G119+'ECO PARK'!F119+'ECO PARK'!E119</f>
        <v>88421.703000000009</v>
      </c>
      <c r="K210" s="29">
        <f>E210+D210+C210+I188+I165+I142+H119+G119+F119+E119</f>
        <v>88421.703000000009</v>
      </c>
    </row>
    <row r="211" spans="1:11" x14ac:dyDescent="0.3">
      <c r="A211" s="15" t="s">
        <v>35</v>
      </c>
      <c r="B211" s="28">
        <v>0</v>
      </c>
      <c r="C211" s="28">
        <v>0</v>
      </c>
      <c r="D211" s="28">
        <v>0</v>
      </c>
      <c r="E211" s="28">
        <v>11550.231</v>
      </c>
      <c r="F211" s="28">
        <v>16450.326000000001</v>
      </c>
      <c r="G211" s="28">
        <v>0</v>
      </c>
      <c r="H211" s="28">
        <v>0</v>
      </c>
      <c r="I211" s="19">
        <f>B211+C211+D211+E211+F211+G211+H211</f>
        <v>28000.557000000001</v>
      </c>
      <c r="J211" s="29">
        <f>'ECO PARK'!E211+'ECO PARK'!D211+'ECO PARK'!C211+'ECO PARK'!B211+'ECO PARK'!I189+'ECO PARK'!I166+'ECO PARK'!I143+'ECO PARK'!H120+'ECO PARK'!G120+'ECO PARK'!F120+'ECO PARK'!E120</f>
        <v>67947.162000000011</v>
      </c>
      <c r="K211" s="29">
        <f>E211+I189+I166+I143+H120</f>
        <v>67947.162000000011</v>
      </c>
    </row>
    <row r="212" spans="1:11" ht="19.5" thickBot="1" x14ac:dyDescent="0.35">
      <c r="A212" s="15" t="s">
        <v>20</v>
      </c>
      <c r="B212" s="28">
        <v>3759.21</v>
      </c>
      <c r="C212" s="28">
        <v>3726.67</v>
      </c>
      <c r="D212" s="28">
        <v>4345.0600000000004</v>
      </c>
      <c r="E212" s="28">
        <v>12302.916000000001</v>
      </c>
      <c r="F212" s="28">
        <v>4263.6880000000001</v>
      </c>
      <c r="G212" s="28">
        <v>17095.435999999998</v>
      </c>
      <c r="H212" s="28">
        <v>5907.3480000000009</v>
      </c>
      <c r="I212" s="19">
        <f>B212+C212+D212+E212+F212+G212+H212</f>
        <v>51400.327999999994</v>
      </c>
      <c r="J212" s="29">
        <f>'ECO PARK'!E212+'ECO PARK'!D212+'ECO PARK'!C212+'ECO PARK'!B212+'ECO PARK'!I190+'ECO PARK'!I167+'ECO PARK'!I144+'ECO PARK'!H121+'ECO PARK'!G121+'ECO PARK'!F121+'ECO PARK'!E121</f>
        <v>272466.96280000004</v>
      </c>
      <c r="K212" s="29">
        <f>SUM(K210:K211)</f>
        <v>156368.86500000002</v>
      </c>
    </row>
    <row r="213" spans="1:11" ht="19.5" thickBot="1" x14ac:dyDescent="0.35">
      <c r="A213" s="34" t="s">
        <v>7</v>
      </c>
      <c r="B213" s="35">
        <f t="shared" ref="B213:I213" si="27">B210+B211+B212</f>
        <v>3759.21</v>
      </c>
      <c r="C213" s="35">
        <f t="shared" si="27"/>
        <v>7632.3600000000006</v>
      </c>
      <c r="D213" s="35">
        <f t="shared" si="27"/>
        <v>7518.43</v>
      </c>
      <c r="E213" s="35">
        <f t="shared" si="27"/>
        <v>25561.885000000002</v>
      </c>
      <c r="F213" s="35">
        <f t="shared" si="27"/>
        <v>28793.910000000003</v>
      </c>
      <c r="G213" s="35">
        <f t="shared" si="27"/>
        <v>28622.593000000001</v>
      </c>
      <c r="H213" s="35">
        <f t="shared" si="27"/>
        <v>9202.7710000000006</v>
      </c>
      <c r="I213" s="36">
        <f t="shared" si="27"/>
        <v>111091.159</v>
      </c>
      <c r="J213" s="29">
        <f>'ECO PARK'!E213+'ECO PARK'!D213+'ECO PARK'!C213+'ECO PARK'!B213+'ECO PARK'!I191+'ECO PARK'!I168+'ECO PARK'!I145+'ECO PARK'!H122+'ECO PARK'!G122+'ECO PARK'!F122+'ECO PARK'!E122</f>
        <v>428835.82780000003</v>
      </c>
    </row>
    <row r="214" spans="1:11" ht="19.5" thickTop="1" x14ac:dyDescent="0.3"/>
    <row r="216" spans="1:11" x14ac:dyDescent="0.3">
      <c r="A216" s="4" t="s">
        <v>46</v>
      </c>
      <c r="B216" s="5" t="s">
        <v>0</v>
      </c>
      <c r="C216" s="5" t="s">
        <v>1</v>
      </c>
      <c r="D216" s="5" t="s">
        <v>2</v>
      </c>
      <c r="E216" s="6" t="s">
        <v>3</v>
      </c>
      <c r="F216" s="5" t="s">
        <v>4</v>
      </c>
      <c r="G216" s="5" t="s">
        <v>5</v>
      </c>
      <c r="H216" s="5" t="s">
        <v>6</v>
      </c>
      <c r="I216" s="5" t="s">
        <v>7</v>
      </c>
    </row>
    <row r="217" spans="1:11" x14ac:dyDescent="0.3">
      <c r="A217" s="7"/>
      <c r="B217" s="8">
        <v>45355</v>
      </c>
      <c r="C217" s="8">
        <v>45356</v>
      </c>
      <c r="D217" s="8">
        <v>45357</v>
      </c>
      <c r="E217" s="8">
        <v>45358</v>
      </c>
      <c r="F217" s="8">
        <v>45359</v>
      </c>
      <c r="G217" s="8">
        <v>45360</v>
      </c>
      <c r="H217" s="8">
        <v>45361</v>
      </c>
      <c r="I217" s="9"/>
    </row>
    <row r="218" spans="1:11" ht="19.5" thickBot="1" x14ac:dyDescent="0.35">
      <c r="A218" s="10" t="s">
        <v>8</v>
      </c>
      <c r="B218" s="11" t="s">
        <v>9</v>
      </c>
      <c r="C218" s="11" t="s">
        <v>9</v>
      </c>
      <c r="D218" s="11" t="s">
        <v>9</v>
      </c>
      <c r="E218" s="11" t="s">
        <v>9</v>
      </c>
      <c r="F218" s="11" t="s">
        <v>9</v>
      </c>
      <c r="G218" s="11" t="s">
        <v>9</v>
      </c>
      <c r="H218" s="11" t="s">
        <v>9</v>
      </c>
      <c r="I218" s="12" t="s">
        <v>9</v>
      </c>
    </row>
    <row r="219" spans="1:11" x14ac:dyDescent="0.3">
      <c r="A219" s="13" t="s">
        <v>10</v>
      </c>
      <c r="B219" s="14">
        <v>54</v>
      </c>
      <c r="C219" s="14">
        <v>55</v>
      </c>
      <c r="D219" s="14">
        <v>52</v>
      </c>
      <c r="E219" s="14">
        <f>55-1</f>
        <v>54</v>
      </c>
      <c r="F219" s="14">
        <v>54</v>
      </c>
      <c r="G219" s="14">
        <v>46</v>
      </c>
      <c r="H219" s="14">
        <v>46</v>
      </c>
      <c r="I219" s="14"/>
    </row>
    <row r="220" spans="1:11" x14ac:dyDescent="0.3">
      <c r="A220" s="15" t="s">
        <v>11</v>
      </c>
      <c r="B220" s="16">
        <v>2</v>
      </c>
      <c r="C220" s="16">
        <v>0</v>
      </c>
      <c r="D220" s="16">
        <v>0</v>
      </c>
      <c r="E220" s="16">
        <v>0</v>
      </c>
      <c r="F220" s="16">
        <v>0</v>
      </c>
      <c r="G220" s="16">
        <v>1</v>
      </c>
      <c r="H220" s="16">
        <v>2</v>
      </c>
      <c r="I220" s="16">
        <f>SUM(B220:H220)</f>
        <v>5</v>
      </c>
    </row>
    <row r="221" spans="1:11" x14ac:dyDescent="0.3">
      <c r="A221" s="15" t="s">
        <v>12</v>
      </c>
      <c r="B221" s="16">
        <v>3</v>
      </c>
      <c r="C221" s="16">
        <v>3</v>
      </c>
      <c r="D221" s="16">
        <v>1</v>
      </c>
      <c r="E221" s="16">
        <v>2</v>
      </c>
      <c r="F221" s="16">
        <v>8</v>
      </c>
      <c r="G221" s="16">
        <v>13</v>
      </c>
      <c r="H221" s="16">
        <v>1</v>
      </c>
      <c r="I221" s="16">
        <f>SUM(B221:H221)</f>
        <v>31</v>
      </c>
    </row>
    <row r="222" spans="1:11" x14ac:dyDescent="0.3">
      <c r="A222" s="15" t="s">
        <v>30</v>
      </c>
      <c r="B222" s="16">
        <v>0</v>
      </c>
      <c r="C222" s="16">
        <v>0</v>
      </c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16">
        <f>SUM(B222:H222)</f>
        <v>0</v>
      </c>
    </row>
    <row r="223" spans="1:11" x14ac:dyDescent="0.3">
      <c r="A223" s="15" t="s">
        <v>28</v>
      </c>
      <c r="B223" s="16">
        <v>4</v>
      </c>
      <c r="C223" s="16">
        <v>15</v>
      </c>
      <c r="D223" s="16">
        <v>165</v>
      </c>
      <c r="E223" s="16">
        <v>11</v>
      </c>
      <c r="F223" s="16">
        <v>40</v>
      </c>
      <c r="G223" s="16">
        <v>96</v>
      </c>
      <c r="H223" s="16">
        <v>46</v>
      </c>
      <c r="I223" s="16">
        <f t="shared" ref="I223:I229" si="28">B223+C223+D223+E223+F223+G223+H223</f>
        <v>377</v>
      </c>
    </row>
    <row r="224" spans="1:11" x14ac:dyDescent="0.3">
      <c r="A224" s="15" t="s">
        <v>29</v>
      </c>
      <c r="B224" s="16">
        <v>0</v>
      </c>
      <c r="C224" s="16">
        <v>151</v>
      </c>
      <c r="D224" s="16">
        <v>41</v>
      </c>
      <c r="E224" s="16">
        <v>1</v>
      </c>
      <c r="F224" s="16">
        <v>170</v>
      </c>
      <c r="G224" s="16">
        <v>2</v>
      </c>
      <c r="H224" s="16">
        <v>4</v>
      </c>
      <c r="I224" s="16">
        <f t="shared" si="28"/>
        <v>369</v>
      </c>
    </row>
    <row r="225" spans="1:9" x14ac:dyDescent="0.3">
      <c r="A225" s="15" t="s">
        <v>31</v>
      </c>
      <c r="B225" s="16">
        <v>0</v>
      </c>
      <c r="C225" s="16">
        <v>0</v>
      </c>
      <c r="D225" s="16">
        <v>9</v>
      </c>
      <c r="E225" s="16">
        <v>0</v>
      </c>
      <c r="F225" s="16">
        <v>0</v>
      </c>
      <c r="G225" s="16">
        <v>2</v>
      </c>
      <c r="H225" s="16">
        <v>2</v>
      </c>
      <c r="I225" s="16">
        <f t="shared" si="28"/>
        <v>13</v>
      </c>
    </row>
    <row r="226" spans="1:9" x14ac:dyDescent="0.3">
      <c r="A226" s="15" t="s">
        <v>13</v>
      </c>
      <c r="B226" s="16">
        <v>0</v>
      </c>
      <c r="C226" s="16">
        <v>0</v>
      </c>
      <c r="D226" s="16">
        <v>0</v>
      </c>
      <c r="E226" s="16">
        <v>0</v>
      </c>
      <c r="F226" s="16">
        <v>0</v>
      </c>
      <c r="G226" s="16">
        <v>0</v>
      </c>
      <c r="H226" s="16">
        <v>1</v>
      </c>
      <c r="I226" s="16">
        <f t="shared" si="28"/>
        <v>1</v>
      </c>
    </row>
    <row r="227" spans="1:9" x14ac:dyDescent="0.3">
      <c r="A227" s="15" t="s">
        <v>14</v>
      </c>
      <c r="B227" s="16">
        <v>0</v>
      </c>
      <c r="C227" s="16">
        <v>0</v>
      </c>
      <c r="D227" s="16">
        <v>0</v>
      </c>
      <c r="E227" s="16">
        <v>0</v>
      </c>
      <c r="F227" s="16">
        <v>0</v>
      </c>
      <c r="G227" s="16">
        <v>0</v>
      </c>
      <c r="H227" s="16">
        <v>1</v>
      </c>
      <c r="I227" s="16">
        <f t="shared" si="28"/>
        <v>1</v>
      </c>
    </row>
    <row r="228" spans="1:9" x14ac:dyDescent="0.3">
      <c r="A228" s="15" t="s">
        <v>32</v>
      </c>
      <c r="B228" s="16">
        <v>0</v>
      </c>
      <c r="C228" s="16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f t="shared" si="28"/>
        <v>0</v>
      </c>
    </row>
    <row r="229" spans="1:9" x14ac:dyDescent="0.3">
      <c r="A229" s="15" t="s">
        <v>33</v>
      </c>
      <c r="B229" s="16">
        <v>0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f t="shared" si="28"/>
        <v>0</v>
      </c>
    </row>
    <row r="230" spans="1:9" ht="19.5" thickBot="1" x14ac:dyDescent="0.35">
      <c r="A230" s="30" t="s">
        <v>15</v>
      </c>
      <c r="B230" s="31">
        <f t="shared" ref="B230:H230" si="29">(B221+B220)/B219*100%</f>
        <v>9.2592592592592587E-2</v>
      </c>
      <c r="C230" s="31">
        <f t="shared" si="29"/>
        <v>5.4545454545454543E-2</v>
      </c>
      <c r="D230" s="31">
        <f t="shared" si="29"/>
        <v>1.9230769230769232E-2</v>
      </c>
      <c r="E230" s="31">
        <f t="shared" si="29"/>
        <v>3.7037037037037035E-2</v>
      </c>
      <c r="F230" s="31">
        <f t="shared" si="29"/>
        <v>0.14814814814814814</v>
      </c>
      <c r="G230" s="31">
        <f t="shared" si="29"/>
        <v>0.30434782608695654</v>
      </c>
      <c r="H230" s="31">
        <f t="shared" si="29"/>
        <v>6.5217391304347824E-2</v>
      </c>
      <c r="I230" s="32">
        <f>(B230+C230+D230+E230+F230+G230+H230)/7</f>
        <v>0.10301703127790084</v>
      </c>
    </row>
    <row r="231" spans="1:9" x14ac:dyDescent="0.3">
      <c r="A231" s="33" t="s">
        <v>16</v>
      </c>
      <c r="B231" s="16"/>
      <c r="C231" s="17"/>
      <c r="D231" s="16"/>
      <c r="E231" s="18"/>
      <c r="F231" s="16"/>
      <c r="G231" s="16"/>
      <c r="H231" s="16"/>
      <c r="I231" s="16"/>
    </row>
    <row r="232" spans="1:9" x14ac:dyDescent="0.3">
      <c r="A232" s="15" t="s">
        <v>34</v>
      </c>
      <c r="B232" s="28">
        <v>3254.7430000000004</v>
      </c>
      <c r="C232" s="28">
        <v>2115.58</v>
      </c>
      <c r="D232" s="28">
        <v>488.21000000000004</v>
      </c>
      <c r="E232" s="28">
        <v>976.42000000000007</v>
      </c>
      <c r="F232" s="28">
        <v>4642.884</v>
      </c>
      <c r="G232" s="28">
        <v>7526.5810000000001</v>
      </c>
      <c r="H232" s="28">
        <v>488.21000000000004</v>
      </c>
      <c r="I232" s="19">
        <f>SUM(B232:H232)</f>
        <v>19492.627999999997</v>
      </c>
    </row>
    <row r="233" spans="1:9" x14ac:dyDescent="0.3">
      <c r="A233" s="15" t="s">
        <v>35</v>
      </c>
      <c r="B233" s="28">
        <v>0</v>
      </c>
      <c r="C233" s="28">
        <v>0</v>
      </c>
      <c r="D233" s="28">
        <v>0</v>
      </c>
      <c r="E233" s="28">
        <v>0</v>
      </c>
      <c r="F233" s="28">
        <v>0</v>
      </c>
      <c r="G233" s="28">
        <v>0</v>
      </c>
      <c r="H233" s="28">
        <v>0</v>
      </c>
      <c r="I233" s="19">
        <f>SUM(B233:H233)</f>
        <v>0</v>
      </c>
    </row>
    <row r="234" spans="1:9" ht="19.5" thickBot="1" x14ac:dyDescent="0.35">
      <c r="A234" s="15" t="s">
        <v>20</v>
      </c>
      <c r="B234" s="28">
        <v>846.22400000000005</v>
      </c>
      <c r="C234" s="28">
        <v>11359.048000000001</v>
      </c>
      <c r="D234" s="28">
        <v>35805.972000000002</v>
      </c>
      <c r="E234" s="28">
        <v>2408.5</v>
      </c>
      <c r="F234" s="28">
        <v>19058.112000000001</v>
      </c>
      <c r="G234" s="28">
        <v>18307.904000000002</v>
      </c>
      <c r="H234" s="28">
        <v>9316.0120000000006</v>
      </c>
      <c r="I234" s="19">
        <f>SUM(B234:H234)</f>
        <v>97101.772000000012</v>
      </c>
    </row>
    <row r="235" spans="1:9" ht="19.5" thickBot="1" x14ac:dyDescent="0.35">
      <c r="A235" s="34" t="s">
        <v>7</v>
      </c>
      <c r="B235" s="35">
        <f t="shared" ref="B235:H235" si="30">B232+B233+B234</f>
        <v>4100.9670000000006</v>
      </c>
      <c r="C235" s="35">
        <f t="shared" si="30"/>
        <v>13474.628000000001</v>
      </c>
      <c r="D235" s="35">
        <f t="shared" si="30"/>
        <v>36294.182000000001</v>
      </c>
      <c r="E235" s="35">
        <f t="shared" si="30"/>
        <v>3384.92</v>
      </c>
      <c r="F235" s="35">
        <f t="shared" si="30"/>
        <v>23700.995999999999</v>
      </c>
      <c r="G235" s="35">
        <f t="shared" si="30"/>
        <v>25834.485000000001</v>
      </c>
      <c r="H235" s="35">
        <f t="shared" si="30"/>
        <v>9804.2220000000016</v>
      </c>
      <c r="I235" s="36">
        <f>SUM(I232:I234)</f>
        <v>116594.40000000001</v>
      </c>
    </row>
    <row r="236" spans="1:9" ht="19.5" thickTop="1" x14ac:dyDescent="0.3">
      <c r="I236" s="29"/>
    </row>
    <row r="239" spans="1:9" x14ac:dyDescent="0.3">
      <c r="A239" s="4" t="s">
        <v>47</v>
      </c>
      <c r="B239" s="5" t="s">
        <v>0</v>
      </c>
      <c r="C239" s="5" t="s">
        <v>1</v>
      </c>
      <c r="D239" s="5" t="s">
        <v>2</v>
      </c>
      <c r="E239" s="6" t="s">
        <v>3</v>
      </c>
      <c r="F239" s="5" t="s">
        <v>4</v>
      </c>
      <c r="G239" s="5" t="s">
        <v>5</v>
      </c>
      <c r="H239" s="5" t="s">
        <v>6</v>
      </c>
      <c r="I239" s="5" t="s">
        <v>7</v>
      </c>
    </row>
    <row r="240" spans="1:9" x14ac:dyDescent="0.3">
      <c r="A240" s="7"/>
      <c r="B240" s="8">
        <v>45362</v>
      </c>
      <c r="C240" s="8">
        <v>45363</v>
      </c>
      <c r="D240" s="8">
        <v>45364</v>
      </c>
      <c r="E240" s="8">
        <v>45365</v>
      </c>
      <c r="F240" s="8">
        <v>45366</v>
      </c>
      <c r="G240" s="8">
        <v>45367</v>
      </c>
      <c r="H240" s="8">
        <v>45368</v>
      </c>
      <c r="I240" s="9"/>
    </row>
    <row r="241" spans="1:10" ht="19.5" thickBot="1" x14ac:dyDescent="0.35">
      <c r="A241" s="10" t="s">
        <v>8</v>
      </c>
      <c r="B241" s="11" t="s">
        <v>9</v>
      </c>
      <c r="C241" s="11" t="s">
        <v>9</v>
      </c>
      <c r="D241" s="11" t="s">
        <v>9</v>
      </c>
      <c r="E241" s="11" t="s">
        <v>9</v>
      </c>
      <c r="F241" s="11" t="s">
        <v>9</v>
      </c>
      <c r="G241" s="11" t="s">
        <v>9</v>
      </c>
      <c r="H241" s="11" t="s">
        <v>9</v>
      </c>
      <c r="I241" s="12" t="s">
        <v>9</v>
      </c>
    </row>
    <row r="242" spans="1:10" x14ac:dyDescent="0.3">
      <c r="A242" s="13" t="s">
        <v>10</v>
      </c>
      <c r="B242" s="14">
        <v>7</v>
      </c>
      <c r="C242" s="14">
        <v>53</v>
      </c>
      <c r="D242" s="14">
        <v>53</v>
      </c>
      <c r="E242" s="14">
        <v>52</v>
      </c>
      <c r="F242" s="14">
        <f>55-4</f>
        <v>51</v>
      </c>
      <c r="G242" s="14">
        <f>55-4</f>
        <v>51</v>
      </c>
      <c r="H242" s="14">
        <f>55-4</f>
        <v>51</v>
      </c>
      <c r="I242" s="14"/>
    </row>
    <row r="243" spans="1:10" x14ac:dyDescent="0.3">
      <c r="A243" s="15" t="s">
        <v>11</v>
      </c>
      <c r="B243" s="16">
        <v>0</v>
      </c>
      <c r="C243" s="16">
        <v>1</v>
      </c>
      <c r="D243" s="16">
        <v>2</v>
      </c>
      <c r="E243" s="16">
        <v>2</v>
      </c>
      <c r="F243" s="16">
        <v>2</v>
      </c>
      <c r="G243" s="16">
        <v>1</v>
      </c>
      <c r="H243" s="16">
        <v>2</v>
      </c>
      <c r="I243" s="16">
        <f>SUM(B243:H243)</f>
        <v>10</v>
      </c>
    </row>
    <row r="244" spans="1:10" x14ac:dyDescent="0.3">
      <c r="A244" s="15" t="s">
        <v>12</v>
      </c>
      <c r="B244" s="16">
        <v>1</v>
      </c>
      <c r="C244" s="16">
        <v>1</v>
      </c>
      <c r="D244" s="16">
        <v>0</v>
      </c>
      <c r="E244" s="16">
        <v>1</v>
      </c>
      <c r="F244" s="16">
        <v>15</v>
      </c>
      <c r="G244" s="16">
        <v>24</v>
      </c>
      <c r="H244" s="16">
        <v>10</v>
      </c>
      <c r="I244" s="16">
        <f>SUM(B244:H244)</f>
        <v>52</v>
      </c>
    </row>
    <row r="245" spans="1:10" x14ac:dyDescent="0.3">
      <c r="A245" s="15" t="s">
        <v>30</v>
      </c>
      <c r="B245" s="16">
        <v>0</v>
      </c>
      <c r="C245" s="16">
        <v>0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6">
        <f>SUM(B245:H245)</f>
        <v>0</v>
      </c>
    </row>
    <row r="246" spans="1:10" x14ac:dyDescent="0.3">
      <c r="A246" s="15" t="s">
        <v>28</v>
      </c>
      <c r="B246" s="16">
        <v>0</v>
      </c>
      <c r="C246" s="16">
        <v>2</v>
      </c>
      <c r="D246" s="16">
        <v>6</v>
      </c>
      <c r="E246" s="16">
        <v>12</v>
      </c>
      <c r="F246" s="16">
        <v>29</v>
      </c>
      <c r="G246" s="16">
        <v>72</v>
      </c>
      <c r="H246" s="16">
        <v>111</v>
      </c>
      <c r="I246" s="16">
        <f t="shared" ref="I246:I252" si="31">B246+C246+D246+E246+F246+G246+H246</f>
        <v>232</v>
      </c>
    </row>
    <row r="247" spans="1:10" x14ac:dyDescent="0.3">
      <c r="A247" s="15" t="s">
        <v>29</v>
      </c>
      <c r="B247" s="16">
        <v>0</v>
      </c>
      <c r="C247" s="16">
        <v>2</v>
      </c>
      <c r="D247" s="16">
        <v>0</v>
      </c>
      <c r="E247" s="16">
        <v>0</v>
      </c>
      <c r="F247" s="16">
        <v>3</v>
      </c>
      <c r="G247" s="16">
        <v>1</v>
      </c>
      <c r="H247" s="16">
        <v>7</v>
      </c>
      <c r="I247" s="16">
        <f t="shared" si="31"/>
        <v>13</v>
      </c>
    </row>
    <row r="248" spans="1:10" x14ac:dyDescent="0.3">
      <c r="A248" s="15" t="s">
        <v>31</v>
      </c>
      <c r="B248" s="16">
        <v>0</v>
      </c>
      <c r="C248" s="16">
        <v>0</v>
      </c>
      <c r="D248" s="16">
        <v>0</v>
      </c>
      <c r="E248" s="16">
        <v>0</v>
      </c>
      <c r="F248" s="16">
        <v>58</v>
      </c>
      <c r="G248" s="16">
        <v>1</v>
      </c>
      <c r="H248" s="16">
        <v>2</v>
      </c>
      <c r="I248" s="16">
        <f t="shared" si="31"/>
        <v>61</v>
      </c>
    </row>
    <row r="249" spans="1:10" x14ac:dyDescent="0.3">
      <c r="A249" s="15" t="s">
        <v>13</v>
      </c>
      <c r="B249" s="16">
        <v>0</v>
      </c>
      <c r="C249" s="16">
        <v>0</v>
      </c>
      <c r="D249" s="16">
        <v>0</v>
      </c>
      <c r="E249" s="16">
        <v>0</v>
      </c>
      <c r="F249" s="16">
        <v>1</v>
      </c>
      <c r="G249" s="16">
        <v>0</v>
      </c>
      <c r="H249" s="16">
        <v>7</v>
      </c>
      <c r="I249" s="16">
        <f t="shared" si="31"/>
        <v>8</v>
      </c>
    </row>
    <row r="250" spans="1:10" x14ac:dyDescent="0.3">
      <c r="A250" s="15" t="s">
        <v>14</v>
      </c>
      <c r="B250" s="16">
        <v>0</v>
      </c>
      <c r="C250" s="16">
        <v>0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  <c r="I250" s="16">
        <f t="shared" si="31"/>
        <v>0</v>
      </c>
    </row>
    <row r="251" spans="1:10" x14ac:dyDescent="0.3">
      <c r="A251" s="15" t="s">
        <v>32</v>
      </c>
      <c r="B251" s="16">
        <v>0</v>
      </c>
      <c r="C251" s="16">
        <v>0</v>
      </c>
      <c r="D251" s="16">
        <v>0</v>
      </c>
      <c r="E251" s="16">
        <v>2</v>
      </c>
      <c r="F251" s="16">
        <v>0</v>
      </c>
      <c r="G251" s="16">
        <v>0</v>
      </c>
      <c r="H251" s="16">
        <v>0</v>
      </c>
      <c r="I251" s="16">
        <f t="shared" si="31"/>
        <v>2</v>
      </c>
    </row>
    <row r="252" spans="1:10" x14ac:dyDescent="0.3">
      <c r="A252" s="15" t="s">
        <v>33</v>
      </c>
      <c r="B252" s="16">
        <v>0</v>
      </c>
      <c r="C252" s="16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f t="shared" si="31"/>
        <v>0</v>
      </c>
    </row>
    <row r="253" spans="1:10" ht="19.5" thickBot="1" x14ac:dyDescent="0.35">
      <c r="A253" s="30" t="s">
        <v>15</v>
      </c>
      <c r="B253" s="31">
        <f t="shared" ref="B253:H253" si="32">(B244+B243)/B242*100%</f>
        <v>0.14285714285714285</v>
      </c>
      <c r="C253" s="31">
        <f t="shared" si="32"/>
        <v>3.7735849056603772E-2</v>
      </c>
      <c r="D253" s="31">
        <f t="shared" si="32"/>
        <v>3.7735849056603772E-2</v>
      </c>
      <c r="E253" s="31">
        <f t="shared" si="32"/>
        <v>5.7692307692307696E-2</v>
      </c>
      <c r="F253" s="31">
        <f t="shared" si="32"/>
        <v>0.33333333333333331</v>
      </c>
      <c r="G253" s="31">
        <f t="shared" si="32"/>
        <v>0.49019607843137253</v>
      </c>
      <c r="H253" s="31">
        <f t="shared" si="32"/>
        <v>0.23529411764705882</v>
      </c>
      <c r="I253" s="32">
        <f>(B253+C253+D253+E253+F253+G253+H253)/7</f>
        <v>0.19069209686777469</v>
      </c>
    </row>
    <row r="254" spans="1:10" x14ac:dyDescent="0.3">
      <c r="A254" s="33" t="s">
        <v>16</v>
      </c>
      <c r="B254" s="16"/>
      <c r="C254" s="17"/>
      <c r="D254" s="16"/>
      <c r="E254" s="18"/>
      <c r="F254" s="16"/>
      <c r="G254" s="16"/>
      <c r="H254" s="16"/>
      <c r="I254" s="16"/>
    </row>
    <row r="255" spans="1:10" x14ac:dyDescent="0.3">
      <c r="A255" s="15" t="s">
        <v>34</v>
      </c>
      <c r="B255" s="28">
        <v>488.21000000000004</v>
      </c>
      <c r="C255" s="28">
        <v>488.21000000000004</v>
      </c>
      <c r="D255" s="28">
        <v>0</v>
      </c>
      <c r="E255" s="28">
        <v>813.68500000000006</v>
      </c>
      <c r="F255" s="28">
        <v>732.3180000000001</v>
      </c>
      <c r="G255" s="28">
        <v>6281.6620000000003</v>
      </c>
      <c r="H255" s="28">
        <v>0</v>
      </c>
      <c r="I255" s="19">
        <f>SUM(B255:H255)</f>
        <v>8804.0850000000009</v>
      </c>
      <c r="J255" s="29"/>
    </row>
    <row r="256" spans="1:10" x14ac:dyDescent="0.3">
      <c r="A256" s="15" t="s">
        <v>35</v>
      </c>
      <c r="B256" s="28">
        <v>0</v>
      </c>
      <c r="C256" s="28">
        <v>0</v>
      </c>
      <c r="D256" s="28">
        <v>0</v>
      </c>
      <c r="E256" s="28">
        <v>0</v>
      </c>
      <c r="F256" s="28">
        <v>6243.0140000000001</v>
      </c>
      <c r="G256" s="28">
        <v>5950.0840000000007</v>
      </c>
      <c r="H256" s="28">
        <v>3750.2860000000001</v>
      </c>
      <c r="I256" s="19">
        <f>SUM(B256:H256)</f>
        <v>15943.384000000002</v>
      </c>
    </row>
    <row r="257" spans="1:9" ht="19.5" thickBot="1" x14ac:dyDescent="0.35">
      <c r="A257" s="15" t="s">
        <v>20</v>
      </c>
      <c r="B257" s="28">
        <v>0</v>
      </c>
      <c r="C257" s="28">
        <v>1692.4639999999999</v>
      </c>
      <c r="D257" s="28">
        <v>1106.6600000000001</v>
      </c>
      <c r="E257" s="28">
        <v>2733.9960000000001</v>
      </c>
      <c r="F257" s="28">
        <v>12354.980000000001</v>
      </c>
      <c r="G257" s="28">
        <v>15183.312</v>
      </c>
      <c r="H257" s="28">
        <v>18864.448</v>
      </c>
      <c r="I257" s="19">
        <f>SUM(B257:H257)</f>
        <v>51935.86</v>
      </c>
    </row>
    <row r="258" spans="1:9" ht="19.5" thickBot="1" x14ac:dyDescent="0.35">
      <c r="A258" s="34" t="s">
        <v>7</v>
      </c>
      <c r="B258" s="35">
        <f>SUM(B255:B257)</f>
        <v>488.21000000000004</v>
      </c>
      <c r="C258" s="35">
        <f t="shared" ref="C258:H258" si="33">SUM(C255:C257)</f>
        <v>2180.674</v>
      </c>
      <c r="D258" s="35">
        <f t="shared" si="33"/>
        <v>1106.6600000000001</v>
      </c>
      <c r="E258" s="35">
        <f t="shared" si="33"/>
        <v>3547.681</v>
      </c>
      <c r="F258" s="35">
        <f t="shared" si="33"/>
        <v>19330.312000000002</v>
      </c>
      <c r="G258" s="35">
        <f t="shared" si="33"/>
        <v>27415.058000000001</v>
      </c>
      <c r="H258" s="35">
        <f t="shared" si="33"/>
        <v>22614.734</v>
      </c>
      <c r="I258" s="36">
        <f>SUM(I255:I257)</f>
        <v>76683.328999999998</v>
      </c>
    </row>
    <row r="259" spans="1:9" ht="19.5" thickTop="1" x14ac:dyDescent="0.3"/>
    <row r="262" spans="1:9" x14ac:dyDescent="0.3">
      <c r="A262" s="4" t="s">
        <v>48</v>
      </c>
      <c r="B262" s="5" t="s">
        <v>0</v>
      </c>
      <c r="C262" s="5" t="s">
        <v>1</v>
      </c>
      <c r="D262" s="5" t="s">
        <v>2</v>
      </c>
      <c r="E262" s="6" t="s">
        <v>3</v>
      </c>
      <c r="F262" s="5" t="s">
        <v>4</v>
      </c>
      <c r="G262" s="5" t="s">
        <v>5</v>
      </c>
      <c r="H262" s="5" t="s">
        <v>6</v>
      </c>
      <c r="I262" s="5" t="s">
        <v>7</v>
      </c>
    </row>
    <row r="263" spans="1:9" x14ac:dyDescent="0.3">
      <c r="A263" s="7"/>
      <c r="B263" s="8">
        <v>45369</v>
      </c>
      <c r="C263" s="8">
        <v>45370</v>
      </c>
      <c r="D263" s="8">
        <v>45371</v>
      </c>
      <c r="E263" s="8">
        <v>45372</v>
      </c>
      <c r="F263" s="8">
        <v>45373</v>
      </c>
      <c r="G263" s="8">
        <v>45374</v>
      </c>
      <c r="H263" s="8">
        <v>45375</v>
      </c>
      <c r="I263" s="9"/>
    </row>
    <row r="264" spans="1:9" ht="19.5" thickBot="1" x14ac:dyDescent="0.35">
      <c r="A264" s="10" t="s">
        <v>8</v>
      </c>
      <c r="B264" s="11" t="s">
        <v>9</v>
      </c>
      <c r="C264" s="11" t="s">
        <v>9</v>
      </c>
      <c r="D264" s="11" t="s">
        <v>9</v>
      </c>
      <c r="E264" s="11" t="s">
        <v>9</v>
      </c>
      <c r="F264" s="11" t="s">
        <v>9</v>
      </c>
      <c r="G264" s="11" t="s">
        <v>9</v>
      </c>
      <c r="H264" s="11" t="s">
        <v>9</v>
      </c>
      <c r="I264" s="12" t="s">
        <v>9</v>
      </c>
    </row>
    <row r="265" spans="1:9" x14ac:dyDescent="0.3">
      <c r="A265" s="13" t="s">
        <v>10</v>
      </c>
      <c r="B265" s="14">
        <f>55-4</f>
        <v>51</v>
      </c>
      <c r="C265" s="14">
        <f>55-4</f>
        <v>51</v>
      </c>
      <c r="D265" s="14">
        <f>55-3</f>
        <v>52</v>
      </c>
      <c r="E265" s="14">
        <f>55-3</f>
        <v>52</v>
      </c>
      <c r="F265" s="14">
        <f>55-2</f>
        <v>53</v>
      </c>
      <c r="G265" s="14">
        <v>53</v>
      </c>
      <c r="H265" s="14">
        <f>55-1</f>
        <v>54</v>
      </c>
      <c r="I265" s="14"/>
    </row>
    <row r="266" spans="1:9" x14ac:dyDescent="0.3">
      <c r="A266" s="15" t="s">
        <v>11</v>
      </c>
      <c r="B266" s="16">
        <v>3</v>
      </c>
      <c r="C266" s="16">
        <v>2</v>
      </c>
      <c r="D266" s="16">
        <v>2</v>
      </c>
      <c r="E266" s="16">
        <v>2</v>
      </c>
      <c r="F266" s="16">
        <v>2</v>
      </c>
      <c r="G266" s="16">
        <v>2</v>
      </c>
      <c r="H266" s="16">
        <v>1</v>
      </c>
      <c r="I266" s="16">
        <f>SUM(B266:H266)</f>
        <v>14</v>
      </c>
    </row>
    <row r="267" spans="1:9" x14ac:dyDescent="0.3">
      <c r="A267" s="15" t="s">
        <v>12</v>
      </c>
      <c r="B267" s="16">
        <v>17</v>
      </c>
      <c r="C267" s="16">
        <v>21</v>
      </c>
      <c r="D267" s="16">
        <v>20</v>
      </c>
      <c r="E267" s="16">
        <v>26</v>
      </c>
      <c r="F267" s="16">
        <v>10</v>
      </c>
      <c r="G267" s="16">
        <v>3</v>
      </c>
      <c r="H267" s="16">
        <v>1</v>
      </c>
      <c r="I267" s="16">
        <f>SUM(B267:H267)</f>
        <v>98</v>
      </c>
    </row>
    <row r="268" spans="1:9" x14ac:dyDescent="0.3">
      <c r="A268" s="15" t="s">
        <v>30</v>
      </c>
      <c r="B268" s="16">
        <v>0</v>
      </c>
      <c r="C268" s="16">
        <v>0</v>
      </c>
      <c r="D268" s="16">
        <v>0</v>
      </c>
      <c r="E268" s="16">
        <v>0</v>
      </c>
      <c r="F268" s="16">
        <v>0</v>
      </c>
      <c r="G268" s="16">
        <v>0</v>
      </c>
      <c r="H268" s="16">
        <v>0</v>
      </c>
      <c r="I268" s="16">
        <f>SUM(B268:H268)</f>
        <v>0</v>
      </c>
    </row>
    <row r="269" spans="1:9" x14ac:dyDescent="0.3">
      <c r="A269" s="15" t="s">
        <v>28</v>
      </c>
      <c r="B269" s="16">
        <v>5</v>
      </c>
      <c r="C269" s="16">
        <v>8</v>
      </c>
      <c r="D269" s="16">
        <v>4</v>
      </c>
      <c r="E269" s="16">
        <v>18</v>
      </c>
      <c r="F269" s="16">
        <v>46</v>
      </c>
      <c r="G269" s="16">
        <v>117</v>
      </c>
      <c r="H269" s="16">
        <v>20</v>
      </c>
      <c r="I269" s="16">
        <f t="shared" ref="I269:I275" si="34">B269+C269+D269+E269+F269+G269+H269</f>
        <v>218</v>
      </c>
    </row>
    <row r="270" spans="1:9" x14ac:dyDescent="0.3">
      <c r="A270" s="15" t="s">
        <v>29</v>
      </c>
      <c r="B270" s="16">
        <v>1</v>
      </c>
      <c r="C270" s="16">
        <v>0</v>
      </c>
      <c r="D270" s="16">
        <v>1</v>
      </c>
      <c r="E270" s="16">
        <v>0</v>
      </c>
      <c r="F270" s="16">
        <v>18</v>
      </c>
      <c r="G270" s="16">
        <v>10</v>
      </c>
      <c r="H270" s="16">
        <v>4</v>
      </c>
      <c r="I270" s="16">
        <f t="shared" si="34"/>
        <v>34</v>
      </c>
    </row>
    <row r="271" spans="1:9" x14ac:dyDescent="0.3">
      <c r="A271" s="15" t="s">
        <v>31</v>
      </c>
      <c r="B271" s="16">
        <v>1</v>
      </c>
      <c r="C271" s="16">
        <v>0</v>
      </c>
      <c r="D271" s="16">
        <v>1</v>
      </c>
      <c r="E271" s="16">
        <v>1</v>
      </c>
      <c r="F271" s="16">
        <v>0</v>
      </c>
      <c r="G271" s="16">
        <v>4</v>
      </c>
      <c r="H271" s="16">
        <v>0</v>
      </c>
      <c r="I271" s="16">
        <f t="shared" si="34"/>
        <v>7</v>
      </c>
    </row>
    <row r="272" spans="1:9" x14ac:dyDescent="0.3">
      <c r="A272" s="15" t="s">
        <v>13</v>
      </c>
      <c r="B272" s="16">
        <v>0</v>
      </c>
      <c r="C272" s="16">
        <v>1</v>
      </c>
      <c r="D272" s="16">
        <v>0</v>
      </c>
      <c r="E272" s="16">
        <v>1</v>
      </c>
      <c r="F272" s="16">
        <v>2</v>
      </c>
      <c r="G272" s="16">
        <v>5</v>
      </c>
      <c r="H272" s="16">
        <v>1</v>
      </c>
      <c r="I272" s="16">
        <f t="shared" si="34"/>
        <v>10</v>
      </c>
    </row>
    <row r="273" spans="1:10" x14ac:dyDescent="0.3">
      <c r="A273" s="15" t="s">
        <v>14</v>
      </c>
      <c r="B273" s="16">
        <v>0</v>
      </c>
      <c r="C273" s="16">
        <v>0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6">
        <f t="shared" si="34"/>
        <v>0</v>
      </c>
    </row>
    <row r="274" spans="1:10" x14ac:dyDescent="0.3">
      <c r="A274" s="15" t="s">
        <v>32</v>
      </c>
      <c r="B274" s="16">
        <v>0</v>
      </c>
      <c r="C274" s="16">
        <v>0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f t="shared" si="34"/>
        <v>0</v>
      </c>
    </row>
    <row r="275" spans="1:10" x14ac:dyDescent="0.3">
      <c r="A275" s="15" t="s">
        <v>33</v>
      </c>
      <c r="B275" s="16">
        <v>0</v>
      </c>
      <c r="C275" s="16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f t="shared" si="34"/>
        <v>0</v>
      </c>
    </row>
    <row r="276" spans="1:10" ht="19.5" thickBot="1" x14ac:dyDescent="0.35">
      <c r="A276" s="30" t="s">
        <v>15</v>
      </c>
      <c r="B276" s="31">
        <f t="shared" ref="B276:H276" si="35">(B267+B266)/B265*100%</f>
        <v>0.39215686274509803</v>
      </c>
      <c r="C276" s="31">
        <f t="shared" si="35"/>
        <v>0.45098039215686275</v>
      </c>
      <c r="D276" s="31">
        <f t="shared" si="35"/>
        <v>0.42307692307692307</v>
      </c>
      <c r="E276" s="31">
        <f t="shared" si="35"/>
        <v>0.53846153846153844</v>
      </c>
      <c r="F276" s="31">
        <f t="shared" si="35"/>
        <v>0.22641509433962265</v>
      </c>
      <c r="G276" s="31">
        <f t="shared" si="35"/>
        <v>9.4339622641509441E-2</v>
      </c>
      <c r="H276" s="31">
        <f t="shared" si="35"/>
        <v>3.7037037037037035E-2</v>
      </c>
      <c r="I276" s="32">
        <f>(B276+C276+D276+E276+F276+G276+H276)/7</f>
        <v>0.30892392435122734</v>
      </c>
    </row>
    <row r="277" spans="1:10" x14ac:dyDescent="0.3">
      <c r="A277" s="33" t="s">
        <v>16</v>
      </c>
      <c r="B277" s="16"/>
      <c r="C277" s="17"/>
      <c r="D277" s="16"/>
      <c r="E277" s="18"/>
      <c r="F277" s="16"/>
      <c r="G277" s="16"/>
      <c r="H277" s="16"/>
      <c r="I277" s="16"/>
    </row>
    <row r="278" spans="1:10" x14ac:dyDescent="0.3">
      <c r="A278" s="15" t="s">
        <v>34</v>
      </c>
      <c r="B278" s="28">
        <v>406.84200000000004</v>
      </c>
      <c r="C278" s="28">
        <v>0</v>
      </c>
      <c r="D278" s="28">
        <v>488.21000000000004</v>
      </c>
      <c r="E278" s="28">
        <v>6102.6330000000007</v>
      </c>
      <c r="F278" s="1">
        <v>6590.8450000000012</v>
      </c>
      <c r="G278" s="28">
        <v>1871.4750000000001</v>
      </c>
      <c r="H278" s="28">
        <v>813.68500000000006</v>
      </c>
      <c r="I278" s="19">
        <f>SUM(B278:H278)</f>
        <v>16273.690000000002</v>
      </c>
      <c r="J278" s="39"/>
    </row>
    <row r="279" spans="1:10" x14ac:dyDescent="0.3">
      <c r="A279" s="15" t="s">
        <v>35</v>
      </c>
      <c r="B279" s="28">
        <v>7185.9940000000006</v>
      </c>
      <c r="C279" s="28">
        <v>7568.0220000000008</v>
      </c>
      <c r="D279" s="28">
        <v>6847.2580000000007</v>
      </c>
      <c r="E279" s="28">
        <v>6272.9590000000007</v>
      </c>
      <c r="F279" s="1">
        <v>0</v>
      </c>
      <c r="G279" s="28">
        <v>0</v>
      </c>
      <c r="H279" s="28">
        <v>0</v>
      </c>
      <c r="I279" s="19">
        <f>SUM(B279:H279)</f>
        <v>27874.233</v>
      </c>
      <c r="J279" s="39"/>
    </row>
    <row r="280" spans="1:10" ht="19.5" thickBot="1" x14ac:dyDescent="0.35">
      <c r="A280" s="15" t="s">
        <v>20</v>
      </c>
      <c r="B280" s="28">
        <v>1253.0680000000002</v>
      </c>
      <c r="C280" s="28">
        <v>1806.3680000000002</v>
      </c>
      <c r="D280" s="28">
        <v>1041.508</v>
      </c>
      <c r="E280" s="28">
        <v>3887.7760000000003</v>
      </c>
      <c r="F280" s="1">
        <v>9520.1119999999992</v>
      </c>
      <c r="G280" s="28">
        <v>25321.78</v>
      </c>
      <c r="H280" s="28">
        <v>4670.5280000000002</v>
      </c>
      <c r="I280" s="19">
        <f>SUM(B280:H280)</f>
        <v>47501.14</v>
      </c>
      <c r="J280" s="39"/>
    </row>
    <row r="281" spans="1:10" ht="19.5" thickBot="1" x14ac:dyDescent="0.35">
      <c r="A281" s="34" t="s">
        <v>7</v>
      </c>
      <c r="B281" s="35">
        <f>SUM(B278:B280)</f>
        <v>8845.9040000000005</v>
      </c>
      <c r="C281" s="35">
        <f t="shared" ref="C281:H281" si="36">SUM(C278:C280)</f>
        <v>9374.3900000000012</v>
      </c>
      <c r="D281" s="35">
        <f>SUM(D278:D280)</f>
        <v>8376.9760000000006</v>
      </c>
      <c r="E281" s="35">
        <f>SUM(E278:E280)</f>
        <v>16263.368</v>
      </c>
      <c r="F281" s="35">
        <f>SUM(F278:F280)</f>
        <v>16110.957</v>
      </c>
      <c r="G281" s="35">
        <f t="shared" si="36"/>
        <v>27193.254999999997</v>
      </c>
      <c r="H281" s="35">
        <f t="shared" si="36"/>
        <v>5484.2130000000006</v>
      </c>
      <c r="I281" s="36">
        <f>SUM(I278:I280)</f>
        <v>91649.062999999995</v>
      </c>
      <c r="J281" s="39"/>
    </row>
    <row r="282" spans="1:10" ht="19.5" thickTop="1" x14ac:dyDescent="0.3"/>
    <row r="285" spans="1:10" x14ac:dyDescent="0.3">
      <c r="A285" s="4" t="s">
        <v>51</v>
      </c>
      <c r="B285" s="5" t="s">
        <v>0</v>
      </c>
      <c r="C285" s="5" t="s">
        <v>1</v>
      </c>
      <c r="D285" s="5" t="s">
        <v>2</v>
      </c>
      <c r="E285" s="6" t="s">
        <v>3</v>
      </c>
      <c r="F285" s="5" t="s">
        <v>4</v>
      </c>
      <c r="G285" s="5" t="s">
        <v>5</v>
      </c>
      <c r="H285" s="5" t="s">
        <v>6</v>
      </c>
      <c r="I285" s="5" t="s">
        <v>7</v>
      </c>
    </row>
    <row r="286" spans="1:10" x14ac:dyDescent="0.3">
      <c r="A286" s="7"/>
      <c r="B286" s="8">
        <v>45376</v>
      </c>
      <c r="C286" s="8">
        <v>45377</v>
      </c>
      <c r="D286" s="8">
        <v>45378</v>
      </c>
      <c r="E286" s="8">
        <v>45379</v>
      </c>
      <c r="F286" s="8">
        <v>45380</v>
      </c>
      <c r="G286" s="8">
        <v>45381</v>
      </c>
      <c r="H286" s="8">
        <v>45382</v>
      </c>
      <c r="I286" s="9"/>
    </row>
    <row r="287" spans="1:10" ht="19.5" thickBot="1" x14ac:dyDescent="0.35">
      <c r="A287" s="10" t="s">
        <v>8</v>
      </c>
      <c r="B287" s="11" t="s">
        <v>9</v>
      </c>
      <c r="C287" s="11" t="s">
        <v>9</v>
      </c>
      <c r="D287" s="11" t="s">
        <v>9</v>
      </c>
      <c r="E287" s="11" t="s">
        <v>9</v>
      </c>
      <c r="F287" s="11" t="s">
        <v>9</v>
      </c>
      <c r="G287" s="11" t="s">
        <v>9</v>
      </c>
      <c r="H287" s="11" t="s">
        <v>9</v>
      </c>
      <c r="I287" s="12" t="s">
        <v>9</v>
      </c>
    </row>
    <row r="288" spans="1:10" x14ac:dyDescent="0.3">
      <c r="A288" s="13" t="s">
        <v>10</v>
      </c>
      <c r="B288" s="14">
        <v>54</v>
      </c>
      <c r="C288" s="14">
        <v>54</v>
      </c>
      <c r="D288" s="14">
        <v>54</v>
      </c>
      <c r="E288" s="14">
        <v>54</v>
      </c>
      <c r="F288" s="14">
        <f>55-2</f>
        <v>53</v>
      </c>
      <c r="G288" s="14">
        <v>53</v>
      </c>
      <c r="H288" s="14">
        <f>55-5</f>
        <v>50</v>
      </c>
      <c r="I288" s="14"/>
    </row>
    <row r="289" spans="1:11" x14ac:dyDescent="0.3">
      <c r="A289" s="15" t="s">
        <v>11</v>
      </c>
      <c r="B289" s="16">
        <v>0</v>
      </c>
      <c r="C289" s="16">
        <v>1</v>
      </c>
      <c r="D289" s="16">
        <v>1</v>
      </c>
      <c r="E289" s="16">
        <v>0</v>
      </c>
      <c r="F289" s="16">
        <v>1</v>
      </c>
      <c r="G289" s="16">
        <v>1</v>
      </c>
      <c r="H289" s="16">
        <v>3</v>
      </c>
      <c r="I289" s="16">
        <f>SUM(B289:H289)</f>
        <v>7</v>
      </c>
    </row>
    <row r="290" spans="1:11" x14ac:dyDescent="0.3">
      <c r="A290" s="15" t="s">
        <v>12</v>
      </c>
      <c r="B290" s="16">
        <v>4</v>
      </c>
      <c r="C290" s="16">
        <v>0</v>
      </c>
      <c r="D290" s="16">
        <v>2</v>
      </c>
      <c r="E290" s="16">
        <v>1</v>
      </c>
      <c r="F290" s="16">
        <v>31</v>
      </c>
      <c r="G290" s="16">
        <v>40</v>
      </c>
      <c r="H290" s="16">
        <v>32</v>
      </c>
      <c r="I290" s="16">
        <f>SUM(B290:H290)</f>
        <v>110</v>
      </c>
    </row>
    <row r="291" spans="1:11" x14ac:dyDescent="0.3">
      <c r="A291" s="15" t="s">
        <v>30</v>
      </c>
      <c r="B291" s="16">
        <v>0</v>
      </c>
      <c r="C291" s="16">
        <v>0</v>
      </c>
      <c r="D291" s="16">
        <v>0</v>
      </c>
      <c r="E291" s="16">
        <v>0</v>
      </c>
      <c r="F291" s="16">
        <v>0</v>
      </c>
      <c r="G291" s="16">
        <v>0</v>
      </c>
      <c r="H291" s="16">
        <v>0</v>
      </c>
      <c r="I291" s="16">
        <f>SUM(B291:H291)</f>
        <v>0</v>
      </c>
    </row>
    <row r="292" spans="1:11" x14ac:dyDescent="0.3">
      <c r="A292" s="15" t="s">
        <v>28</v>
      </c>
      <c r="B292" s="16">
        <v>6</v>
      </c>
      <c r="C292" s="16">
        <v>15</v>
      </c>
      <c r="D292" s="16">
        <v>20</v>
      </c>
      <c r="E292" s="16">
        <v>167</v>
      </c>
      <c r="F292" s="16">
        <v>100</v>
      </c>
      <c r="G292" s="16">
        <v>213</v>
      </c>
      <c r="H292" s="16">
        <v>60</v>
      </c>
      <c r="I292" s="16">
        <f t="shared" ref="I292:I298" si="37">B292+C292+D292+E292+F292+G292+H292</f>
        <v>581</v>
      </c>
    </row>
    <row r="293" spans="1:11" x14ac:dyDescent="0.3">
      <c r="A293" s="15" t="s">
        <v>29</v>
      </c>
      <c r="B293" s="16">
        <v>1</v>
      </c>
      <c r="C293" s="16">
        <v>5</v>
      </c>
      <c r="D293" s="16">
        <v>1</v>
      </c>
      <c r="E293" s="16">
        <v>2</v>
      </c>
      <c r="F293" s="16">
        <v>21</v>
      </c>
      <c r="G293" s="16">
        <v>66</v>
      </c>
      <c r="H293" s="16">
        <v>9</v>
      </c>
      <c r="I293" s="16">
        <f t="shared" si="37"/>
        <v>105</v>
      </c>
    </row>
    <row r="294" spans="1:11" x14ac:dyDescent="0.3">
      <c r="A294" s="15" t="s">
        <v>31</v>
      </c>
      <c r="B294" s="16">
        <v>4</v>
      </c>
      <c r="C294" s="16">
        <v>1</v>
      </c>
      <c r="D294" s="16">
        <v>1</v>
      </c>
      <c r="E294" s="16">
        <v>0</v>
      </c>
      <c r="F294" s="16">
        <v>15</v>
      </c>
      <c r="G294" s="16">
        <v>26</v>
      </c>
      <c r="H294" s="16">
        <v>12</v>
      </c>
      <c r="I294" s="16">
        <f t="shared" si="37"/>
        <v>59</v>
      </c>
    </row>
    <row r="295" spans="1:11" x14ac:dyDescent="0.3">
      <c r="A295" s="15" t="s">
        <v>13</v>
      </c>
      <c r="B295" s="16">
        <v>0</v>
      </c>
      <c r="C295" s="16">
        <v>0</v>
      </c>
      <c r="D295" s="16">
        <v>1</v>
      </c>
      <c r="E295" s="16">
        <v>0</v>
      </c>
      <c r="F295" s="16">
        <v>0</v>
      </c>
      <c r="G295" s="16">
        <v>1</v>
      </c>
      <c r="H295" s="16">
        <v>0</v>
      </c>
      <c r="I295" s="16">
        <f t="shared" si="37"/>
        <v>2</v>
      </c>
    </row>
    <row r="296" spans="1:11" x14ac:dyDescent="0.3">
      <c r="A296" s="15" t="s">
        <v>14</v>
      </c>
      <c r="B296" s="16">
        <v>0</v>
      </c>
      <c r="C296" s="16">
        <v>0</v>
      </c>
      <c r="D296" s="16">
        <v>0</v>
      </c>
      <c r="E296" s="16">
        <v>0</v>
      </c>
      <c r="F296" s="16">
        <v>0</v>
      </c>
      <c r="G296" s="16">
        <v>0</v>
      </c>
      <c r="H296" s="16">
        <v>0</v>
      </c>
      <c r="I296" s="16">
        <f t="shared" si="37"/>
        <v>0</v>
      </c>
    </row>
    <row r="297" spans="1:11" x14ac:dyDescent="0.3">
      <c r="A297" s="15" t="s">
        <v>32</v>
      </c>
      <c r="B297" s="16">
        <v>0</v>
      </c>
      <c r="C297" s="16">
        <v>0</v>
      </c>
      <c r="D297" s="16">
        <v>0</v>
      </c>
      <c r="E297" s="16">
        <v>0</v>
      </c>
      <c r="F297" s="16">
        <v>0</v>
      </c>
      <c r="G297" s="16">
        <v>0</v>
      </c>
      <c r="H297" s="16">
        <v>0</v>
      </c>
      <c r="I297" s="16">
        <f t="shared" si="37"/>
        <v>0</v>
      </c>
    </row>
    <row r="298" spans="1:11" x14ac:dyDescent="0.3">
      <c r="A298" s="15" t="s">
        <v>33</v>
      </c>
      <c r="B298" s="16">
        <v>0</v>
      </c>
      <c r="C298" s="16">
        <v>0</v>
      </c>
      <c r="D298" s="16">
        <v>0</v>
      </c>
      <c r="E298" s="16">
        <v>0</v>
      </c>
      <c r="F298" s="16">
        <v>0</v>
      </c>
      <c r="G298" s="16">
        <v>0</v>
      </c>
      <c r="H298" s="16">
        <v>0</v>
      </c>
      <c r="I298" s="16">
        <f t="shared" si="37"/>
        <v>0</v>
      </c>
    </row>
    <row r="299" spans="1:11" ht="19.5" thickBot="1" x14ac:dyDescent="0.35">
      <c r="A299" s="30" t="s">
        <v>15</v>
      </c>
      <c r="B299" s="31">
        <f t="shared" ref="B299:H299" si="38">(B290+B289)/B288*100%</f>
        <v>7.407407407407407E-2</v>
      </c>
      <c r="C299" s="31">
        <f t="shared" si="38"/>
        <v>1.8518518518518517E-2</v>
      </c>
      <c r="D299" s="31">
        <f t="shared" si="38"/>
        <v>5.5555555555555552E-2</v>
      </c>
      <c r="E299" s="31">
        <f t="shared" si="38"/>
        <v>1.8518518518518517E-2</v>
      </c>
      <c r="F299" s="31">
        <f t="shared" si="38"/>
        <v>0.60377358490566035</v>
      </c>
      <c r="G299" s="31">
        <f t="shared" si="38"/>
        <v>0.77358490566037741</v>
      </c>
      <c r="H299" s="31">
        <f t="shared" si="38"/>
        <v>0.7</v>
      </c>
      <c r="I299" s="32">
        <f>(B299+C299+D299+E299+F299+G299+H299)/7</f>
        <v>0.32057502246181491</v>
      </c>
    </row>
    <row r="300" spans="1:11" x14ac:dyDescent="0.3">
      <c r="A300" s="33" t="s">
        <v>16</v>
      </c>
      <c r="B300" s="16"/>
      <c r="C300" s="17"/>
      <c r="D300" s="16"/>
      <c r="E300" s="18"/>
      <c r="F300" s="16"/>
      <c r="G300" s="16"/>
      <c r="H300" s="16"/>
      <c r="I300" s="16"/>
    </row>
    <row r="301" spans="1:11" x14ac:dyDescent="0.3">
      <c r="A301" s="15" t="s">
        <v>34</v>
      </c>
      <c r="B301" s="28">
        <v>2319</v>
      </c>
      <c r="C301" s="28">
        <v>0</v>
      </c>
      <c r="D301" s="28">
        <v>976.42000000000007</v>
      </c>
      <c r="E301" s="28">
        <v>439.38900000000007</v>
      </c>
      <c r="F301" s="28">
        <v>22540.213000000003</v>
      </c>
      <c r="G301" s="28">
        <v>32303.290999999997</v>
      </c>
      <c r="H301" s="28">
        <v>26753.965000000004</v>
      </c>
      <c r="I301" s="19">
        <f>SUM(B301:H301)</f>
        <v>85332.278000000006</v>
      </c>
      <c r="J301" s="39"/>
      <c r="K301" s="42">
        <f t="shared" ref="K301:K303" si="39">I301+I278+I255+I232+H210+G210+F210</f>
        <v>152805.15700000004</v>
      </c>
    </row>
    <row r="302" spans="1:11" x14ac:dyDescent="0.3">
      <c r="A302" s="15" t="s">
        <v>35</v>
      </c>
      <c r="B302" s="28">
        <v>0</v>
      </c>
      <c r="C302" s="28">
        <v>0</v>
      </c>
      <c r="D302" s="28">
        <v>0</v>
      </c>
      <c r="E302" s="28">
        <v>0</v>
      </c>
      <c r="F302" s="28">
        <v>0</v>
      </c>
      <c r="G302" s="28">
        <v>0</v>
      </c>
      <c r="H302" s="28">
        <v>0</v>
      </c>
      <c r="I302" s="19">
        <f>SUM(B302:H302)</f>
        <v>0</v>
      </c>
      <c r="J302" s="39"/>
      <c r="K302" s="42">
        <f t="shared" si="39"/>
        <v>60267.942999999999</v>
      </c>
    </row>
    <row r="303" spans="1:11" ht="19.5" thickBot="1" x14ac:dyDescent="0.35">
      <c r="A303" s="15" t="s">
        <v>20</v>
      </c>
      <c r="B303" s="28">
        <v>1806.376</v>
      </c>
      <c r="C303" s="28">
        <v>3694.12</v>
      </c>
      <c r="D303" s="28">
        <v>4540.3480000000009</v>
      </c>
      <c r="E303" s="28">
        <v>25728.688000000002</v>
      </c>
      <c r="F303" s="28">
        <v>23645.596000000001</v>
      </c>
      <c r="G303" s="28">
        <v>51349.744000000006</v>
      </c>
      <c r="H303" s="28">
        <v>14792.716</v>
      </c>
      <c r="I303" s="19">
        <f>SUM(B303:H303)</f>
        <v>125557.58800000002</v>
      </c>
      <c r="J303" s="39"/>
      <c r="K303" s="42">
        <f t="shared" si="39"/>
        <v>349362.83199999999</v>
      </c>
    </row>
    <row r="304" spans="1:11" ht="19.5" thickBot="1" x14ac:dyDescent="0.35">
      <c r="A304" s="34" t="s">
        <v>7</v>
      </c>
      <c r="B304" s="35">
        <f t="shared" ref="B304:I304" si="40">SUM(B301:B303)</f>
        <v>4125.3760000000002</v>
      </c>
      <c r="C304" s="35">
        <f t="shared" si="40"/>
        <v>3694.12</v>
      </c>
      <c r="D304" s="35">
        <f t="shared" si="40"/>
        <v>5516.7680000000009</v>
      </c>
      <c r="E304" s="35">
        <f t="shared" si="40"/>
        <v>26168.077000000001</v>
      </c>
      <c r="F304" s="35">
        <f t="shared" si="40"/>
        <v>46185.809000000008</v>
      </c>
      <c r="G304" s="35">
        <f t="shared" si="40"/>
        <v>83653.035000000003</v>
      </c>
      <c r="H304" s="35">
        <f t="shared" si="40"/>
        <v>41546.681000000004</v>
      </c>
      <c r="I304" s="36">
        <f t="shared" si="40"/>
        <v>210889.86600000004</v>
      </c>
      <c r="J304" s="39"/>
      <c r="K304" s="42">
        <f>I304+I281+I258+I235+H213+G213+F213</f>
        <v>562435.93200000015</v>
      </c>
    </row>
    <row r="305" spans="1:9" ht="19.5" thickTop="1" x14ac:dyDescent="0.3"/>
    <row r="307" spans="1:9" x14ac:dyDescent="0.3">
      <c r="A307" s="4" t="s">
        <v>52</v>
      </c>
      <c r="B307" s="5" t="s">
        <v>0</v>
      </c>
      <c r="C307" s="5" t="s">
        <v>1</v>
      </c>
      <c r="D307" s="5" t="s">
        <v>2</v>
      </c>
      <c r="E307" s="6" t="s">
        <v>3</v>
      </c>
      <c r="F307" s="5" t="s">
        <v>4</v>
      </c>
      <c r="G307" s="5" t="s">
        <v>5</v>
      </c>
      <c r="H307" s="5" t="s">
        <v>6</v>
      </c>
      <c r="I307" s="5" t="s">
        <v>7</v>
      </c>
    </row>
    <row r="308" spans="1:9" x14ac:dyDescent="0.3">
      <c r="A308" s="7"/>
      <c r="B308" s="8">
        <v>45383</v>
      </c>
      <c r="C308" s="8">
        <v>45384</v>
      </c>
      <c r="D308" s="8">
        <v>45385</v>
      </c>
      <c r="E308" s="8">
        <v>45386</v>
      </c>
      <c r="F308" s="8">
        <v>45387</v>
      </c>
      <c r="G308" s="8">
        <v>45388</v>
      </c>
      <c r="H308" s="8">
        <v>45389</v>
      </c>
      <c r="I308" s="9"/>
    </row>
    <row r="309" spans="1:9" ht="19.5" thickBot="1" x14ac:dyDescent="0.35">
      <c r="A309" s="10" t="s">
        <v>8</v>
      </c>
      <c r="B309" s="11" t="s">
        <v>9</v>
      </c>
      <c r="C309" s="11" t="s">
        <v>9</v>
      </c>
      <c r="D309" s="11" t="s">
        <v>9</v>
      </c>
      <c r="E309" s="11" t="s">
        <v>9</v>
      </c>
      <c r="F309" s="11" t="s">
        <v>9</v>
      </c>
      <c r="G309" s="11" t="s">
        <v>9</v>
      </c>
      <c r="H309" s="11" t="s">
        <v>9</v>
      </c>
      <c r="I309" s="12" t="s">
        <v>9</v>
      </c>
    </row>
    <row r="310" spans="1:9" x14ac:dyDescent="0.3">
      <c r="A310" s="13" t="s">
        <v>10</v>
      </c>
      <c r="B310" s="14">
        <v>51</v>
      </c>
      <c r="C310" s="14">
        <f>55-6</f>
        <v>49</v>
      </c>
      <c r="D310" s="14">
        <f>55-5</f>
        <v>50</v>
      </c>
      <c r="E310" s="14">
        <f>55-5</f>
        <v>50</v>
      </c>
      <c r="F310" s="14">
        <f>55-5</f>
        <v>50</v>
      </c>
      <c r="G310" s="14">
        <f>55-3</f>
        <v>52</v>
      </c>
      <c r="H310" s="14">
        <v>51</v>
      </c>
      <c r="I310" s="16">
        <f>SUM(B310:H310)</f>
        <v>353</v>
      </c>
    </row>
    <row r="311" spans="1:9" x14ac:dyDescent="0.3">
      <c r="A311" s="15" t="s">
        <v>11</v>
      </c>
      <c r="B311" s="16">
        <v>2</v>
      </c>
      <c r="C311" s="16">
        <v>0</v>
      </c>
      <c r="D311" s="16">
        <v>0</v>
      </c>
      <c r="E311" s="16">
        <v>3</v>
      </c>
      <c r="F311" s="16">
        <v>1</v>
      </c>
      <c r="G311" s="16">
        <v>3</v>
      </c>
      <c r="H311" s="16">
        <v>4</v>
      </c>
      <c r="I311" s="16">
        <f>SUM(B311:H311)</f>
        <v>13</v>
      </c>
    </row>
    <row r="312" spans="1:9" x14ac:dyDescent="0.3">
      <c r="A312" s="15" t="s">
        <v>12</v>
      </c>
      <c r="B312" s="16">
        <v>21</v>
      </c>
      <c r="C312" s="16">
        <v>19</v>
      </c>
      <c r="D312" s="16">
        <v>8</v>
      </c>
      <c r="E312" s="16">
        <v>9</v>
      </c>
      <c r="F312" s="16">
        <v>16</v>
      </c>
      <c r="G312" s="16">
        <v>15</v>
      </c>
      <c r="H312" s="16">
        <v>7</v>
      </c>
      <c r="I312" s="16">
        <f>SUM(B312:H312)</f>
        <v>95</v>
      </c>
    </row>
    <row r="313" spans="1:9" x14ac:dyDescent="0.3">
      <c r="A313" s="15" t="s">
        <v>30</v>
      </c>
      <c r="B313" s="16">
        <v>0</v>
      </c>
      <c r="C313" s="16">
        <v>0</v>
      </c>
      <c r="D313" s="16">
        <v>0</v>
      </c>
      <c r="E313" s="16">
        <v>0</v>
      </c>
      <c r="F313" s="16">
        <v>0</v>
      </c>
      <c r="G313" s="16">
        <v>0</v>
      </c>
      <c r="H313" s="16">
        <v>0</v>
      </c>
      <c r="I313" s="16">
        <f>SUM(B313:H313)</f>
        <v>0</v>
      </c>
    </row>
    <row r="314" spans="1:9" x14ac:dyDescent="0.3">
      <c r="A314" s="15" t="s">
        <v>28</v>
      </c>
      <c r="B314" s="16">
        <v>239</v>
      </c>
      <c r="C314" s="16">
        <v>34</v>
      </c>
      <c r="D314" s="16">
        <v>21</v>
      </c>
      <c r="E314" s="16">
        <v>22</v>
      </c>
      <c r="F314" s="16">
        <v>20</v>
      </c>
      <c r="G314" s="16">
        <v>71</v>
      </c>
      <c r="H314" s="16">
        <v>24</v>
      </c>
      <c r="I314" s="16">
        <f t="shared" ref="I314:I320" si="41">B314+C314+D314+E314+F314+G314+H314</f>
        <v>431</v>
      </c>
    </row>
    <row r="315" spans="1:9" x14ac:dyDescent="0.3">
      <c r="A315" s="15" t="s">
        <v>29</v>
      </c>
      <c r="B315" s="16">
        <v>54</v>
      </c>
      <c r="C315" s="16">
        <v>5</v>
      </c>
      <c r="D315" s="16">
        <v>3</v>
      </c>
      <c r="E315" s="16">
        <v>3</v>
      </c>
      <c r="F315" s="16">
        <v>3</v>
      </c>
      <c r="G315" s="16">
        <v>20</v>
      </c>
      <c r="H315" s="16">
        <v>10</v>
      </c>
      <c r="I315" s="16">
        <f t="shared" si="41"/>
        <v>98</v>
      </c>
    </row>
    <row r="316" spans="1:9" x14ac:dyDescent="0.3">
      <c r="A316" s="15" t="s">
        <v>31</v>
      </c>
      <c r="B316" s="16">
        <v>29</v>
      </c>
      <c r="C316" s="16">
        <v>4</v>
      </c>
      <c r="D316" s="16">
        <v>8</v>
      </c>
      <c r="E316" s="16">
        <v>2</v>
      </c>
      <c r="F316" s="16">
        <v>2</v>
      </c>
      <c r="G316" s="16">
        <v>3</v>
      </c>
      <c r="H316" s="16">
        <v>3</v>
      </c>
      <c r="I316" s="16">
        <f t="shared" si="41"/>
        <v>51</v>
      </c>
    </row>
    <row r="317" spans="1:9" x14ac:dyDescent="0.3">
      <c r="A317" s="15" t="s">
        <v>13</v>
      </c>
      <c r="B317" s="16">
        <v>2</v>
      </c>
      <c r="C317" s="16">
        <v>0</v>
      </c>
      <c r="D317" s="16">
        <v>0</v>
      </c>
      <c r="E317" s="16">
        <v>0</v>
      </c>
      <c r="F317" s="16">
        <v>0</v>
      </c>
      <c r="G317" s="16">
        <v>0</v>
      </c>
      <c r="H317" s="16">
        <v>0</v>
      </c>
      <c r="I317" s="16">
        <f t="shared" si="41"/>
        <v>2</v>
      </c>
    </row>
    <row r="318" spans="1:9" x14ac:dyDescent="0.3">
      <c r="A318" s="15" t="s">
        <v>14</v>
      </c>
      <c r="B318" s="16">
        <v>0</v>
      </c>
      <c r="C318" s="16">
        <v>0</v>
      </c>
      <c r="D318" s="16">
        <v>0</v>
      </c>
      <c r="E318" s="16">
        <v>0</v>
      </c>
      <c r="F318" s="16">
        <v>0</v>
      </c>
      <c r="G318" s="16">
        <v>0</v>
      </c>
      <c r="H318" s="16">
        <v>0</v>
      </c>
      <c r="I318" s="16">
        <f t="shared" si="41"/>
        <v>0</v>
      </c>
    </row>
    <row r="319" spans="1:9" x14ac:dyDescent="0.3">
      <c r="A319" s="15" t="s">
        <v>32</v>
      </c>
      <c r="B319" s="16">
        <v>0</v>
      </c>
      <c r="C319" s="16">
        <v>0</v>
      </c>
      <c r="D319" s="16">
        <v>0</v>
      </c>
      <c r="E319" s="16">
        <v>0</v>
      </c>
      <c r="F319" s="16">
        <v>0</v>
      </c>
      <c r="G319" s="16">
        <v>0</v>
      </c>
      <c r="H319" s="16">
        <v>0</v>
      </c>
      <c r="I319" s="16">
        <f t="shared" si="41"/>
        <v>0</v>
      </c>
    </row>
    <row r="320" spans="1:9" x14ac:dyDescent="0.3">
      <c r="A320" s="15" t="s">
        <v>33</v>
      </c>
      <c r="B320" s="16">
        <v>0</v>
      </c>
      <c r="C320" s="16">
        <v>0</v>
      </c>
      <c r="D320" s="16">
        <v>0</v>
      </c>
      <c r="E320" s="16">
        <v>0</v>
      </c>
      <c r="F320" s="16">
        <v>0</v>
      </c>
      <c r="G320" s="16">
        <v>0</v>
      </c>
      <c r="H320" s="16">
        <v>0</v>
      </c>
      <c r="I320" s="16">
        <f t="shared" si="41"/>
        <v>0</v>
      </c>
    </row>
    <row r="321" spans="1:10" ht="19.5" thickBot="1" x14ac:dyDescent="0.35">
      <c r="A321" s="30" t="s">
        <v>15</v>
      </c>
      <c r="B321" s="31">
        <f t="shared" ref="B321:H321" si="42">(B312+B311)/B310*100%</f>
        <v>0.45098039215686275</v>
      </c>
      <c r="C321" s="31">
        <f t="shared" si="42"/>
        <v>0.38775510204081631</v>
      </c>
      <c r="D321" s="31">
        <f t="shared" si="42"/>
        <v>0.16</v>
      </c>
      <c r="E321" s="31">
        <f t="shared" si="42"/>
        <v>0.24</v>
      </c>
      <c r="F321" s="31">
        <f t="shared" si="42"/>
        <v>0.34</v>
      </c>
      <c r="G321" s="31">
        <f t="shared" si="42"/>
        <v>0.34615384615384615</v>
      </c>
      <c r="H321" s="31">
        <f t="shared" si="42"/>
        <v>0.21568627450980393</v>
      </c>
      <c r="I321" s="32">
        <f>(B321+C321+D321+E321+F321+G321+H321)/7</f>
        <v>0.30579651640876132</v>
      </c>
      <c r="J321" s="40"/>
    </row>
    <row r="322" spans="1:10" x14ac:dyDescent="0.3">
      <c r="A322" s="33" t="s">
        <v>16</v>
      </c>
      <c r="B322" s="16"/>
      <c r="C322" s="17"/>
      <c r="D322" s="16"/>
      <c r="E322" s="18"/>
      <c r="F322" s="16"/>
      <c r="G322" s="16"/>
      <c r="H322" s="16"/>
      <c r="I322" s="16"/>
    </row>
    <row r="323" spans="1:10" x14ac:dyDescent="0.3">
      <c r="A323" s="15" t="s">
        <v>34</v>
      </c>
      <c r="B323" s="28">
        <v>10431.437</v>
      </c>
      <c r="C323" s="28">
        <v>6981.4110000000001</v>
      </c>
      <c r="D323" s="28">
        <v>2042.3410000000001</v>
      </c>
      <c r="E323" s="28">
        <v>2929.2650000000003</v>
      </c>
      <c r="F323" s="28">
        <v>7469.6229999999996</v>
      </c>
      <c r="G323" s="28">
        <v>8364.6759999999995</v>
      </c>
      <c r="H323" s="28">
        <v>3889.4150000000004</v>
      </c>
      <c r="I323" s="19">
        <f>SUM(B323:H323)</f>
        <v>42108.167999999998</v>
      </c>
      <c r="J323" s="39"/>
    </row>
    <row r="324" spans="1:10" x14ac:dyDescent="0.3">
      <c r="A324" s="15" t="s">
        <v>35</v>
      </c>
      <c r="B324" s="28">
        <v>2426.509</v>
      </c>
      <c r="C324" s="28">
        <v>1900.0349999999999</v>
      </c>
      <c r="D324" s="28">
        <v>1900.0349999999999</v>
      </c>
      <c r="E324" s="28">
        <v>1900.0349999999999</v>
      </c>
      <c r="F324" s="28">
        <v>1900.0349999999999</v>
      </c>
      <c r="G324" s="28">
        <v>0</v>
      </c>
      <c r="H324" s="28">
        <v>0</v>
      </c>
      <c r="I324" s="19">
        <f>SUM(B324:H324)</f>
        <v>10026.648999999999</v>
      </c>
      <c r="J324" s="39"/>
    </row>
    <row r="325" spans="1:10" ht="19.5" thickBot="1" x14ac:dyDescent="0.35">
      <c r="A325" s="15" t="s">
        <v>20</v>
      </c>
      <c r="B325" s="28">
        <v>53548.32</v>
      </c>
      <c r="C325" s="28">
        <v>7908.9840000000004</v>
      </c>
      <c r="D325" s="28">
        <v>5349.1440000000002</v>
      </c>
      <c r="E325" s="28">
        <v>5126.2080000000005</v>
      </c>
      <c r="F325" s="28">
        <v>4703.0680000000002</v>
      </c>
      <c r="G325" s="28">
        <v>15264.704000000002</v>
      </c>
      <c r="H325" s="28">
        <v>6102.5960000000005</v>
      </c>
      <c r="I325" s="19">
        <f>SUM(B325:H325)</f>
        <v>98003.024000000005</v>
      </c>
      <c r="J325" s="39"/>
    </row>
    <row r="326" spans="1:10" ht="19.5" thickBot="1" x14ac:dyDescent="0.35">
      <c r="A326" s="34" t="s">
        <v>7</v>
      </c>
      <c r="B326" s="35">
        <f t="shared" ref="B326:I326" si="43">SUM(B323:B325)</f>
        <v>66406.266000000003</v>
      </c>
      <c r="C326" s="35">
        <f t="shared" si="43"/>
        <v>16790.43</v>
      </c>
      <c r="D326" s="35">
        <f t="shared" si="43"/>
        <v>9291.52</v>
      </c>
      <c r="E326" s="35">
        <f t="shared" si="43"/>
        <v>9955.5080000000016</v>
      </c>
      <c r="F326" s="35">
        <f t="shared" si="43"/>
        <v>14072.725999999999</v>
      </c>
      <c r="G326" s="35">
        <f t="shared" si="43"/>
        <v>23629.38</v>
      </c>
      <c r="H326" s="35">
        <f t="shared" si="43"/>
        <v>9992.0110000000004</v>
      </c>
      <c r="I326" s="36">
        <f t="shared" si="43"/>
        <v>150137.84100000001</v>
      </c>
      <c r="J326" s="39"/>
    </row>
    <row r="327" spans="1:10" ht="19.5" thickTop="1" x14ac:dyDescent="0.3"/>
    <row r="329" spans="1:10" x14ac:dyDescent="0.3">
      <c r="A329" s="4" t="s">
        <v>53</v>
      </c>
      <c r="B329" s="5" t="s">
        <v>0</v>
      </c>
      <c r="C329" s="5" t="s">
        <v>1</v>
      </c>
      <c r="D329" s="5" t="s">
        <v>2</v>
      </c>
      <c r="E329" s="6" t="s">
        <v>3</v>
      </c>
      <c r="F329" s="5" t="s">
        <v>4</v>
      </c>
      <c r="G329" s="5" t="s">
        <v>5</v>
      </c>
      <c r="H329" s="5" t="s">
        <v>6</v>
      </c>
      <c r="I329" s="5" t="s">
        <v>7</v>
      </c>
    </row>
    <row r="330" spans="1:10" x14ac:dyDescent="0.3">
      <c r="A330" s="7"/>
      <c r="B330" s="8">
        <v>45390</v>
      </c>
      <c r="C330" s="8">
        <v>45391</v>
      </c>
      <c r="D330" s="8">
        <v>45392</v>
      </c>
      <c r="E330" s="8">
        <v>45393</v>
      </c>
      <c r="F330" s="8">
        <v>45394</v>
      </c>
      <c r="G330" s="8">
        <v>45395</v>
      </c>
      <c r="H330" s="8">
        <v>45396</v>
      </c>
      <c r="I330" s="9"/>
    </row>
    <row r="331" spans="1:10" ht="19.5" thickBot="1" x14ac:dyDescent="0.35">
      <c r="A331" s="10" t="s">
        <v>8</v>
      </c>
      <c r="B331" s="11" t="s">
        <v>9</v>
      </c>
      <c r="C331" s="11" t="s">
        <v>9</v>
      </c>
      <c r="D331" s="11" t="s">
        <v>9</v>
      </c>
      <c r="E331" s="11" t="s">
        <v>9</v>
      </c>
      <c r="F331" s="11" t="s">
        <v>9</v>
      </c>
      <c r="G331" s="11" t="s">
        <v>9</v>
      </c>
      <c r="H331" s="11" t="s">
        <v>9</v>
      </c>
      <c r="I331" s="12" t="s">
        <v>9</v>
      </c>
    </row>
    <row r="332" spans="1:10" x14ac:dyDescent="0.3">
      <c r="A332" s="13" t="s">
        <v>10</v>
      </c>
      <c r="B332" s="14">
        <v>15</v>
      </c>
      <c r="C332" s="14">
        <v>12</v>
      </c>
      <c r="D332" s="14">
        <v>51</v>
      </c>
      <c r="E332" s="14">
        <f>55-6</f>
        <v>49</v>
      </c>
      <c r="F332" s="14">
        <f>55-5</f>
        <v>50</v>
      </c>
      <c r="G332" s="14">
        <f>55-3</f>
        <v>52</v>
      </c>
      <c r="H332" s="14">
        <v>52</v>
      </c>
      <c r="I332" s="16">
        <f>SUM(B332:H332)</f>
        <v>281</v>
      </c>
    </row>
    <row r="333" spans="1:10" x14ac:dyDescent="0.3">
      <c r="A333" s="15" t="s">
        <v>11</v>
      </c>
      <c r="B333" s="16">
        <v>1</v>
      </c>
      <c r="C333" s="16">
        <v>3</v>
      </c>
      <c r="D333" s="16">
        <v>2</v>
      </c>
      <c r="E333" s="16">
        <v>1</v>
      </c>
      <c r="F333" s="16">
        <v>1</v>
      </c>
      <c r="G333" s="16">
        <v>2</v>
      </c>
      <c r="H333" s="16">
        <v>2</v>
      </c>
      <c r="I333" s="16">
        <f>SUM(B333:H333)</f>
        <v>12</v>
      </c>
    </row>
    <row r="334" spans="1:10" x14ac:dyDescent="0.3">
      <c r="A334" s="15" t="s">
        <v>12</v>
      </c>
      <c r="B334" s="16">
        <v>4</v>
      </c>
      <c r="C334" s="16">
        <v>4</v>
      </c>
      <c r="D334" s="16">
        <v>4</v>
      </c>
      <c r="E334" s="16">
        <v>7</v>
      </c>
      <c r="F334" s="16">
        <v>7</v>
      </c>
      <c r="G334" s="16">
        <v>17</v>
      </c>
      <c r="H334" s="16">
        <v>5</v>
      </c>
      <c r="I334" s="16">
        <f>SUM(B334:H334)</f>
        <v>48</v>
      </c>
    </row>
    <row r="335" spans="1:10" x14ac:dyDescent="0.3">
      <c r="A335" s="15" t="s">
        <v>30</v>
      </c>
      <c r="B335" s="16">
        <v>0</v>
      </c>
      <c r="C335" s="16">
        <v>0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6">
        <f>SUM(B335:H335)</f>
        <v>0</v>
      </c>
    </row>
    <row r="336" spans="1:10" x14ac:dyDescent="0.3">
      <c r="A336" s="15" t="s">
        <v>28</v>
      </c>
      <c r="B336" s="16">
        <v>28</v>
      </c>
      <c r="C336" s="16">
        <v>40</v>
      </c>
      <c r="D336" s="16">
        <v>19</v>
      </c>
      <c r="E336" s="16">
        <v>90</v>
      </c>
      <c r="F336" s="16">
        <v>67</v>
      </c>
      <c r="G336" s="16">
        <v>200</v>
      </c>
      <c r="H336" s="16">
        <v>36</v>
      </c>
      <c r="I336" s="16">
        <f t="shared" ref="I336:I342" si="44">B336+C336+D336+E336+F336+G336+H336</f>
        <v>480</v>
      </c>
    </row>
    <row r="337" spans="1:10" x14ac:dyDescent="0.3">
      <c r="A337" s="15" t="s">
        <v>29</v>
      </c>
      <c r="B337" s="16">
        <v>8</v>
      </c>
      <c r="C337" s="16">
        <v>5</v>
      </c>
      <c r="D337" s="16">
        <v>2</v>
      </c>
      <c r="E337" s="16">
        <v>26</v>
      </c>
      <c r="F337" s="16">
        <v>5</v>
      </c>
      <c r="G337" s="16">
        <v>79</v>
      </c>
      <c r="H337" s="16">
        <v>5</v>
      </c>
      <c r="I337" s="16">
        <f t="shared" si="44"/>
        <v>130</v>
      </c>
    </row>
    <row r="338" spans="1:10" x14ac:dyDescent="0.3">
      <c r="A338" s="15" t="s">
        <v>31</v>
      </c>
      <c r="B338" s="16">
        <v>1</v>
      </c>
      <c r="C338" s="16">
        <v>3</v>
      </c>
      <c r="D338" s="16">
        <v>3</v>
      </c>
      <c r="E338" s="16">
        <v>12</v>
      </c>
      <c r="F338" s="16">
        <v>4</v>
      </c>
      <c r="G338" s="16">
        <v>16</v>
      </c>
      <c r="H338" s="16">
        <v>3</v>
      </c>
      <c r="I338" s="16">
        <f t="shared" si="44"/>
        <v>42</v>
      </c>
    </row>
    <row r="339" spans="1:10" x14ac:dyDescent="0.3">
      <c r="A339" s="15" t="s">
        <v>13</v>
      </c>
      <c r="B339" s="16">
        <v>0</v>
      </c>
      <c r="C339" s="16">
        <v>0</v>
      </c>
      <c r="D339" s="16">
        <v>0</v>
      </c>
      <c r="E339" s="16">
        <v>4</v>
      </c>
      <c r="F339" s="16">
        <v>0</v>
      </c>
      <c r="G339" s="16">
        <v>1</v>
      </c>
      <c r="H339" s="16">
        <v>6</v>
      </c>
      <c r="I339" s="16">
        <f t="shared" si="44"/>
        <v>11</v>
      </c>
    </row>
    <row r="340" spans="1:10" x14ac:dyDescent="0.3">
      <c r="A340" s="15" t="s">
        <v>14</v>
      </c>
      <c r="B340" s="16">
        <v>0</v>
      </c>
      <c r="C340" s="16">
        <v>0</v>
      </c>
      <c r="D340" s="16">
        <v>0</v>
      </c>
      <c r="E340" s="16">
        <v>0</v>
      </c>
      <c r="F340" s="16">
        <v>0</v>
      </c>
      <c r="G340" s="16">
        <v>0</v>
      </c>
      <c r="H340" s="16">
        <v>0</v>
      </c>
      <c r="I340" s="16">
        <f t="shared" si="44"/>
        <v>0</v>
      </c>
    </row>
    <row r="341" spans="1:10" x14ac:dyDescent="0.3">
      <c r="A341" s="15" t="s">
        <v>32</v>
      </c>
      <c r="B341" s="16">
        <v>0</v>
      </c>
      <c r="C341" s="16">
        <v>0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6">
        <f t="shared" si="44"/>
        <v>0</v>
      </c>
    </row>
    <row r="342" spans="1:10" x14ac:dyDescent="0.3">
      <c r="A342" s="15" t="s">
        <v>33</v>
      </c>
      <c r="B342" s="16">
        <v>0</v>
      </c>
      <c r="C342" s="16">
        <v>0</v>
      </c>
      <c r="D342" s="16">
        <v>0</v>
      </c>
      <c r="E342" s="16">
        <v>0</v>
      </c>
      <c r="F342" s="16">
        <v>0</v>
      </c>
      <c r="G342" s="16">
        <v>0</v>
      </c>
      <c r="H342" s="16">
        <v>0</v>
      </c>
      <c r="I342" s="16">
        <f t="shared" si="44"/>
        <v>0</v>
      </c>
    </row>
    <row r="343" spans="1:10" ht="19.5" thickBot="1" x14ac:dyDescent="0.35">
      <c r="A343" s="30" t="s">
        <v>15</v>
      </c>
      <c r="B343" s="31">
        <f t="shared" ref="B343:H343" si="45">(B334+B333)/B332*100%</f>
        <v>0.33333333333333331</v>
      </c>
      <c r="C343" s="31">
        <f t="shared" si="45"/>
        <v>0.58333333333333337</v>
      </c>
      <c r="D343" s="31">
        <f t="shared" si="45"/>
        <v>0.11764705882352941</v>
      </c>
      <c r="E343" s="31">
        <f t="shared" si="45"/>
        <v>0.16326530612244897</v>
      </c>
      <c r="F343" s="31">
        <f t="shared" si="45"/>
        <v>0.16</v>
      </c>
      <c r="G343" s="31">
        <f t="shared" si="45"/>
        <v>0.36538461538461536</v>
      </c>
      <c r="H343" s="31">
        <f t="shared" si="45"/>
        <v>0.13461538461538461</v>
      </c>
      <c r="I343" s="32">
        <f>(B343+C343+D343+E343+F343+G343+H343)/7</f>
        <v>0.26536843308752073</v>
      </c>
      <c r="J343" s="40"/>
    </row>
    <row r="344" spans="1:10" x14ac:dyDescent="0.3">
      <c r="A344" s="33" t="s">
        <v>16</v>
      </c>
      <c r="B344" s="16"/>
      <c r="C344" s="17"/>
      <c r="D344" s="16"/>
      <c r="E344" s="18"/>
      <c r="F344" s="16"/>
      <c r="G344" s="16"/>
      <c r="H344" s="16"/>
      <c r="I344" s="16"/>
    </row>
    <row r="345" spans="1:10" x14ac:dyDescent="0.3">
      <c r="A345" s="15" t="s">
        <v>34</v>
      </c>
      <c r="B345" s="28">
        <v>2229.4960000000001</v>
      </c>
      <c r="C345" s="28">
        <v>2636.3389999999999</v>
      </c>
      <c r="D345" s="28">
        <v>1708.7370000000001</v>
      </c>
      <c r="E345" s="28">
        <v>5370.32</v>
      </c>
      <c r="F345" s="28">
        <v>4312.5300000000007</v>
      </c>
      <c r="G345" s="28">
        <v>10944.063000000002</v>
      </c>
      <c r="H345" s="28">
        <v>3555.8209999999999</v>
      </c>
      <c r="I345" s="19">
        <f>SUM(B345:H345)</f>
        <v>30757.306</v>
      </c>
      <c r="J345" s="39"/>
    </row>
    <row r="346" spans="1:10" x14ac:dyDescent="0.3">
      <c r="A346" s="15" t="s">
        <v>35</v>
      </c>
      <c r="B346" s="28">
        <v>0</v>
      </c>
      <c r="C346" s="28">
        <v>0</v>
      </c>
      <c r="D346" s="28">
        <v>0</v>
      </c>
      <c r="E346" s="28">
        <v>0</v>
      </c>
      <c r="F346" s="28">
        <v>0</v>
      </c>
      <c r="G346" s="28">
        <v>0</v>
      </c>
      <c r="H346" s="28">
        <v>0</v>
      </c>
      <c r="I346" s="19">
        <f>SUM(B346:H346)</f>
        <v>0</v>
      </c>
      <c r="J346" s="39"/>
    </row>
    <row r="347" spans="1:10" ht="19.5" thickBot="1" x14ac:dyDescent="0.35">
      <c r="A347" s="15" t="s">
        <v>20</v>
      </c>
      <c r="B347" s="28">
        <v>6503.42</v>
      </c>
      <c r="C347" s="28">
        <v>9210.9040000000005</v>
      </c>
      <c r="D347" s="28">
        <v>4524.0559999999996</v>
      </c>
      <c r="E347" s="28">
        <v>22577.995999999999</v>
      </c>
      <c r="F347" s="28">
        <v>11082.348</v>
      </c>
      <c r="G347" s="28">
        <v>40863.100000000006</v>
      </c>
      <c r="H347" s="28">
        <v>8556.652</v>
      </c>
      <c r="I347" s="19">
        <f>SUM(B347:H347)</f>
        <v>103318.47600000001</v>
      </c>
      <c r="J347" s="39"/>
    </row>
    <row r="348" spans="1:10" ht="19.5" thickBot="1" x14ac:dyDescent="0.35">
      <c r="A348" s="34" t="s">
        <v>7</v>
      </c>
      <c r="B348" s="35">
        <f t="shared" ref="B348:I348" si="46">SUM(B345:B347)</f>
        <v>8732.9160000000011</v>
      </c>
      <c r="C348" s="35">
        <f t="shared" si="46"/>
        <v>11847.243</v>
      </c>
      <c r="D348" s="35">
        <f t="shared" si="46"/>
        <v>6232.7929999999997</v>
      </c>
      <c r="E348" s="35">
        <f t="shared" si="46"/>
        <v>27948.315999999999</v>
      </c>
      <c r="F348" s="35">
        <f t="shared" si="46"/>
        <v>15394.878000000001</v>
      </c>
      <c r="G348" s="35">
        <f t="shared" si="46"/>
        <v>51807.163000000008</v>
      </c>
      <c r="H348" s="35">
        <f t="shared" si="46"/>
        <v>12112.473</v>
      </c>
      <c r="I348" s="36">
        <f t="shared" si="46"/>
        <v>134075.78200000001</v>
      </c>
      <c r="J348" s="39"/>
    </row>
    <row r="349" spans="1:10" ht="19.5" thickTop="1" x14ac:dyDescent="0.3"/>
    <row r="351" spans="1:10" x14ac:dyDescent="0.3">
      <c r="A351" s="4" t="s">
        <v>54</v>
      </c>
      <c r="B351" s="5" t="s">
        <v>0</v>
      </c>
      <c r="C351" s="5" t="s">
        <v>1</v>
      </c>
      <c r="D351" s="5" t="s">
        <v>2</v>
      </c>
      <c r="E351" s="6" t="s">
        <v>3</v>
      </c>
      <c r="F351" s="5" t="s">
        <v>4</v>
      </c>
      <c r="G351" s="5" t="s">
        <v>5</v>
      </c>
      <c r="H351" s="5" t="s">
        <v>6</v>
      </c>
      <c r="I351" s="5" t="s">
        <v>7</v>
      </c>
    </row>
    <row r="352" spans="1:10" x14ac:dyDescent="0.3">
      <c r="A352" s="7"/>
      <c r="B352" s="8">
        <v>45397</v>
      </c>
      <c r="C352" s="8">
        <v>45398</v>
      </c>
      <c r="D352" s="8">
        <v>45399</v>
      </c>
      <c r="E352" s="8">
        <v>45400</v>
      </c>
      <c r="F352" s="8">
        <v>45401</v>
      </c>
      <c r="G352" s="8">
        <v>45402</v>
      </c>
      <c r="H352" s="8">
        <v>45403</v>
      </c>
      <c r="I352" s="9"/>
    </row>
    <row r="353" spans="1:10" ht="19.5" thickBot="1" x14ac:dyDescent="0.35">
      <c r="A353" s="10" t="s">
        <v>8</v>
      </c>
      <c r="B353" s="11" t="s">
        <v>9</v>
      </c>
      <c r="C353" s="11" t="s">
        <v>9</v>
      </c>
      <c r="D353" s="11" t="s">
        <v>9</v>
      </c>
      <c r="E353" s="11" t="s">
        <v>9</v>
      </c>
      <c r="F353" s="11" t="s">
        <v>9</v>
      </c>
      <c r="G353" s="11" t="s">
        <v>9</v>
      </c>
      <c r="H353" s="43" t="s">
        <v>9</v>
      </c>
      <c r="I353" s="44" t="s">
        <v>9</v>
      </c>
    </row>
    <row r="354" spans="1:10" x14ac:dyDescent="0.3">
      <c r="A354" s="13" t="s">
        <v>10</v>
      </c>
      <c r="B354" s="14">
        <f>55-3</f>
        <v>52</v>
      </c>
      <c r="C354" s="14">
        <f>55-2</f>
        <v>53</v>
      </c>
      <c r="D354" s="14">
        <f>55-4</f>
        <v>51</v>
      </c>
      <c r="E354" s="14">
        <f>55-3</f>
        <v>52</v>
      </c>
      <c r="F354" s="14">
        <f>55-3</f>
        <v>52</v>
      </c>
      <c r="G354" s="14">
        <f>55</f>
        <v>55</v>
      </c>
      <c r="H354" s="14">
        <f>55-1</f>
        <v>54</v>
      </c>
      <c r="I354" s="16">
        <f>SUM(B354:H354)</f>
        <v>369</v>
      </c>
    </row>
    <row r="355" spans="1:10" x14ac:dyDescent="0.3">
      <c r="A355" s="15" t="s">
        <v>11</v>
      </c>
      <c r="B355" s="16">
        <v>1</v>
      </c>
      <c r="C355" s="16">
        <v>2</v>
      </c>
      <c r="D355" s="16">
        <v>1</v>
      </c>
      <c r="E355" s="16">
        <v>1</v>
      </c>
      <c r="F355" s="16">
        <v>2</v>
      </c>
      <c r="G355" s="16">
        <v>2</v>
      </c>
      <c r="H355" s="16">
        <v>2</v>
      </c>
      <c r="I355" s="16">
        <f>SUM(B355:H355)</f>
        <v>11</v>
      </c>
    </row>
    <row r="356" spans="1:10" x14ac:dyDescent="0.3">
      <c r="A356" s="15" t="s">
        <v>12</v>
      </c>
      <c r="B356" s="16">
        <v>5</v>
      </c>
      <c r="C356" s="16">
        <v>3</v>
      </c>
      <c r="D356" s="16">
        <v>3</v>
      </c>
      <c r="E356" s="16">
        <v>7</v>
      </c>
      <c r="F356" s="16">
        <v>8</v>
      </c>
      <c r="G356" s="16">
        <v>22</v>
      </c>
      <c r="H356" s="16">
        <v>45</v>
      </c>
      <c r="I356" s="16">
        <f>SUM(B356:H356)</f>
        <v>93</v>
      </c>
    </row>
    <row r="357" spans="1:10" x14ac:dyDescent="0.3">
      <c r="A357" s="15" t="s">
        <v>30</v>
      </c>
      <c r="B357" s="16">
        <v>0</v>
      </c>
      <c r="C357" s="16">
        <v>0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6">
        <f>SUM(B357:H357)</f>
        <v>0</v>
      </c>
    </row>
    <row r="358" spans="1:10" x14ac:dyDescent="0.3">
      <c r="A358" s="15" t="s">
        <v>28</v>
      </c>
      <c r="B358" s="16">
        <v>0</v>
      </c>
      <c r="C358" s="16">
        <v>12</v>
      </c>
      <c r="D358" s="16">
        <v>18</v>
      </c>
      <c r="E358" s="16">
        <v>19</v>
      </c>
      <c r="F358" s="16">
        <v>27</v>
      </c>
      <c r="G358" s="16">
        <f>153+22</f>
        <v>175</v>
      </c>
      <c r="H358" s="16">
        <v>27</v>
      </c>
      <c r="I358" s="16">
        <f t="shared" ref="I358:I364" si="47">B358+C358+D358+E358+F358+G358+H358</f>
        <v>278</v>
      </c>
    </row>
    <row r="359" spans="1:10" x14ac:dyDescent="0.3">
      <c r="A359" s="15" t="s">
        <v>29</v>
      </c>
      <c r="B359" s="16">
        <v>0</v>
      </c>
      <c r="C359" s="16">
        <v>1</v>
      </c>
      <c r="D359" s="16">
        <v>5</v>
      </c>
      <c r="E359" s="16">
        <v>5</v>
      </c>
      <c r="F359" s="16">
        <v>0</v>
      </c>
      <c r="G359" s="16">
        <v>19</v>
      </c>
      <c r="H359" s="16">
        <v>1</v>
      </c>
      <c r="I359" s="16">
        <f t="shared" si="47"/>
        <v>31</v>
      </c>
    </row>
    <row r="360" spans="1:10" x14ac:dyDescent="0.3">
      <c r="A360" s="15" t="s">
        <v>31</v>
      </c>
      <c r="B360" s="16">
        <v>0</v>
      </c>
      <c r="C360" s="16">
        <v>0</v>
      </c>
      <c r="D360" s="16">
        <v>0</v>
      </c>
      <c r="E360" s="16">
        <v>3</v>
      </c>
      <c r="F360" s="16">
        <v>4</v>
      </c>
      <c r="G360" s="16">
        <v>2</v>
      </c>
      <c r="H360" s="16">
        <v>0</v>
      </c>
      <c r="I360" s="16">
        <f t="shared" si="47"/>
        <v>9</v>
      </c>
    </row>
    <row r="361" spans="1:10" x14ac:dyDescent="0.3">
      <c r="A361" s="15" t="s">
        <v>13</v>
      </c>
      <c r="B361" s="16">
        <v>0</v>
      </c>
      <c r="C361" s="16">
        <v>0</v>
      </c>
      <c r="D361" s="16">
        <v>0</v>
      </c>
      <c r="E361" s="16">
        <v>2</v>
      </c>
      <c r="F361" s="16">
        <v>2</v>
      </c>
      <c r="G361" s="16">
        <v>0</v>
      </c>
      <c r="H361" s="16">
        <v>0</v>
      </c>
      <c r="I361" s="16">
        <f t="shared" si="47"/>
        <v>4</v>
      </c>
    </row>
    <row r="362" spans="1:10" x14ac:dyDescent="0.3">
      <c r="A362" s="15" t="s">
        <v>14</v>
      </c>
      <c r="B362" s="16">
        <v>0</v>
      </c>
      <c r="C362" s="16">
        <v>0</v>
      </c>
      <c r="D362" s="16">
        <v>0</v>
      </c>
      <c r="E362" s="16">
        <v>0</v>
      </c>
      <c r="F362" s="16">
        <v>0</v>
      </c>
      <c r="G362" s="16">
        <v>0</v>
      </c>
      <c r="H362" s="16">
        <v>0</v>
      </c>
      <c r="I362" s="16">
        <f t="shared" si="47"/>
        <v>0</v>
      </c>
    </row>
    <row r="363" spans="1:10" x14ac:dyDescent="0.3">
      <c r="A363" s="15" t="s">
        <v>32</v>
      </c>
      <c r="B363" s="16">
        <v>0</v>
      </c>
      <c r="C363" s="16">
        <v>0</v>
      </c>
      <c r="D363" s="16">
        <v>0</v>
      </c>
      <c r="E363" s="16">
        <v>0</v>
      </c>
      <c r="F363" s="16">
        <v>1</v>
      </c>
      <c r="G363" s="16">
        <v>0</v>
      </c>
      <c r="H363" s="16">
        <v>0</v>
      </c>
      <c r="I363" s="16">
        <f t="shared" si="47"/>
        <v>1</v>
      </c>
    </row>
    <row r="364" spans="1:10" x14ac:dyDescent="0.3">
      <c r="A364" s="15" t="s">
        <v>33</v>
      </c>
      <c r="B364" s="16">
        <v>0</v>
      </c>
      <c r="C364" s="16">
        <v>0</v>
      </c>
      <c r="D364" s="16">
        <v>0</v>
      </c>
      <c r="E364" s="16">
        <v>0</v>
      </c>
      <c r="F364" s="16">
        <v>0</v>
      </c>
      <c r="G364" s="16">
        <v>0</v>
      </c>
      <c r="H364" s="16">
        <v>0</v>
      </c>
      <c r="I364" s="16">
        <f t="shared" si="47"/>
        <v>0</v>
      </c>
    </row>
    <row r="365" spans="1:10" ht="19.5" thickBot="1" x14ac:dyDescent="0.35">
      <c r="A365" s="30" t="s">
        <v>15</v>
      </c>
      <c r="B365" s="31">
        <f t="shared" ref="B365:H365" si="48">(B356+B355)/B354*100%</f>
        <v>0.11538461538461539</v>
      </c>
      <c r="C365" s="31">
        <f t="shared" si="48"/>
        <v>9.4339622641509441E-2</v>
      </c>
      <c r="D365" s="31">
        <f t="shared" si="48"/>
        <v>7.8431372549019607E-2</v>
      </c>
      <c r="E365" s="31">
        <f t="shared" si="48"/>
        <v>0.15384615384615385</v>
      </c>
      <c r="F365" s="31">
        <f t="shared" si="48"/>
        <v>0.19230769230769232</v>
      </c>
      <c r="G365" s="31">
        <f t="shared" si="48"/>
        <v>0.43636363636363634</v>
      </c>
      <c r="H365" s="31">
        <f t="shared" si="48"/>
        <v>0.87037037037037035</v>
      </c>
      <c r="I365" s="32">
        <f>(B365+C365+D365+E365+F365+G365+H365)/7</f>
        <v>0.27729192335185676</v>
      </c>
      <c r="J365" s="40"/>
    </row>
    <row r="366" spans="1:10" x14ac:dyDescent="0.3">
      <c r="A366" s="33" t="s">
        <v>16</v>
      </c>
      <c r="B366" s="16"/>
      <c r="C366" s="17"/>
      <c r="D366" s="16"/>
      <c r="E366" s="18"/>
      <c r="F366" s="16"/>
      <c r="G366" s="16"/>
      <c r="H366" s="16"/>
      <c r="I366" s="16"/>
    </row>
    <row r="367" spans="1:10" x14ac:dyDescent="0.3">
      <c r="A367" s="15" t="s">
        <v>34</v>
      </c>
      <c r="B367" s="28">
        <v>3865.0050000000006</v>
      </c>
      <c r="C367" s="28">
        <v>1399.5360000000001</v>
      </c>
      <c r="D367" s="28">
        <v>1546.0010000000002</v>
      </c>
      <c r="E367" s="28">
        <v>3417.4730000000004</v>
      </c>
      <c r="F367" s="28">
        <v>3824.3140000000003</v>
      </c>
      <c r="G367" s="28">
        <v>4784.4639999999999</v>
      </c>
      <c r="H367" s="28">
        <v>488.21000000000004</v>
      </c>
      <c r="I367" s="19">
        <f>SUM(B367:H367)</f>
        <v>19325.003000000001</v>
      </c>
      <c r="J367" s="39"/>
    </row>
    <row r="368" spans="1:10" x14ac:dyDescent="0.3">
      <c r="A368" s="15" t="s">
        <v>35</v>
      </c>
      <c r="B368" s="28">
        <v>0</v>
      </c>
      <c r="C368" s="28">
        <v>0</v>
      </c>
      <c r="D368" s="28">
        <v>0</v>
      </c>
      <c r="E368" s="28">
        <v>0</v>
      </c>
      <c r="F368" s="28">
        <v>0</v>
      </c>
      <c r="G368" s="28">
        <v>9915.8940000000002</v>
      </c>
      <c r="H368" s="28">
        <v>12340.217000000002</v>
      </c>
      <c r="I368" s="19">
        <f>SUM(B368:H368)</f>
        <v>22256.111000000004</v>
      </c>
      <c r="J368" s="39"/>
    </row>
    <row r="369" spans="1:10" ht="19.5" thickBot="1" x14ac:dyDescent="0.35">
      <c r="A369" s="15" t="s">
        <v>20</v>
      </c>
      <c r="B369" s="28">
        <v>0</v>
      </c>
      <c r="C369" s="28">
        <v>2620.0520000000001</v>
      </c>
      <c r="D369" s="28">
        <v>4214.884</v>
      </c>
      <c r="E369" s="28">
        <v>4768.16</v>
      </c>
      <c r="F369" s="28">
        <v>6444.34</v>
      </c>
      <c r="G369" s="28">
        <v>42778.740000000005</v>
      </c>
      <c r="H369" s="28">
        <v>5793.3960000000006</v>
      </c>
      <c r="I369" s="19">
        <f>SUM(B369:H369)</f>
        <v>66619.572000000015</v>
      </c>
      <c r="J369" s="39"/>
    </row>
    <row r="370" spans="1:10" ht="19.5" thickBot="1" x14ac:dyDescent="0.35">
      <c r="A370" s="34" t="s">
        <v>7</v>
      </c>
      <c r="B370" s="35">
        <f t="shared" ref="B370:I370" si="49">SUM(B367:B369)</f>
        <v>3865.0050000000006</v>
      </c>
      <c r="C370" s="35">
        <f t="shared" si="49"/>
        <v>4019.5880000000002</v>
      </c>
      <c r="D370" s="35">
        <f t="shared" si="49"/>
        <v>5760.8850000000002</v>
      </c>
      <c r="E370" s="35">
        <f t="shared" si="49"/>
        <v>8185.6329999999998</v>
      </c>
      <c r="F370" s="35">
        <f t="shared" si="49"/>
        <v>10268.654</v>
      </c>
      <c r="G370" s="35">
        <f t="shared" si="49"/>
        <v>57479.098000000005</v>
      </c>
      <c r="H370" s="35">
        <f t="shared" si="49"/>
        <v>18621.823000000004</v>
      </c>
      <c r="I370" s="36">
        <f t="shared" si="49"/>
        <v>108200.68600000002</v>
      </c>
      <c r="J370" s="39"/>
    </row>
    <row r="371" spans="1:10" ht="19.5" thickTop="1" x14ac:dyDescent="0.3"/>
    <row r="373" spans="1:10" x14ac:dyDescent="0.3">
      <c r="A373" s="4" t="s">
        <v>55</v>
      </c>
      <c r="B373" s="5" t="s">
        <v>0</v>
      </c>
      <c r="C373" s="5" t="s">
        <v>1</v>
      </c>
      <c r="D373" s="5" t="s">
        <v>2</v>
      </c>
      <c r="E373" s="6" t="s">
        <v>3</v>
      </c>
      <c r="F373" s="5" t="s">
        <v>4</v>
      </c>
      <c r="G373" s="5" t="s">
        <v>5</v>
      </c>
      <c r="H373" s="5" t="s">
        <v>6</v>
      </c>
      <c r="I373" s="5" t="s">
        <v>7</v>
      </c>
    </row>
    <row r="374" spans="1:10" x14ac:dyDescent="0.3">
      <c r="A374" s="7"/>
      <c r="B374" s="8">
        <v>45404</v>
      </c>
      <c r="C374" s="8">
        <v>45405</v>
      </c>
      <c r="D374" s="8">
        <v>45406</v>
      </c>
      <c r="E374" s="8">
        <v>45407</v>
      </c>
      <c r="F374" s="8">
        <v>45408</v>
      </c>
      <c r="G374" s="8">
        <v>45409</v>
      </c>
      <c r="H374" s="8">
        <v>45410</v>
      </c>
      <c r="I374" s="9"/>
    </row>
    <row r="375" spans="1:10" ht="19.5" thickBot="1" x14ac:dyDescent="0.35">
      <c r="A375" s="10" t="s">
        <v>8</v>
      </c>
      <c r="B375" s="11" t="s">
        <v>9</v>
      </c>
      <c r="C375" s="11" t="s">
        <v>9</v>
      </c>
      <c r="D375" s="11" t="s">
        <v>9</v>
      </c>
      <c r="E375" s="11" t="s">
        <v>9</v>
      </c>
      <c r="F375" s="11" t="s">
        <v>9</v>
      </c>
      <c r="G375" s="11" t="s">
        <v>9</v>
      </c>
      <c r="H375" s="43" t="s">
        <v>9</v>
      </c>
      <c r="I375" s="44" t="s">
        <v>9</v>
      </c>
    </row>
    <row r="376" spans="1:10" x14ac:dyDescent="0.3">
      <c r="A376" s="13" t="s">
        <v>10</v>
      </c>
      <c r="B376" s="14">
        <v>55</v>
      </c>
      <c r="C376" s="14">
        <v>55</v>
      </c>
      <c r="D376" s="14">
        <v>55</v>
      </c>
      <c r="E376" s="14">
        <v>55</v>
      </c>
      <c r="F376" s="14">
        <f>55-1</f>
        <v>54</v>
      </c>
      <c r="G376" s="14">
        <f>55-1</f>
        <v>54</v>
      </c>
      <c r="H376" s="14">
        <f>55-1</f>
        <v>54</v>
      </c>
      <c r="I376" s="16">
        <f>SUM(B376:H376)</f>
        <v>382</v>
      </c>
    </row>
    <row r="377" spans="1:10" x14ac:dyDescent="0.3">
      <c r="A377" s="15" t="s">
        <v>11</v>
      </c>
      <c r="B377" s="16">
        <v>1</v>
      </c>
      <c r="C377" s="16">
        <v>1</v>
      </c>
      <c r="D377" s="16">
        <v>2</v>
      </c>
      <c r="E377" s="16">
        <v>1</v>
      </c>
      <c r="F377" s="16">
        <v>3</v>
      </c>
      <c r="G377" s="16">
        <v>3</v>
      </c>
      <c r="H377" s="16">
        <v>5</v>
      </c>
      <c r="I377" s="16">
        <f>SUM(B377:H377)</f>
        <v>16</v>
      </c>
    </row>
    <row r="378" spans="1:10" x14ac:dyDescent="0.3">
      <c r="A378" s="15" t="s">
        <v>12</v>
      </c>
      <c r="B378" s="16">
        <v>47</v>
      </c>
      <c r="C378" s="16">
        <v>52</v>
      </c>
      <c r="D378" s="16">
        <v>47</v>
      </c>
      <c r="E378" s="16">
        <v>44</v>
      </c>
      <c r="F378" s="16">
        <v>32</v>
      </c>
      <c r="G378" s="16">
        <v>33</v>
      </c>
      <c r="H378" s="16">
        <v>5</v>
      </c>
      <c r="I378" s="16">
        <f>SUM(B378:H378)</f>
        <v>260</v>
      </c>
    </row>
    <row r="379" spans="1:10" x14ac:dyDescent="0.3">
      <c r="A379" s="15" t="s">
        <v>30</v>
      </c>
      <c r="B379" s="16">
        <v>0</v>
      </c>
      <c r="C379" s="16">
        <v>0</v>
      </c>
      <c r="D379" s="16">
        <v>0</v>
      </c>
      <c r="E379" s="16">
        <v>0</v>
      </c>
      <c r="F379" s="16">
        <v>0</v>
      </c>
      <c r="G379" s="16">
        <v>0</v>
      </c>
      <c r="H379" s="16">
        <v>0</v>
      </c>
      <c r="I379" s="16">
        <f>SUM(B379:H379)</f>
        <v>0</v>
      </c>
    </row>
    <row r="380" spans="1:10" x14ac:dyDescent="0.3">
      <c r="A380" s="15" t="s">
        <v>28</v>
      </c>
      <c r="B380" s="16">
        <v>18</v>
      </c>
      <c r="C380" s="16">
        <v>16</v>
      </c>
      <c r="D380" s="16">
        <v>27</v>
      </c>
      <c r="E380" s="16">
        <v>18</v>
      </c>
      <c r="F380" s="16">
        <v>11</v>
      </c>
      <c r="G380" s="16">
        <v>139</v>
      </c>
      <c r="H380" s="16">
        <v>12</v>
      </c>
      <c r="I380" s="16">
        <f t="shared" ref="I380:I386" si="50">B380+C380+D380+E380+F380+G380+H380</f>
        <v>241</v>
      </c>
    </row>
    <row r="381" spans="1:10" x14ac:dyDescent="0.3">
      <c r="A381" s="15" t="s">
        <v>29</v>
      </c>
      <c r="B381" s="16">
        <v>2</v>
      </c>
      <c r="C381" s="16">
        <v>100</v>
      </c>
      <c r="D381" s="16">
        <v>3</v>
      </c>
      <c r="E381" s="16">
        <v>6</v>
      </c>
      <c r="F381" s="16">
        <v>0</v>
      </c>
      <c r="G381" s="16">
        <v>65</v>
      </c>
      <c r="H381" s="16">
        <v>5</v>
      </c>
      <c r="I381" s="16">
        <f t="shared" si="50"/>
        <v>181</v>
      </c>
    </row>
    <row r="382" spans="1:10" x14ac:dyDescent="0.3">
      <c r="A382" s="15" t="s">
        <v>31</v>
      </c>
      <c r="B382" s="16">
        <v>1</v>
      </c>
      <c r="C382" s="16">
        <v>1</v>
      </c>
      <c r="D382" s="16">
        <v>1</v>
      </c>
      <c r="E382" s="16">
        <v>3</v>
      </c>
      <c r="F382" s="16">
        <v>0</v>
      </c>
      <c r="G382" s="16">
        <v>17</v>
      </c>
      <c r="H382" s="16">
        <v>0</v>
      </c>
      <c r="I382" s="16">
        <f t="shared" si="50"/>
        <v>23</v>
      </c>
    </row>
    <row r="383" spans="1:10" x14ac:dyDescent="0.3">
      <c r="A383" s="15" t="s">
        <v>13</v>
      </c>
      <c r="B383" s="16">
        <v>0</v>
      </c>
      <c r="C383" s="16">
        <v>0</v>
      </c>
      <c r="D383" s="16">
        <v>3</v>
      </c>
      <c r="E383" s="16">
        <v>0</v>
      </c>
      <c r="F383" s="16">
        <v>0</v>
      </c>
      <c r="G383" s="16">
        <v>1</v>
      </c>
      <c r="H383" s="16">
        <v>3</v>
      </c>
      <c r="I383" s="16">
        <f t="shared" si="50"/>
        <v>7</v>
      </c>
    </row>
    <row r="384" spans="1:10" x14ac:dyDescent="0.3">
      <c r="A384" s="15" t="s">
        <v>14</v>
      </c>
      <c r="B384" s="16">
        <v>0</v>
      </c>
      <c r="C384" s="16">
        <v>0</v>
      </c>
      <c r="D384" s="16">
        <v>0</v>
      </c>
      <c r="E384" s="16">
        <v>0</v>
      </c>
      <c r="F384" s="16">
        <v>0</v>
      </c>
      <c r="G384" s="16">
        <v>0</v>
      </c>
      <c r="H384" s="16">
        <v>0</v>
      </c>
      <c r="I384" s="16">
        <f t="shared" si="50"/>
        <v>0</v>
      </c>
    </row>
    <row r="385" spans="1:11" x14ac:dyDescent="0.3">
      <c r="A385" s="15" t="s">
        <v>32</v>
      </c>
      <c r="B385" s="16">
        <v>0</v>
      </c>
      <c r="C385" s="16">
        <v>0</v>
      </c>
      <c r="D385" s="16">
        <v>0</v>
      </c>
      <c r="E385" s="16">
        <v>0</v>
      </c>
      <c r="F385" s="16">
        <v>0</v>
      </c>
      <c r="G385" s="16">
        <v>0</v>
      </c>
      <c r="H385" s="16">
        <v>0</v>
      </c>
      <c r="I385" s="16">
        <f t="shared" si="50"/>
        <v>0</v>
      </c>
    </row>
    <row r="386" spans="1:11" x14ac:dyDescent="0.3">
      <c r="A386" s="15" t="s">
        <v>33</v>
      </c>
      <c r="B386" s="16">
        <v>0</v>
      </c>
      <c r="C386" s="16">
        <v>0</v>
      </c>
      <c r="D386" s="16">
        <v>0</v>
      </c>
      <c r="E386" s="16">
        <v>0</v>
      </c>
      <c r="F386" s="16">
        <v>0</v>
      </c>
      <c r="G386" s="16">
        <v>106</v>
      </c>
      <c r="H386" s="16">
        <v>0</v>
      </c>
      <c r="I386" s="16">
        <f t="shared" si="50"/>
        <v>106</v>
      </c>
    </row>
    <row r="387" spans="1:11" ht="19.5" thickBot="1" x14ac:dyDescent="0.35">
      <c r="A387" s="30" t="s">
        <v>15</v>
      </c>
      <c r="B387" s="31">
        <f t="shared" ref="B387:H387" si="51">(B378+B377)/B376*100%</f>
        <v>0.87272727272727268</v>
      </c>
      <c r="C387" s="31">
        <f t="shared" si="51"/>
        <v>0.96363636363636362</v>
      </c>
      <c r="D387" s="31">
        <f t="shared" si="51"/>
        <v>0.89090909090909087</v>
      </c>
      <c r="E387" s="31">
        <f t="shared" si="51"/>
        <v>0.81818181818181823</v>
      </c>
      <c r="F387" s="31">
        <f t="shared" si="51"/>
        <v>0.64814814814814814</v>
      </c>
      <c r="G387" s="31">
        <f t="shared" si="51"/>
        <v>0.66666666666666663</v>
      </c>
      <c r="H387" s="31">
        <f t="shared" si="51"/>
        <v>0.18518518518518517</v>
      </c>
      <c r="I387" s="32">
        <f>(B387+C387+D387+E387+F387+G387+H387)/7</f>
        <v>0.72077922077922085</v>
      </c>
      <c r="J387" s="40"/>
    </row>
    <row r="388" spans="1:11" x14ac:dyDescent="0.3">
      <c r="A388" s="33" t="s">
        <v>16</v>
      </c>
      <c r="B388" s="16"/>
      <c r="C388" s="17"/>
      <c r="D388" s="16"/>
      <c r="E388" s="18"/>
      <c r="F388" s="16"/>
      <c r="G388" s="16"/>
      <c r="H388" s="16"/>
      <c r="I388" s="16"/>
    </row>
    <row r="389" spans="1:11" x14ac:dyDescent="0.3">
      <c r="A389" s="15" t="s">
        <v>34</v>
      </c>
      <c r="B389" s="28">
        <v>1790.1050000000005</v>
      </c>
      <c r="C389" s="28">
        <v>976.42000000000007</v>
      </c>
      <c r="D389" s="28">
        <v>1952.848</v>
      </c>
      <c r="E389" s="28">
        <v>0</v>
      </c>
      <c r="F389" s="28">
        <v>2766.5250000000001</v>
      </c>
      <c r="G389" s="28">
        <v>6306.0540000000001</v>
      </c>
      <c r="H389" s="28">
        <v>2522.4210000000003</v>
      </c>
      <c r="I389" s="19">
        <f>SUM(B389:H389)</f>
        <v>16314.373000000001</v>
      </c>
      <c r="J389" s="39"/>
      <c r="K389" s="29">
        <f t="shared" ref="K389:K391" si="52">B410+C410+I389+I367+I345+I323</f>
        <v>113875.17300000001</v>
      </c>
    </row>
    <row r="390" spans="1:11" x14ac:dyDescent="0.3">
      <c r="A390" s="15" t="s">
        <v>35</v>
      </c>
      <c r="B390" s="28">
        <v>16060.310000000001</v>
      </c>
      <c r="C390" s="28">
        <v>17507.166000000001</v>
      </c>
      <c r="D390" s="28">
        <v>15969.510000000002</v>
      </c>
      <c r="E390" s="28">
        <v>15437.946</v>
      </c>
      <c r="F390" s="28">
        <v>9961.6769999999997</v>
      </c>
      <c r="G390" s="28">
        <v>8931.1589999999997</v>
      </c>
      <c r="H390" s="28">
        <v>0</v>
      </c>
      <c r="I390" s="19">
        <f>SUM(B390:H390)</f>
        <v>83867.767999999996</v>
      </c>
      <c r="J390" s="39"/>
      <c r="K390" s="29">
        <f t="shared" si="52"/>
        <v>118813.076</v>
      </c>
    </row>
    <row r="391" spans="1:11" ht="19.5" thickBot="1" x14ac:dyDescent="0.35">
      <c r="A391" s="15" t="s">
        <v>20</v>
      </c>
      <c r="B391" s="28">
        <v>4084.6800000000003</v>
      </c>
      <c r="C391" s="28">
        <v>10724.364000000001</v>
      </c>
      <c r="D391" s="28">
        <v>6444.4040000000005</v>
      </c>
      <c r="E391" s="28">
        <v>4543.9960000000001</v>
      </c>
      <c r="F391" s="28">
        <v>2327.1280000000002</v>
      </c>
      <c r="G391" s="28">
        <v>34462.700000000004</v>
      </c>
      <c r="H391" s="28">
        <v>3140.828</v>
      </c>
      <c r="I391" s="19">
        <f>SUM(B391:H391)</f>
        <v>65728.100000000006</v>
      </c>
      <c r="J391" s="39"/>
      <c r="K391" s="29">
        <f t="shared" si="52"/>
        <v>341220.13600000006</v>
      </c>
    </row>
    <row r="392" spans="1:11" ht="19.5" thickBot="1" x14ac:dyDescent="0.35">
      <c r="A392" s="34" t="s">
        <v>7</v>
      </c>
      <c r="B392" s="35">
        <f t="shared" ref="B392:I392" si="53">SUM(B389:B391)</f>
        <v>21935.095000000001</v>
      </c>
      <c r="C392" s="35">
        <f t="shared" si="53"/>
        <v>29207.950000000004</v>
      </c>
      <c r="D392" s="35">
        <f t="shared" si="53"/>
        <v>24366.762000000002</v>
      </c>
      <c r="E392" s="35">
        <f t="shared" si="53"/>
        <v>19981.941999999999</v>
      </c>
      <c r="F392" s="35">
        <f t="shared" si="53"/>
        <v>15055.33</v>
      </c>
      <c r="G392" s="35">
        <f t="shared" si="53"/>
        <v>49699.913</v>
      </c>
      <c r="H392" s="35">
        <f>SUM(H389:H391)</f>
        <v>5663.2489999999998</v>
      </c>
      <c r="I392" s="36">
        <f t="shared" si="53"/>
        <v>165910.24100000001</v>
      </c>
      <c r="J392" s="39"/>
      <c r="K392" s="29">
        <f>B413+C413+I392+I370+I348+I326</f>
        <v>573908.38500000001</v>
      </c>
    </row>
    <row r="393" spans="1:11" ht="19.5" thickTop="1" x14ac:dyDescent="0.3"/>
    <row r="394" spans="1:11" x14ac:dyDescent="0.3">
      <c r="A394" s="4" t="s">
        <v>56</v>
      </c>
      <c r="B394" s="5" t="s">
        <v>0</v>
      </c>
      <c r="C394" s="5" t="s">
        <v>1</v>
      </c>
      <c r="D394" s="5" t="s">
        <v>2</v>
      </c>
      <c r="E394" s="6" t="s">
        <v>3</v>
      </c>
      <c r="F394" s="5" t="s">
        <v>4</v>
      </c>
      <c r="G394" s="5" t="s">
        <v>5</v>
      </c>
      <c r="H394" s="5" t="s">
        <v>6</v>
      </c>
      <c r="I394" s="5" t="s">
        <v>7</v>
      </c>
    </row>
    <row r="395" spans="1:11" x14ac:dyDescent="0.3">
      <c r="A395" s="7"/>
      <c r="B395" s="8">
        <v>45411</v>
      </c>
      <c r="C395" s="8">
        <v>45412</v>
      </c>
      <c r="D395" s="8">
        <v>45413</v>
      </c>
      <c r="E395" s="8">
        <v>45414</v>
      </c>
      <c r="F395" s="8">
        <v>45415</v>
      </c>
      <c r="G395" s="8">
        <v>45416</v>
      </c>
      <c r="H395" s="8">
        <v>45417</v>
      </c>
      <c r="I395" s="9"/>
    </row>
    <row r="396" spans="1:11" ht="19.5" thickBot="1" x14ac:dyDescent="0.35">
      <c r="A396" s="10" t="s">
        <v>8</v>
      </c>
      <c r="B396" s="11" t="s">
        <v>9</v>
      </c>
      <c r="C396" s="11" t="s">
        <v>9</v>
      </c>
      <c r="D396" s="11" t="s">
        <v>9</v>
      </c>
      <c r="E396" s="11" t="s">
        <v>9</v>
      </c>
      <c r="F396" s="11" t="s">
        <v>9</v>
      </c>
      <c r="G396" s="11" t="s">
        <v>9</v>
      </c>
      <c r="H396" s="43" t="s">
        <v>9</v>
      </c>
      <c r="I396" s="44" t="s">
        <v>9</v>
      </c>
    </row>
    <row r="397" spans="1:11" x14ac:dyDescent="0.3">
      <c r="A397" s="13" t="s">
        <v>10</v>
      </c>
      <c r="B397" s="14">
        <v>54</v>
      </c>
      <c r="C397" s="14">
        <v>55</v>
      </c>
      <c r="D397" s="14">
        <f>55-2</f>
        <v>53</v>
      </c>
      <c r="E397" s="14">
        <v>53</v>
      </c>
      <c r="F397" s="14">
        <f>55-1</f>
        <v>54</v>
      </c>
      <c r="G397" s="14">
        <v>55</v>
      </c>
      <c r="H397" s="14">
        <v>55</v>
      </c>
      <c r="I397" s="16">
        <f>SUM(B397:H397)</f>
        <v>379</v>
      </c>
    </row>
    <row r="398" spans="1:11" x14ac:dyDescent="0.3">
      <c r="A398" s="15" t="s">
        <v>11</v>
      </c>
      <c r="B398" s="16">
        <v>2</v>
      </c>
      <c r="C398" s="16">
        <v>2</v>
      </c>
      <c r="D398" s="16">
        <v>1</v>
      </c>
      <c r="E398" s="16">
        <v>2</v>
      </c>
      <c r="F398" s="16">
        <v>2</v>
      </c>
      <c r="G398" s="16">
        <v>2</v>
      </c>
      <c r="H398" s="16">
        <v>1</v>
      </c>
      <c r="I398" s="16">
        <f>SUM(B398:H398)</f>
        <v>12</v>
      </c>
    </row>
    <row r="399" spans="1:11" x14ac:dyDescent="0.3">
      <c r="A399" s="15" t="s">
        <v>12</v>
      </c>
      <c r="B399" s="16">
        <v>6</v>
      </c>
      <c r="C399" s="16">
        <v>6</v>
      </c>
      <c r="D399" s="16">
        <v>5</v>
      </c>
      <c r="E399" s="16">
        <v>39</v>
      </c>
      <c r="F399" s="16">
        <v>43</v>
      </c>
      <c r="G399" s="16">
        <v>34</v>
      </c>
      <c r="H399" s="16">
        <v>11</v>
      </c>
      <c r="I399" s="16">
        <f>SUM(B399:H399)</f>
        <v>144</v>
      </c>
    </row>
    <row r="400" spans="1:11" x14ac:dyDescent="0.3">
      <c r="A400" s="15" t="s">
        <v>30</v>
      </c>
      <c r="B400" s="16">
        <v>0</v>
      </c>
      <c r="C400" s="16">
        <v>0</v>
      </c>
      <c r="D400" s="16">
        <v>0</v>
      </c>
      <c r="E400" s="16">
        <v>0</v>
      </c>
      <c r="F400" s="16">
        <v>0</v>
      </c>
      <c r="G400" s="16">
        <v>0</v>
      </c>
      <c r="H400" s="16">
        <v>0</v>
      </c>
      <c r="I400" s="16">
        <f>SUM(B400:H400)</f>
        <v>0</v>
      </c>
    </row>
    <row r="401" spans="1:9" x14ac:dyDescent="0.3">
      <c r="A401" s="15" t="s">
        <v>28</v>
      </c>
      <c r="B401" s="16">
        <v>12</v>
      </c>
      <c r="C401" s="16">
        <v>22</v>
      </c>
      <c r="D401" s="16">
        <v>105</v>
      </c>
      <c r="E401" s="16">
        <v>31</v>
      </c>
      <c r="F401" s="16">
        <v>14</v>
      </c>
      <c r="G401" s="16">
        <v>210</v>
      </c>
      <c r="H401" s="16">
        <v>43</v>
      </c>
      <c r="I401" s="16">
        <f t="shared" ref="I401:I407" si="54">B401+C401+D401+E401+F401+G401+H401</f>
        <v>437</v>
      </c>
    </row>
    <row r="402" spans="1:9" x14ac:dyDescent="0.3">
      <c r="A402" s="15" t="s">
        <v>29</v>
      </c>
      <c r="B402" s="16">
        <v>1</v>
      </c>
      <c r="C402" s="16">
        <v>1</v>
      </c>
      <c r="D402" s="16">
        <v>21</v>
      </c>
      <c r="E402" s="16">
        <v>5</v>
      </c>
      <c r="F402" s="16">
        <v>46</v>
      </c>
      <c r="G402" s="16">
        <v>15</v>
      </c>
      <c r="H402" s="16">
        <v>4</v>
      </c>
      <c r="I402" s="16">
        <f t="shared" si="54"/>
        <v>93</v>
      </c>
    </row>
    <row r="403" spans="1:9" x14ac:dyDescent="0.3">
      <c r="A403" s="15" t="s">
        <v>31</v>
      </c>
      <c r="B403" s="16">
        <v>2</v>
      </c>
      <c r="C403" s="16">
        <v>1</v>
      </c>
      <c r="D403" s="16">
        <v>7</v>
      </c>
      <c r="E403" s="16">
        <v>0</v>
      </c>
      <c r="F403" s="16">
        <v>0</v>
      </c>
      <c r="G403" s="16">
        <v>12</v>
      </c>
      <c r="H403" s="16">
        <v>1</v>
      </c>
      <c r="I403" s="16">
        <f t="shared" si="54"/>
        <v>23</v>
      </c>
    </row>
    <row r="404" spans="1:9" x14ac:dyDescent="0.3">
      <c r="A404" s="15" t="s">
        <v>13</v>
      </c>
      <c r="B404" s="16">
        <v>0</v>
      </c>
      <c r="C404" s="16">
        <v>0</v>
      </c>
      <c r="D404" s="16">
        <v>1</v>
      </c>
      <c r="E404" s="16">
        <v>0</v>
      </c>
      <c r="F404" s="16">
        <v>1</v>
      </c>
      <c r="G404" s="16">
        <v>0</v>
      </c>
      <c r="H404" s="16">
        <v>0</v>
      </c>
      <c r="I404" s="16">
        <f t="shared" si="54"/>
        <v>2</v>
      </c>
    </row>
    <row r="405" spans="1:9" x14ac:dyDescent="0.3">
      <c r="A405" s="15" t="s">
        <v>14</v>
      </c>
      <c r="B405" s="16">
        <v>0</v>
      </c>
      <c r="C405" s="16">
        <v>0</v>
      </c>
      <c r="D405" s="16">
        <v>0</v>
      </c>
      <c r="E405" s="16">
        <v>0</v>
      </c>
      <c r="F405" s="16">
        <v>0</v>
      </c>
      <c r="G405" s="16">
        <v>0</v>
      </c>
      <c r="H405" s="16">
        <v>0</v>
      </c>
      <c r="I405" s="16">
        <f t="shared" si="54"/>
        <v>0</v>
      </c>
    </row>
    <row r="406" spans="1:9" x14ac:dyDescent="0.3">
      <c r="A406" s="15" t="s">
        <v>32</v>
      </c>
      <c r="B406" s="16">
        <v>0</v>
      </c>
      <c r="C406" s="16">
        <v>0</v>
      </c>
      <c r="D406" s="16">
        <v>0</v>
      </c>
      <c r="E406" s="16">
        <v>0</v>
      </c>
      <c r="F406" s="16">
        <v>0</v>
      </c>
      <c r="G406" s="16">
        <v>0</v>
      </c>
      <c r="H406" s="16">
        <v>0</v>
      </c>
      <c r="I406" s="16">
        <f t="shared" si="54"/>
        <v>0</v>
      </c>
    </row>
    <row r="407" spans="1:9" x14ac:dyDescent="0.3">
      <c r="A407" s="15" t="s">
        <v>33</v>
      </c>
      <c r="B407" s="16">
        <v>0</v>
      </c>
      <c r="C407" s="16">
        <v>0</v>
      </c>
      <c r="D407" s="16">
        <v>0</v>
      </c>
      <c r="E407" s="16">
        <v>0</v>
      </c>
      <c r="F407" s="16">
        <v>1</v>
      </c>
      <c r="G407" s="16">
        <v>1</v>
      </c>
      <c r="H407" s="16">
        <v>0</v>
      </c>
      <c r="I407" s="16">
        <f t="shared" si="54"/>
        <v>2</v>
      </c>
    </row>
    <row r="408" spans="1:9" ht="19.5" thickBot="1" x14ac:dyDescent="0.35">
      <c r="A408" s="30" t="s">
        <v>15</v>
      </c>
      <c r="B408" s="31">
        <f t="shared" ref="B408:H408" si="55">(B399+B398)/B397*100%</f>
        <v>0.14814814814814814</v>
      </c>
      <c r="C408" s="31">
        <f t="shared" si="55"/>
        <v>0.14545454545454545</v>
      </c>
      <c r="D408" s="31">
        <f t="shared" si="55"/>
        <v>0.11320754716981132</v>
      </c>
      <c r="E408" s="31">
        <f t="shared" si="55"/>
        <v>0.77358490566037741</v>
      </c>
      <c r="F408" s="31">
        <f t="shared" si="55"/>
        <v>0.83333333333333337</v>
      </c>
      <c r="G408" s="31">
        <f t="shared" si="55"/>
        <v>0.65454545454545454</v>
      </c>
      <c r="H408" s="31">
        <f t="shared" si="55"/>
        <v>0.21818181818181817</v>
      </c>
      <c r="I408" s="32">
        <f>(B408+C408+D408+E408+F408+G408+H408)/7</f>
        <v>0.41235082178478405</v>
      </c>
    </row>
    <row r="409" spans="1:9" x14ac:dyDescent="0.3">
      <c r="A409" s="33" t="s">
        <v>16</v>
      </c>
      <c r="B409" s="16"/>
      <c r="C409" s="17"/>
      <c r="D409" s="16"/>
      <c r="E409" s="18"/>
      <c r="F409" s="16"/>
      <c r="G409" s="16"/>
      <c r="H409" s="16"/>
      <c r="I409" s="16"/>
    </row>
    <row r="410" spans="1:9" x14ac:dyDescent="0.3">
      <c r="A410" s="15" t="s">
        <v>34</v>
      </c>
      <c r="B410" s="28">
        <v>1871.4770000000001</v>
      </c>
      <c r="C410" s="28">
        <v>3498.846</v>
      </c>
      <c r="D410" s="28">
        <v>813.68500000000006</v>
      </c>
      <c r="E410" s="28">
        <v>813.68500000000006</v>
      </c>
      <c r="F410" s="28">
        <v>3865</v>
      </c>
      <c r="G410" s="28">
        <v>8136.844000000001</v>
      </c>
      <c r="H410" s="28">
        <v>488.21000000000004</v>
      </c>
      <c r="I410" s="19">
        <f>SUM(B410:H410)</f>
        <v>19487.747000000003</v>
      </c>
    </row>
    <row r="411" spans="1:9" x14ac:dyDescent="0.3">
      <c r="A411" s="15" t="s">
        <v>35</v>
      </c>
      <c r="B411" s="28">
        <v>1331.2740000000001</v>
      </c>
      <c r="C411" s="28">
        <v>1331.2740000000001</v>
      </c>
      <c r="D411" s="28">
        <v>2602.7610000000004</v>
      </c>
      <c r="E411" s="28">
        <v>16588.767999999996</v>
      </c>
      <c r="F411" s="28">
        <v>15974.234</v>
      </c>
      <c r="G411" s="28">
        <v>8783.0990000000002</v>
      </c>
      <c r="H411" s="28">
        <v>3240.0709999999999</v>
      </c>
      <c r="I411" s="19">
        <f>SUM(B411:H411)</f>
        <v>49851.481</v>
      </c>
    </row>
    <row r="412" spans="1:9" ht="19.5" thickBot="1" x14ac:dyDescent="0.35">
      <c r="A412" s="15" t="s">
        <v>20</v>
      </c>
      <c r="B412" s="28">
        <v>2847.884</v>
      </c>
      <c r="C412" s="28">
        <v>4703.0800000000008</v>
      </c>
      <c r="D412" s="28">
        <v>23225.284</v>
      </c>
      <c r="E412" s="28">
        <v>5801.5519999999997</v>
      </c>
      <c r="F412" s="28">
        <v>5940.0280000000002</v>
      </c>
      <c r="G412" s="28">
        <v>41076.380000000005</v>
      </c>
      <c r="H412" s="28">
        <v>9145.7559999999994</v>
      </c>
      <c r="I412" s="19">
        <f>SUM(B412:H412)</f>
        <v>92739.964000000007</v>
      </c>
    </row>
    <row r="413" spans="1:9" ht="19.5" thickBot="1" x14ac:dyDescent="0.35">
      <c r="A413" s="34" t="s">
        <v>7</v>
      </c>
      <c r="B413" s="35">
        <f t="shared" ref="B413:I413" si="56">SUM(B410:B412)</f>
        <v>6050.6350000000002</v>
      </c>
      <c r="C413" s="35">
        <f t="shared" si="56"/>
        <v>9533.2000000000007</v>
      </c>
      <c r="D413" s="35">
        <f t="shared" si="56"/>
        <v>26641.73</v>
      </c>
      <c r="E413" s="35">
        <f t="shared" si="56"/>
        <v>23204.004999999997</v>
      </c>
      <c r="F413" s="35">
        <f t="shared" si="56"/>
        <v>25779.262000000002</v>
      </c>
      <c r="G413" s="35">
        <f t="shared" si="56"/>
        <v>57996.323000000004</v>
      </c>
      <c r="H413" s="35">
        <f t="shared" si="56"/>
        <v>12874.037</v>
      </c>
      <c r="I413" s="36">
        <f t="shared" si="56"/>
        <v>162079.19200000001</v>
      </c>
    </row>
    <row r="414" spans="1:9" ht="19.5" thickTop="1" x14ac:dyDescent="0.3"/>
    <row r="415" spans="1:9" x14ac:dyDescent="0.3">
      <c r="C415" s="29"/>
    </row>
    <row r="416" spans="1:9" x14ac:dyDescent="0.3">
      <c r="A416" s="4" t="s">
        <v>57</v>
      </c>
      <c r="B416" s="5" t="s">
        <v>0</v>
      </c>
      <c r="C416" s="5" t="s">
        <v>1</v>
      </c>
      <c r="D416" s="5" t="s">
        <v>2</v>
      </c>
      <c r="E416" s="6" t="s">
        <v>3</v>
      </c>
      <c r="F416" s="5" t="s">
        <v>4</v>
      </c>
      <c r="G416" s="5" t="s">
        <v>5</v>
      </c>
      <c r="H416" s="5" t="s">
        <v>6</v>
      </c>
      <c r="I416" s="5" t="s">
        <v>7</v>
      </c>
    </row>
    <row r="417" spans="1:9" x14ac:dyDescent="0.3">
      <c r="A417" s="7"/>
      <c r="B417" s="8">
        <v>45418</v>
      </c>
      <c r="C417" s="8">
        <v>45419</v>
      </c>
      <c r="D417" s="8">
        <v>45420</v>
      </c>
      <c r="E417" s="8">
        <v>45421</v>
      </c>
      <c r="F417" s="8">
        <v>45422</v>
      </c>
      <c r="G417" s="8">
        <v>45423</v>
      </c>
      <c r="H417" s="8">
        <v>45424</v>
      </c>
      <c r="I417" s="9"/>
    </row>
    <row r="418" spans="1:9" ht="19.5" thickBot="1" x14ac:dyDescent="0.35">
      <c r="A418" s="10" t="s">
        <v>8</v>
      </c>
      <c r="B418" s="11" t="s">
        <v>9</v>
      </c>
      <c r="C418" s="11" t="s">
        <v>9</v>
      </c>
      <c r="D418" s="11" t="s">
        <v>9</v>
      </c>
      <c r="E418" s="11" t="s">
        <v>9</v>
      </c>
      <c r="F418" s="11" t="s">
        <v>9</v>
      </c>
      <c r="G418" s="11" t="s">
        <v>9</v>
      </c>
      <c r="H418" s="43" t="s">
        <v>9</v>
      </c>
      <c r="I418" s="44" t="s">
        <v>9</v>
      </c>
    </row>
    <row r="419" spans="1:9" x14ac:dyDescent="0.3">
      <c r="A419" s="13" t="s">
        <v>10</v>
      </c>
      <c r="B419" s="14">
        <v>55</v>
      </c>
      <c r="C419" s="14">
        <v>53</v>
      </c>
      <c r="D419" s="14">
        <v>53</v>
      </c>
      <c r="E419" s="14">
        <f>55</f>
        <v>55</v>
      </c>
      <c r="F419" s="14">
        <v>55</v>
      </c>
      <c r="G419" s="14">
        <f>55</f>
        <v>55</v>
      </c>
      <c r="H419" s="14">
        <v>55</v>
      </c>
      <c r="I419" s="16">
        <f>SUM(B419:H419)</f>
        <v>381</v>
      </c>
    </row>
    <row r="420" spans="1:9" x14ac:dyDescent="0.3">
      <c r="A420" s="15" t="s">
        <v>11</v>
      </c>
      <c r="B420" s="16">
        <v>1</v>
      </c>
      <c r="C420" s="16">
        <v>1</v>
      </c>
      <c r="D420" s="16">
        <v>2</v>
      </c>
      <c r="E420" s="16">
        <v>1</v>
      </c>
      <c r="F420" s="16">
        <v>3</v>
      </c>
      <c r="G420" s="16">
        <v>1</v>
      </c>
      <c r="H420" s="16">
        <v>1</v>
      </c>
      <c r="I420" s="16">
        <f>SUM(B420:H420)</f>
        <v>10</v>
      </c>
    </row>
    <row r="421" spans="1:9" x14ac:dyDescent="0.3">
      <c r="A421" s="15" t="s">
        <v>12</v>
      </c>
      <c r="B421" s="16">
        <v>11</v>
      </c>
      <c r="C421" s="16">
        <v>19</v>
      </c>
      <c r="D421" s="16">
        <v>22</v>
      </c>
      <c r="E421" s="16">
        <v>24</v>
      </c>
      <c r="F421" s="16">
        <v>14</v>
      </c>
      <c r="G421" s="16">
        <v>16</v>
      </c>
      <c r="H421" s="16">
        <v>10</v>
      </c>
      <c r="I421" s="16">
        <f>SUM(B421:H421)</f>
        <v>116</v>
      </c>
    </row>
    <row r="422" spans="1:9" x14ac:dyDescent="0.3">
      <c r="A422" s="15" t="s">
        <v>30</v>
      </c>
      <c r="B422" s="16">
        <v>0</v>
      </c>
      <c r="C422" s="16">
        <v>0</v>
      </c>
      <c r="D422" s="16">
        <v>0</v>
      </c>
      <c r="E422" s="16">
        <v>0</v>
      </c>
      <c r="F422" s="16">
        <v>0</v>
      </c>
      <c r="G422" s="16">
        <v>0</v>
      </c>
      <c r="H422" s="16">
        <v>0</v>
      </c>
      <c r="I422" s="16">
        <f>SUM(B422:H422)</f>
        <v>0</v>
      </c>
    </row>
    <row r="423" spans="1:9" x14ac:dyDescent="0.3">
      <c r="A423" s="15" t="s">
        <v>28</v>
      </c>
      <c r="B423" s="16">
        <v>17</v>
      </c>
      <c r="C423" s="16">
        <v>36</v>
      </c>
      <c r="D423" s="16">
        <v>23</v>
      </c>
      <c r="E423" s="16">
        <v>13</v>
      </c>
      <c r="F423" s="16">
        <v>15</v>
      </c>
      <c r="G423" s="16">
        <v>207</v>
      </c>
      <c r="H423" s="16">
        <f>49+30</f>
        <v>79</v>
      </c>
      <c r="I423" s="16">
        <f t="shared" ref="I423:I429" si="57">B423+C423+D423+E423+F423+G423+H423</f>
        <v>390</v>
      </c>
    </row>
    <row r="424" spans="1:9" x14ac:dyDescent="0.3">
      <c r="A424" s="15" t="s">
        <v>29</v>
      </c>
      <c r="B424" s="16">
        <v>6</v>
      </c>
      <c r="C424" s="16">
        <v>0</v>
      </c>
      <c r="D424" s="16">
        <v>0</v>
      </c>
      <c r="E424" s="16">
        <v>0</v>
      </c>
      <c r="F424" s="16">
        <v>0</v>
      </c>
      <c r="G424" s="16">
        <v>28</v>
      </c>
      <c r="H424" s="16">
        <v>3</v>
      </c>
      <c r="I424" s="16">
        <f t="shared" si="57"/>
        <v>37</v>
      </c>
    </row>
    <row r="425" spans="1:9" x14ac:dyDescent="0.3">
      <c r="A425" s="15" t="s">
        <v>31</v>
      </c>
      <c r="B425" s="16">
        <v>1</v>
      </c>
      <c r="C425" s="16">
        <v>0</v>
      </c>
      <c r="D425" s="16">
        <v>1</v>
      </c>
      <c r="E425" s="16">
        <v>0</v>
      </c>
      <c r="F425" s="16">
        <v>0</v>
      </c>
      <c r="G425" s="16">
        <v>2</v>
      </c>
      <c r="H425" s="16">
        <v>16</v>
      </c>
      <c r="I425" s="16">
        <f t="shared" si="57"/>
        <v>20</v>
      </c>
    </row>
    <row r="426" spans="1:9" x14ac:dyDescent="0.3">
      <c r="A426" s="15" t="s">
        <v>13</v>
      </c>
      <c r="B426" s="16">
        <v>0</v>
      </c>
      <c r="C426" s="16">
        <v>0</v>
      </c>
      <c r="D426" s="16">
        <v>0</v>
      </c>
      <c r="E426" s="16">
        <v>0</v>
      </c>
      <c r="F426" s="16">
        <v>3</v>
      </c>
      <c r="G426" s="16">
        <v>0</v>
      </c>
      <c r="H426" s="16">
        <v>1</v>
      </c>
      <c r="I426" s="16">
        <f t="shared" si="57"/>
        <v>4</v>
      </c>
    </row>
    <row r="427" spans="1:9" x14ac:dyDescent="0.3">
      <c r="A427" s="15" t="s">
        <v>14</v>
      </c>
      <c r="B427" s="16">
        <v>0</v>
      </c>
      <c r="C427" s="16">
        <v>0</v>
      </c>
      <c r="D427" s="16">
        <v>0</v>
      </c>
      <c r="E427" s="16">
        <v>0</v>
      </c>
      <c r="F427" s="16">
        <v>0</v>
      </c>
      <c r="G427" s="16">
        <v>0</v>
      </c>
      <c r="H427" s="16">
        <v>0</v>
      </c>
      <c r="I427" s="16">
        <f t="shared" si="57"/>
        <v>0</v>
      </c>
    </row>
    <row r="428" spans="1:9" x14ac:dyDescent="0.3">
      <c r="A428" s="15" t="s">
        <v>32</v>
      </c>
      <c r="B428" s="16">
        <v>0</v>
      </c>
      <c r="C428" s="16">
        <v>0</v>
      </c>
      <c r="D428" s="16">
        <v>0</v>
      </c>
      <c r="E428" s="16">
        <v>2</v>
      </c>
      <c r="F428" s="16">
        <v>0</v>
      </c>
      <c r="G428" s="16">
        <v>0</v>
      </c>
      <c r="H428" s="16">
        <v>0</v>
      </c>
      <c r="I428" s="16">
        <f t="shared" si="57"/>
        <v>2</v>
      </c>
    </row>
    <row r="429" spans="1:9" x14ac:dyDescent="0.3">
      <c r="A429" s="15" t="s">
        <v>33</v>
      </c>
      <c r="B429" s="16">
        <v>0</v>
      </c>
      <c r="C429" s="16">
        <v>0</v>
      </c>
      <c r="D429" s="16">
        <v>0</v>
      </c>
      <c r="E429" s="16">
        <v>0</v>
      </c>
      <c r="F429" s="16">
        <v>0</v>
      </c>
      <c r="G429" s="16">
        <v>0</v>
      </c>
      <c r="H429" s="16">
        <v>0</v>
      </c>
      <c r="I429" s="16">
        <f t="shared" si="57"/>
        <v>0</v>
      </c>
    </row>
    <row r="430" spans="1:9" ht="19.5" thickBot="1" x14ac:dyDescent="0.35">
      <c r="A430" s="30" t="s">
        <v>15</v>
      </c>
      <c r="B430" s="31">
        <f t="shared" ref="B430:H430" si="58">(B421+B420)/B419*100%</f>
        <v>0.21818181818181817</v>
      </c>
      <c r="C430" s="31">
        <f t="shared" si="58"/>
        <v>0.37735849056603776</v>
      </c>
      <c r="D430" s="31">
        <f t="shared" si="58"/>
        <v>0.45283018867924529</v>
      </c>
      <c r="E430" s="31">
        <f t="shared" si="58"/>
        <v>0.45454545454545453</v>
      </c>
      <c r="F430" s="31">
        <f t="shared" si="58"/>
        <v>0.30909090909090908</v>
      </c>
      <c r="G430" s="31">
        <f t="shared" si="58"/>
        <v>0.30909090909090908</v>
      </c>
      <c r="H430" s="31">
        <f t="shared" si="58"/>
        <v>0.2</v>
      </c>
      <c r="I430" s="32">
        <f>(B430+C430+D430+E430+F430+G430+H430)/7</f>
        <v>0.33158539573633916</v>
      </c>
    </row>
    <row r="431" spans="1:9" x14ac:dyDescent="0.3">
      <c r="A431" s="33" t="s">
        <v>16</v>
      </c>
      <c r="B431" s="16"/>
      <c r="C431" s="17"/>
      <c r="D431" s="16"/>
      <c r="E431" s="18"/>
      <c r="F431" s="16"/>
      <c r="G431" s="16"/>
      <c r="H431" s="16"/>
      <c r="I431" s="16"/>
    </row>
    <row r="432" spans="1:9" x14ac:dyDescent="0.3">
      <c r="A432" s="15" t="s">
        <v>34</v>
      </c>
      <c r="B432" s="28">
        <v>488.21000000000004</v>
      </c>
      <c r="C432" s="28">
        <v>1627.3700000000001</v>
      </c>
      <c r="D432" s="28">
        <v>0</v>
      </c>
      <c r="E432" s="28">
        <v>390.00800000000004</v>
      </c>
      <c r="F432" s="28">
        <v>4556.6350000000002</v>
      </c>
      <c r="G432" s="28">
        <v>8500.2829999999994</v>
      </c>
      <c r="H432" s="28">
        <v>81.369000000000057</v>
      </c>
      <c r="I432" s="19">
        <f>SUM(B432:H432)</f>
        <v>15643.875</v>
      </c>
    </row>
    <row r="433" spans="1:9" x14ac:dyDescent="0.3">
      <c r="A433" s="15" t="s">
        <v>35</v>
      </c>
      <c r="B433" s="28">
        <v>3240.0709999999999</v>
      </c>
      <c r="C433" s="28">
        <v>7069.5290000000014</v>
      </c>
      <c r="D433" s="28">
        <v>8976.6380000000008</v>
      </c>
      <c r="E433" s="28">
        <v>9513.1110000000026</v>
      </c>
      <c r="F433" s="28">
        <v>3412.9939999999997</v>
      </c>
      <c r="G433" s="28">
        <v>0</v>
      </c>
      <c r="H433" s="28">
        <v>4613.5889999999999</v>
      </c>
      <c r="I433" s="19">
        <f>SUM(B433:H433)</f>
        <v>36825.932000000008</v>
      </c>
    </row>
    <row r="434" spans="1:9" ht="19.5" thickBot="1" x14ac:dyDescent="0.35">
      <c r="A434" s="15" t="s">
        <v>20</v>
      </c>
      <c r="B434" s="28">
        <v>4198.6120000000001</v>
      </c>
      <c r="C434" s="28">
        <v>7616.0839999999998</v>
      </c>
      <c r="D434" s="28">
        <v>3978.9080000000004</v>
      </c>
      <c r="E434" s="28">
        <v>3319.8060000000005</v>
      </c>
      <c r="F434" s="28">
        <v>3515.1000000000004</v>
      </c>
      <c r="G434" s="28">
        <v>28850.744000000002</v>
      </c>
      <c r="H434" s="28">
        <v>16681.34</v>
      </c>
      <c r="I434" s="19">
        <f>SUM(B434:H434)</f>
        <v>68160.593999999997</v>
      </c>
    </row>
    <row r="435" spans="1:9" ht="19.5" thickBot="1" x14ac:dyDescent="0.35">
      <c r="A435" s="34" t="s">
        <v>7</v>
      </c>
      <c r="B435" s="35">
        <f t="shared" ref="B435:I435" si="59">SUM(B432:B434)</f>
        <v>7926.893</v>
      </c>
      <c r="C435" s="35">
        <f t="shared" si="59"/>
        <v>16312.983</v>
      </c>
      <c r="D435" s="35">
        <f t="shared" si="59"/>
        <v>12955.546000000002</v>
      </c>
      <c r="E435" s="35">
        <f t="shared" si="59"/>
        <v>13222.925000000003</v>
      </c>
      <c r="F435" s="35">
        <f t="shared" si="59"/>
        <v>11484.728999999999</v>
      </c>
      <c r="G435" s="35">
        <f t="shared" si="59"/>
        <v>37351.027000000002</v>
      </c>
      <c r="H435" s="35">
        <f t="shared" si="59"/>
        <v>21376.297999999999</v>
      </c>
      <c r="I435" s="36">
        <f t="shared" si="59"/>
        <v>120630.40100000001</v>
      </c>
    </row>
    <row r="436" spans="1:9" ht="19.5" thickTop="1" x14ac:dyDescent="0.3"/>
    <row r="437" spans="1:9" x14ac:dyDescent="0.3">
      <c r="E437" s="29"/>
    </row>
    <row r="438" spans="1:9" x14ac:dyDescent="0.3">
      <c r="A438" s="4" t="s">
        <v>58</v>
      </c>
      <c r="B438" s="5" t="s">
        <v>0</v>
      </c>
      <c r="C438" s="5" t="s">
        <v>1</v>
      </c>
      <c r="D438" s="5" t="s">
        <v>2</v>
      </c>
      <c r="E438" s="6" t="s">
        <v>3</v>
      </c>
      <c r="F438" s="5" t="s">
        <v>4</v>
      </c>
      <c r="G438" s="5" t="s">
        <v>5</v>
      </c>
      <c r="H438" s="5" t="s">
        <v>6</v>
      </c>
      <c r="I438" s="5" t="s">
        <v>7</v>
      </c>
    </row>
    <row r="439" spans="1:9" x14ac:dyDescent="0.3">
      <c r="A439" s="7"/>
      <c r="B439" s="8">
        <v>45425</v>
      </c>
      <c r="C439" s="8">
        <v>45426</v>
      </c>
      <c r="D439" s="8">
        <v>45427</v>
      </c>
      <c r="E439" s="8">
        <v>45428</v>
      </c>
      <c r="F439" s="8">
        <v>45429</v>
      </c>
      <c r="G439" s="8">
        <v>45430</v>
      </c>
      <c r="H439" s="8">
        <v>45431</v>
      </c>
      <c r="I439" s="9"/>
    </row>
    <row r="440" spans="1:9" ht="19.5" thickBot="1" x14ac:dyDescent="0.35">
      <c r="A440" s="10" t="s">
        <v>8</v>
      </c>
      <c r="B440" s="11" t="s">
        <v>9</v>
      </c>
      <c r="C440" s="11" t="s">
        <v>9</v>
      </c>
      <c r="D440" s="11" t="s">
        <v>9</v>
      </c>
      <c r="E440" s="11" t="s">
        <v>9</v>
      </c>
      <c r="F440" s="11" t="s">
        <v>9</v>
      </c>
      <c r="G440" s="11" t="s">
        <v>9</v>
      </c>
      <c r="H440" s="43" t="s">
        <v>9</v>
      </c>
      <c r="I440" s="44" t="s">
        <v>9</v>
      </c>
    </row>
    <row r="441" spans="1:9" x14ac:dyDescent="0.3">
      <c r="A441" s="13" t="s">
        <v>10</v>
      </c>
      <c r="B441" s="14">
        <v>55</v>
      </c>
      <c r="C441" s="14">
        <v>55</v>
      </c>
      <c r="D441" s="14">
        <v>55</v>
      </c>
      <c r="E441" s="14">
        <f>55</f>
        <v>55</v>
      </c>
      <c r="F441" s="14">
        <v>54</v>
      </c>
      <c r="G441" s="14">
        <v>54</v>
      </c>
      <c r="H441" s="14">
        <v>54</v>
      </c>
      <c r="I441" s="16">
        <f>SUM(B441:H441)</f>
        <v>382</v>
      </c>
    </row>
    <row r="442" spans="1:9" x14ac:dyDescent="0.3">
      <c r="A442" s="15" t="s">
        <v>11</v>
      </c>
      <c r="B442" s="16">
        <v>1</v>
      </c>
      <c r="C442" s="16">
        <v>1</v>
      </c>
      <c r="D442" s="16">
        <v>1</v>
      </c>
      <c r="E442" s="16">
        <v>2</v>
      </c>
      <c r="F442" s="16">
        <v>4</v>
      </c>
      <c r="G442" s="16">
        <v>3</v>
      </c>
      <c r="H442" s="16">
        <v>1</v>
      </c>
      <c r="I442" s="16">
        <f>SUM(B442:H442)</f>
        <v>13</v>
      </c>
    </row>
    <row r="443" spans="1:9" x14ac:dyDescent="0.3">
      <c r="A443" s="15" t="s">
        <v>12</v>
      </c>
      <c r="B443" s="16">
        <v>54</v>
      </c>
      <c r="C443" s="16">
        <v>51</v>
      </c>
      <c r="D443" s="16">
        <v>53</v>
      </c>
      <c r="E443" s="16">
        <v>51</v>
      </c>
      <c r="F443" s="16">
        <v>20</v>
      </c>
      <c r="G443" s="16">
        <v>25</v>
      </c>
      <c r="H443" s="16">
        <v>6</v>
      </c>
      <c r="I443" s="16">
        <f>SUM(B443:H443)</f>
        <v>260</v>
      </c>
    </row>
    <row r="444" spans="1:9" x14ac:dyDescent="0.3">
      <c r="A444" s="15" t="s">
        <v>30</v>
      </c>
      <c r="B444" s="16">
        <v>0</v>
      </c>
      <c r="C444" s="16">
        <v>0</v>
      </c>
      <c r="D444" s="16">
        <v>0</v>
      </c>
      <c r="E444" s="16">
        <v>0</v>
      </c>
      <c r="F444" s="16">
        <v>0</v>
      </c>
      <c r="G444" s="16">
        <v>0</v>
      </c>
      <c r="H444" s="16">
        <v>1</v>
      </c>
      <c r="I444" s="16">
        <f>SUM(B444:H444)</f>
        <v>1</v>
      </c>
    </row>
    <row r="445" spans="1:9" x14ac:dyDescent="0.3">
      <c r="A445" s="15" t="s">
        <v>28</v>
      </c>
      <c r="B445" s="16">
        <v>2</v>
      </c>
      <c r="C445" s="16">
        <v>4</v>
      </c>
      <c r="D445" s="16">
        <v>10</v>
      </c>
      <c r="E445" s="16">
        <v>9</v>
      </c>
      <c r="F445" s="16">
        <v>23</v>
      </c>
      <c r="G445" s="16">
        <v>205</v>
      </c>
      <c r="H445" s="16">
        <v>31</v>
      </c>
      <c r="I445" s="16">
        <f t="shared" ref="I445:I451" si="60">B445+C445+D445+E445+F445+G445+H445</f>
        <v>284</v>
      </c>
    </row>
    <row r="446" spans="1:9" x14ac:dyDescent="0.3">
      <c r="A446" s="15" t="s">
        <v>29</v>
      </c>
      <c r="B446" s="16">
        <v>0</v>
      </c>
      <c r="C446" s="16">
        <v>0</v>
      </c>
      <c r="D446" s="16">
        <v>0</v>
      </c>
      <c r="E446" s="16">
        <v>0</v>
      </c>
      <c r="F446" s="16">
        <v>0</v>
      </c>
      <c r="G446" s="16">
        <v>21</v>
      </c>
      <c r="H446" s="16">
        <v>7</v>
      </c>
      <c r="I446" s="16">
        <f t="shared" si="60"/>
        <v>28</v>
      </c>
    </row>
    <row r="447" spans="1:9" x14ac:dyDescent="0.3">
      <c r="A447" s="15" t="s">
        <v>31</v>
      </c>
      <c r="B447" s="16">
        <v>0</v>
      </c>
      <c r="C447" s="16">
        <v>0</v>
      </c>
      <c r="D447" s="16">
        <v>0</v>
      </c>
      <c r="E447" s="16">
        <v>0</v>
      </c>
      <c r="F447" s="16">
        <v>0</v>
      </c>
      <c r="G447" s="16">
        <v>0</v>
      </c>
      <c r="H447" s="16">
        <v>0</v>
      </c>
      <c r="I447" s="16">
        <f t="shared" si="60"/>
        <v>0</v>
      </c>
    </row>
    <row r="448" spans="1:9" x14ac:dyDescent="0.3">
      <c r="A448" s="15" t="s">
        <v>13</v>
      </c>
      <c r="B448" s="16">
        <v>0</v>
      </c>
      <c r="C448" s="16">
        <v>2</v>
      </c>
      <c r="D448" s="16">
        <v>0</v>
      </c>
      <c r="E448" s="16">
        <v>0</v>
      </c>
      <c r="F448" s="16">
        <v>0</v>
      </c>
      <c r="G448" s="16">
        <v>0</v>
      </c>
      <c r="H448" s="16">
        <v>0</v>
      </c>
      <c r="I448" s="16">
        <f t="shared" si="60"/>
        <v>2</v>
      </c>
    </row>
    <row r="449" spans="1:9" x14ac:dyDescent="0.3">
      <c r="A449" s="15" t="s">
        <v>14</v>
      </c>
      <c r="B449" s="16">
        <v>0</v>
      </c>
      <c r="C449" s="16">
        <v>0</v>
      </c>
      <c r="D449" s="16">
        <v>0</v>
      </c>
      <c r="E449" s="16">
        <v>0</v>
      </c>
      <c r="F449" s="16">
        <v>0</v>
      </c>
      <c r="G449" s="16">
        <v>0</v>
      </c>
      <c r="H449" s="16">
        <v>0</v>
      </c>
      <c r="I449" s="16">
        <f t="shared" si="60"/>
        <v>0</v>
      </c>
    </row>
    <row r="450" spans="1:9" x14ac:dyDescent="0.3">
      <c r="A450" s="15" t="s">
        <v>32</v>
      </c>
      <c r="B450" s="16">
        <v>0</v>
      </c>
      <c r="C450" s="16">
        <v>0</v>
      </c>
      <c r="D450" s="16">
        <v>0</v>
      </c>
      <c r="E450" s="16">
        <v>0</v>
      </c>
      <c r="F450" s="16">
        <v>0</v>
      </c>
      <c r="G450" s="16">
        <v>0</v>
      </c>
      <c r="H450" s="16">
        <v>0</v>
      </c>
      <c r="I450" s="16">
        <f t="shared" si="60"/>
        <v>0</v>
      </c>
    </row>
    <row r="451" spans="1:9" x14ac:dyDescent="0.3">
      <c r="A451" s="15" t="s">
        <v>33</v>
      </c>
      <c r="B451" s="16">
        <v>0</v>
      </c>
      <c r="C451" s="16">
        <v>0</v>
      </c>
      <c r="D451" s="16">
        <v>0</v>
      </c>
      <c r="E451" s="16">
        <v>0</v>
      </c>
      <c r="F451" s="16">
        <v>0</v>
      </c>
      <c r="G451" s="16">
        <v>0</v>
      </c>
      <c r="H451" s="16">
        <v>0</v>
      </c>
      <c r="I451" s="16">
        <f t="shared" si="60"/>
        <v>0</v>
      </c>
    </row>
    <row r="452" spans="1:9" ht="19.5" thickBot="1" x14ac:dyDescent="0.35">
      <c r="A452" s="30" t="s">
        <v>15</v>
      </c>
      <c r="B452" s="31">
        <f t="shared" ref="B452:H452" si="61">(B443+B442)/B441*100%</f>
        <v>1</v>
      </c>
      <c r="C452" s="31">
        <f t="shared" si="61"/>
        <v>0.94545454545454544</v>
      </c>
      <c r="D452" s="31">
        <f t="shared" si="61"/>
        <v>0.98181818181818181</v>
      </c>
      <c r="E452" s="31">
        <f t="shared" si="61"/>
        <v>0.96363636363636362</v>
      </c>
      <c r="F452" s="31">
        <f t="shared" si="61"/>
        <v>0.44444444444444442</v>
      </c>
      <c r="G452" s="31">
        <f t="shared" si="61"/>
        <v>0.51851851851851849</v>
      </c>
      <c r="H452" s="31">
        <f t="shared" si="61"/>
        <v>0.12962962962962962</v>
      </c>
      <c r="I452" s="32">
        <f>(B452+C452+D452+E452+F452+G452+H452)/7</f>
        <v>0.71192881192881186</v>
      </c>
    </row>
    <row r="453" spans="1:9" x14ac:dyDescent="0.3">
      <c r="A453" s="33" t="s">
        <v>16</v>
      </c>
      <c r="B453" s="16"/>
      <c r="C453" s="17"/>
      <c r="D453" s="16"/>
      <c r="E453" s="18"/>
      <c r="F453" s="16"/>
      <c r="G453" s="16"/>
      <c r="H453" s="16"/>
      <c r="I453" s="16"/>
    </row>
    <row r="454" spans="1:9" x14ac:dyDescent="0.3">
      <c r="A454" s="15" t="s">
        <v>34</v>
      </c>
      <c r="B454" s="28">
        <v>0</v>
      </c>
      <c r="C454" s="28">
        <v>0</v>
      </c>
      <c r="D454" s="28">
        <v>0</v>
      </c>
      <c r="E454" s="28">
        <v>0</v>
      </c>
      <c r="F454" s="28">
        <v>6517.6180000000004</v>
      </c>
      <c r="G454" s="28">
        <v>12071.033000000001</v>
      </c>
      <c r="H454" s="28">
        <v>8376.8850000000002</v>
      </c>
      <c r="I454" s="19">
        <f>SUM(B454:H454)</f>
        <v>26965.536</v>
      </c>
    </row>
    <row r="455" spans="1:9" x14ac:dyDescent="0.3">
      <c r="A455" s="15" t="s">
        <v>35</v>
      </c>
      <c r="B455" s="28">
        <v>26170.489000000001</v>
      </c>
      <c r="C455" s="28">
        <v>29930.534000000003</v>
      </c>
      <c r="D455" s="28">
        <v>31339.638000000003</v>
      </c>
      <c r="E455" s="28">
        <v>29593.762000000002</v>
      </c>
      <c r="F455" s="28">
        <v>10043.567999999999</v>
      </c>
      <c r="G455" s="28">
        <v>9494.2899999999991</v>
      </c>
      <c r="H455" s="28">
        <v>549.22700000000009</v>
      </c>
      <c r="I455" s="19">
        <f>SUM(B455:H455)</f>
        <v>137121.50800000003</v>
      </c>
    </row>
    <row r="456" spans="1:9" ht="19.5" thickBot="1" x14ac:dyDescent="0.35">
      <c r="A456" s="15" t="s">
        <v>20</v>
      </c>
      <c r="B456" s="28">
        <v>423.11200000000002</v>
      </c>
      <c r="C456" s="28">
        <v>1074.0440000000001</v>
      </c>
      <c r="D456" s="28">
        <v>4231.1559999999999</v>
      </c>
      <c r="E456" s="28">
        <v>1904.0240000000003</v>
      </c>
      <c r="F456" s="28">
        <v>4548.4920000000002</v>
      </c>
      <c r="G456" s="28">
        <v>37008.86</v>
      </c>
      <c r="H456" s="28">
        <v>7127.880000000001</v>
      </c>
      <c r="I456" s="19">
        <f>SUM(B456:H456)</f>
        <v>56317.567999999999</v>
      </c>
    </row>
    <row r="457" spans="1:9" ht="19.5" thickBot="1" x14ac:dyDescent="0.35">
      <c r="A457" s="34" t="s">
        <v>7</v>
      </c>
      <c r="B457" s="35">
        <f t="shared" ref="B457:I457" si="62">SUM(B454:B456)</f>
        <v>26593.601000000002</v>
      </c>
      <c r="C457" s="35">
        <f t="shared" si="62"/>
        <v>31004.578000000005</v>
      </c>
      <c r="D457" s="35">
        <f t="shared" si="62"/>
        <v>35570.794000000002</v>
      </c>
      <c r="E457" s="35">
        <f t="shared" si="62"/>
        <v>31497.786000000004</v>
      </c>
      <c r="F457" s="35">
        <f t="shared" si="62"/>
        <v>21109.678</v>
      </c>
      <c r="G457" s="35">
        <f t="shared" si="62"/>
        <v>58574.183000000005</v>
      </c>
      <c r="H457" s="35">
        <f t="shared" si="62"/>
        <v>16053.992000000002</v>
      </c>
      <c r="I457" s="36">
        <f t="shared" si="62"/>
        <v>220404.61200000002</v>
      </c>
    </row>
    <row r="458" spans="1:9" ht="19.5" thickTop="1" x14ac:dyDescent="0.3"/>
    <row r="460" spans="1:9" x14ac:dyDescent="0.3">
      <c r="A460" s="4" t="s">
        <v>59</v>
      </c>
      <c r="B460" s="5" t="s">
        <v>0</v>
      </c>
      <c r="C460" s="5" t="s">
        <v>1</v>
      </c>
      <c r="D460" s="5" t="s">
        <v>2</v>
      </c>
      <c r="E460" s="6" t="s">
        <v>3</v>
      </c>
      <c r="F460" s="5" t="s">
        <v>4</v>
      </c>
      <c r="G460" s="5" t="s">
        <v>5</v>
      </c>
      <c r="H460" s="5" t="s">
        <v>6</v>
      </c>
      <c r="I460" s="5" t="s">
        <v>7</v>
      </c>
    </row>
    <row r="461" spans="1:9" x14ac:dyDescent="0.3">
      <c r="A461" s="7"/>
      <c r="B461" s="8">
        <v>45432</v>
      </c>
      <c r="C461" s="8">
        <v>45433</v>
      </c>
      <c r="D461" s="8">
        <v>45434</v>
      </c>
      <c r="E461" s="8">
        <v>45435</v>
      </c>
      <c r="F461" s="8">
        <v>45436</v>
      </c>
      <c r="G461" s="8">
        <v>45437</v>
      </c>
      <c r="H461" s="8">
        <v>45438</v>
      </c>
      <c r="I461" s="9"/>
    </row>
    <row r="462" spans="1:9" ht="19.5" thickBot="1" x14ac:dyDescent="0.35">
      <c r="A462" s="10" t="s">
        <v>8</v>
      </c>
      <c r="B462" s="11" t="s">
        <v>9</v>
      </c>
      <c r="C462" s="11" t="s">
        <v>9</v>
      </c>
      <c r="D462" s="11" t="s">
        <v>9</v>
      </c>
      <c r="E462" s="11" t="s">
        <v>9</v>
      </c>
      <c r="F462" s="11" t="s">
        <v>9</v>
      </c>
      <c r="G462" s="11" t="s">
        <v>9</v>
      </c>
      <c r="H462" s="43" t="s">
        <v>9</v>
      </c>
      <c r="I462" s="44" t="s">
        <v>9</v>
      </c>
    </row>
    <row r="463" spans="1:9" x14ac:dyDescent="0.3">
      <c r="A463" s="13" t="s">
        <v>10</v>
      </c>
      <c r="B463" s="14">
        <v>53</v>
      </c>
      <c r="C463" s="14">
        <v>54</v>
      </c>
      <c r="D463" s="14">
        <f>55-3</f>
        <v>52</v>
      </c>
      <c r="E463" s="14">
        <f>55-3</f>
        <v>52</v>
      </c>
      <c r="F463" s="14">
        <f>55-2</f>
        <v>53</v>
      </c>
      <c r="G463" s="14">
        <v>52</v>
      </c>
      <c r="H463" s="14">
        <f>55-3</f>
        <v>52</v>
      </c>
      <c r="I463" s="16">
        <f>SUM(B463:H463)</f>
        <v>368</v>
      </c>
    </row>
    <row r="464" spans="1:9" x14ac:dyDescent="0.3">
      <c r="A464" s="15" t="s">
        <v>11</v>
      </c>
      <c r="B464" s="16">
        <v>3</v>
      </c>
      <c r="C464" s="16">
        <v>3</v>
      </c>
      <c r="D464" s="16">
        <v>3</v>
      </c>
      <c r="E464" s="16">
        <v>3</v>
      </c>
      <c r="F464" s="16">
        <v>7</v>
      </c>
      <c r="G464" s="16">
        <v>7</v>
      </c>
      <c r="H464" s="16">
        <v>3</v>
      </c>
      <c r="I464" s="16">
        <f>SUM(B464:H464)</f>
        <v>29</v>
      </c>
    </row>
    <row r="465" spans="1:9" x14ac:dyDescent="0.3">
      <c r="A465" s="15" t="s">
        <v>12</v>
      </c>
      <c r="B465" s="16">
        <v>3</v>
      </c>
      <c r="C465" s="16">
        <v>1</v>
      </c>
      <c r="D465" s="16">
        <v>3</v>
      </c>
      <c r="E465" s="16">
        <v>5</v>
      </c>
      <c r="F465" s="16">
        <v>7</v>
      </c>
      <c r="G465" s="16">
        <v>15</v>
      </c>
      <c r="H465" s="16">
        <v>8</v>
      </c>
      <c r="I465" s="16">
        <f>SUM(B465:H465)</f>
        <v>42</v>
      </c>
    </row>
    <row r="466" spans="1:9" x14ac:dyDescent="0.3">
      <c r="A466" s="15" t="s">
        <v>30</v>
      </c>
      <c r="B466" s="16">
        <v>0</v>
      </c>
      <c r="C466" s="16">
        <v>0</v>
      </c>
      <c r="D466" s="16">
        <v>0</v>
      </c>
      <c r="E466" s="16">
        <v>0</v>
      </c>
      <c r="F466" s="16">
        <v>0</v>
      </c>
      <c r="G466" s="16">
        <v>0</v>
      </c>
      <c r="H466" s="16">
        <v>0</v>
      </c>
      <c r="I466" s="16">
        <f>SUM(B466:H466)</f>
        <v>0</v>
      </c>
    </row>
    <row r="467" spans="1:9" x14ac:dyDescent="0.3">
      <c r="A467" s="15" t="s">
        <v>28</v>
      </c>
      <c r="B467" s="16">
        <v>7</v>
      </c>
      <c r="C467" s="16">
        <v>24</v>
      </c>
      <c r="D467" s="16">
        <v>2</v>
      </c>
      <c r="E467" s="16">
        <v>8</v>
      </c>
      <c r="F467" s="16">
        <v>79</v>
      </c>
      <c r="G467" s="16">
        <v>124</v>
      </c>
      <c r="H467" s="16">
        <v>46</v>
      </c>
      <c r="I467" s="16">
        <f t="shared" ref="I467:I473" si="63">B467+C467+D467+E467+F467+G467+H467</f>
        <v>290</v>
      </c>
    </row>
    <row r="468" spans="1:9" x14ac:dyDescent="0.3">
      <c r="A468" s="15" t="s">
        <v>29</v>
      </c>
      <c r="B468" s="16">
        <v>0</v>
      </c>
      <c r="C468" s="16">
        <v>0</v>
      </c>
      <c r="D468" s="16">
        <v>0</v>
      </c>
      <c r="E468" s="16">
        <v>0</v>
      </c>
      <c r="F468" s="16">
        <v>0</v>
      </c>
      <c r="G468" s="16">
        <v>15</v>
      </c>
      <c r="H468" s="16">
        <v>8</v>
      </c>
      <c r="I468" s="16">
        <f t="shared" si="63"/>
        <v>23</v>
      </c>
    </row>
    <row r="469" spans="1:9" x14ac:dyDescent="0.3">
      <c r="A469" s="15" t="s">
        <v>31</v>
      </c>
      <c r="B469" s="16">
        <v>0</v>
      </c>
      <c r="C469" s="16">
        <v>1</v>
      </c>
      <c r="D469" s="16">
        <v>1</v>
      </c>
      <c r="E469" s="16">
        <v>0</v>
      </c>
      <c r="F469" s="16">
        <v>0</v>
      </c>
      <c r="G469" s="16">
        <v>10</v>
      </c>
      <c r="H469" s="16">
        <v>0</v>
      </c>
      <c r="I469" s="16">
        <f t="shared" si="63"/>
        <v>12</v>
      </c>
    </row>
    <row r="470" spans="1:9" x14ac:dyDescent="0.3">
      <c r="A470" s="15" t="s">
        <v>13</v>
      </c>
      <c r="B470" s="16">
        <v>0</v>
      </c>
      <c r="C470" s="16">
        <v>0</v>
      </c>
      <c r="D470" s="16">
        <v>0</v>
      </c>
      <c r="E470" s="16">
        <v>0</v>
      </c>
      <c r="F470" s="16">
        <v>0</v>
      </c>
      <c r="G470" s="16">
        <v>2</v>
      </c>
      <c r="H470" s="16">
        <v>5</v>
      </c>
      <c r="I470" s="16">
        <f t="shared" si="63"/>
        <v>7</v>
      </c>
    </row>
    <row r="471" spans="1:9" x14ac:dyDescent="0.3">
      <c r="A471" s="15" t="s">
        <v>14</v>
      </c>
      <c r="B471" s="16">
        <v>0</v>
      </c>
      <c r="C471" s="16">
        <v>0</v>
      </c>
      <c r="D471" s="16">
        <v>0</v>
      </c>
      <c r="E471" s="16">
        <v>0</v>
      </c>
      <c r="F471" s="16">
        <v>0</v>
      </c>
      <c r="G471" s="16">
        <v>0</v>
      </c>
      <c r="H471" s="16">
        <v>0</v>
      </c>
      <c r="I471" s="16">
        <f t="shared" si="63"/>
        <v>0</v>
      </c>
    </row>
    <row r="472" spans="1:9" x14ac:dyDescent="0.3">
      <c r="A472" s="15" t="s">
        <v>32</v>
      </c>
      <c r="B472" s="16">
        <v>0</v>
      </c>
      <c r="C472" s="16">
        <v>0</v>
      </c>
      <c r="D472" s="16">
        <v>0</v>
      </c>
      <c r="E472" s="16">
        <v>0</v>
      </c>
      <c r="F472" s="16">
        <v>0</v>
      </c>
      <c r="G472" s="16">
        <v>0</v>
      </c>
      <c r="H472" s="16">
        <v>0</v>
      </c>
      <c r="I472" s="16">
        <f t="shared" si="63"/>
        <v>0</v>
      </c>
    </row>
    <row r="473" spans="1:9" x14ac:dyDescent="0.3">
      <c r="A473" s="15" t="s">
        <v>33</v>
      </c>
      <c r="B473" s="16">
        <v>0</v>
      </c>
      <c r="C473" s="16">
        <v>0</v>
      </c>
      <c r="D473" s="16">
        <v>0</v>
      </c>
      <c r="E473" s="16">
        <v>0</v>
      </c>
      <c r="F473" s="16">
        <v>0</v>
      </c>
      <c r="G473" s="16">
        <v>0</v>
      </c>
      <c r="H473" s="16">
        <v>0</v>
      </c>
      <c r="I473" s="16">
        <f t="shared" si="63"/>
        <v>0</v>
      </c>
    </row>
    <row r="474" spans="1:9" ht="19.5" thickBot="1" x14ac:dyDescent="0.35">
      <c r="A474" s="30" t="s">
        <v>15</v>
      </c>
      <c r="B474" s="31">
        <f t="shared" ref="B474:H474" si="64">(B465+B464)/B463*100%</f>
        <v>0.11320754716981132</v>
      </c>
      <c r="C474" s="31">
        <f t="shared" si="64"/>
        <v>7.407407407407407E-2</v>
      </c>
      <c r="D474" s="31">
        <f t="shared" si="64"/>
        <v>0.11538461538461539</v>
      </c>
      <c r="E474" s="31">
        <f t="shared" si="64"/>
        <v>0.15384615384615385</v>
      </c>
      <c r="F474" s="31">
        <f t="shared" si="64"/>
        <v>0.26415094339622641</v>
      </c>
      <c r="G474" s="31">
        <f t="shared" si="64"/>
        <v>0.42307692307692307</v>
      </c>
      <c r="H474" s="31">
        <f t="shared" si="64"/>
        <v>0.21153846153846154</v>
      </c>
      <c r="I474" s="32">
        <f>(B474+C474+D474+E474+F474+G474+H474)/7</f>
        <v>0.19361124549803793</v>
      </c>
    </row>
    <row r="475" spans="1:9" x14ac:dyDescent="0.3">
      <c r="A475" s="33" t="s">
        <v>16</v>
      </c>
      <c r="B475" s="16"/>
      <c r="C475" s="17"/>
      <c r="D475" s="16"/>
      <c r="E475" s="18"/>
      <c r="F475" s="16"/>
      <c r="G475" s="16"/>
      <c r="H475" s="16"/>
      <c r="I475" s="16"/>
    </row>
    <row r="476" spans="1:9" x14ac:dyDescent="0.3">
      <c r="A476" s="15" t="s">
        <v>34</v>
      </c>
      <c r="B476" s="28">
        <v>2034.212</v>
      </c>
      <c r="C476" s="28">
        <v>488.21000000000004</v>
      </c>
      <c r="D476" s="28">
        <v>1790.105</v>
      </c>
      <c r="E476" s="28">
        <v>3254.739</v>
      </c>
      <c r="F476" s="28">
        <v>5207.5860000000002</v>
      </c>
      <c r="G476" s="28">
        <v>10407.025000000001</v>
      </c>
      <c r="H476" s="28">
        <v>4263.7040000000006</v>
      </c>
      <c r="I476" s="19">
        <f>SUM(B476:H476)</f>
        <v>27445.581000000002</v>
      </c>
    </row>
    <row r="477" spans="1:9" x14ac:dyDescent="0.3">
      <c r="A477" s="15" t="s">
        <v>35</v>
      </c>
      <c r="B477" s="28">
        <v>0</v>
      </c>
      <c r="C477" s="28">
        <v>0</v>
      </c>
      <c r="D477" s="28">
        <v>0</v>
      </c>
      <c r="E477" s="28">
        <v>0</v>
      </c>
      <c r="F477" s="28">
        <v>0</v>
      </c>
      <c r="G477" s="28">
        <v>0</v>
      </c>
      <c r="H477" s="28">
        <v>0</v>
      </c>
      <c r="I477" s="19">
        <f>SUM(B477:H477)</f>
        <v>0</v>
      </c>
    </row>
    <row r="478" spans="1:9" ht="19.5" thickBot="1" x14ac:dyDescent="0.35">
      <c r="A478" s="15" t="s">
        <v>20</v>
      </c>
      <c r="B478" s="28">
        <v>1480.9120000000003</v>
      </c>
      <c r="C478" s="28">
        <v>4954.8559999999998</v>
      </c>
      <c r="D478" s="28">
        <v>537.024</v>
      </c>
      <c r="E478" s="28">
        <v>1692.4639999999999</v>
      </c>
      <c r="F478" s="28">
        <v>15761.060000000001</v>
      </c>
      <c r="G478" s="28">
        <v>27173.788</v>
      </c>
      <c r="H478" s="28">
        <v>14109.24</v>
      </c>
      <c r="I478" s="19">
        <f>SUM(B478:H478)</f>
        <v>65709.344000000012</v>
      </c>
    </row>
    <row r="479" spans="1:9" ht="19.5" thickBot="1" x14ac:dyDescent="0.35">
      <c r="A479" s="34" t="s">
        <v>7</v>
      </c>
      <c r="B479" s="35">
        <f t="shared" ref="B479:I479" si="65">SUM(B476:B478)</f>
        <v>3515.1240000000003</v>
      </c>
      <c r="C479" s="35">
        <f t="shared" si="65"/>
        <v>5443.0659999999998</v>
      </c>
      <c r="D479" s="35">
        <f t="shared" si="65"/>
        <v>2327.1289999999999</v>
      </c>
      <c r="E479" s="35">
        <f t="shared" si="65"/>
        <v>4947.2029999999995</v>
      </c>
      <c r="F479" s="35">
        <f t="shared" si="65"/>
        <v>20968.646000000001</v>
      </c>
      <c r="G479" s="35">
        <f t="shared" si="65"/>
        <v>37580.813000000002</v>
      </c>
      <c r="H479" s="35">
        <f t="shared" si="65"/>
        <v>18372.944</v>
      </c>
      <c r="I479" s="36">
        <f t="shared" si="65"/>
        <v>93154.925000000017</v>
      </c>
    </row>
    <row r="480" spans="1:9" ht="19.5" thickTop="1" x14ac:dyDescent="0.3"/>
    <row r="482" spans="1:9" x14ac:dyDescent="0.3">
      <c r="A482" s="4" t="s">
        <v>60</v>
      </c>
      <c r="B482" s="5" t="s">
        <v>0</v>
      </c>
      <c r="C482" s="5" t="s">
        <v>1</v>
      </c>
      <c r="D482" s="5" t="s">
        <v>2</v>
      </c>
      <c r="E482" s="6" t="s">
        <v>3</v>
      </c>
      <c r="F482" s="5" t="s">
        <v>4</v>
      </c>
      <c r="G482" s="5" t="s">
        <v>5</v>
      </c>
      <c r="H482" s="5" t="s">
        <v>6</v>
      </c>
      <c r="I482" s="5" t="s">
        <v>7</v>
      </c>
    </row>
    <row r="483" spans="1:9" x14ac:dyDescent="0.3">
      <c r="A483" s="7"/>
      <c r="B483" s="8">
        <v>45439</v>
      </c>
      <c r="C483" s="8">
        <v>45440</v>
      </c>
      <c r="D483" s="8">
        <v>45441</v>
      </c>
      <c r="E483" s="8">
        <v>45442</v>
      </c>
      <c r="F483" s="8">
        <v>45443</v>
      </c>
      <c r="G483" s="8">
        <v>45444</v>
      </c>
      <c r="H483" s="8">
        <v>45445</v>
      </c>
      <c r="I483" s="9"/>
    </row>
    <row r="484" spans="1:9" ht="19.5" thickBot="1" x14ac:dyDescent="0.35">
      <c r="A484" s="10" t="s">
        <v>8</v>
      </c>
      <c r="B484" s="11" t="s">
        <v>9</v>
      </c>
      <c r="C484" s="11" t="s">
        <v>9</v>
      </c>
      <c r="D484" s="11" t="s">
        <v>9</v>
      </c>
      <c r="E484" s="11" t="s">
        <v>9</v>
      </c>
      <c r="F484" s="11" t="s">
        <v>9</v>
      </c>
      <c r="G484" s="11" t="s">
        <v>9</v>
      </c>
      <c r="H484" s="43" t="s">
        <v>9</v>
      </c>
      <c r="I484" s="44" t="s">
        <v>9</v>
      </c>
    </row>
    <row r="485" spans="1:9" x14ac:dyDescent="0.3">
      <c r="A485" s="13" t="s">
        <v>10</v>
      </c>
      <c r="B485" s="14">
        <v>52</v>
      </c>
      <c r="C485" s="14">
        <v>52</v>
      </c>
      <c r="D485" s="14">
        <v>51</v>
      </c>
      <c r="E485" s="14">
        <v>52</v>
      </c>
      <c r="F485" s="14">
        <v>51</v>
      </c>
      <c r="G485" s="14">
        <v>49</v>
      </c>
      <c r="H485" s="14">
        <v>50</v>
      </c>
      <c r="I485" s="16"/>
    </row>
    <row r="486" spans="1:9" x14ac:dyDescent="0.3">
      <c r="A486" s="15" t="s">
        <v>11</v>
      </c>
      <c r="B486" s="16">
        <v>4</v>
      </c>
      <c r="C486" s="16">
        <v>5</v>
      </c>
      <c r="D486" s="16">
        <v>8</v>
      </c>
      <c r="E486" s="16">
        <v>7</v>
      </c>
      <c r="F486" s="16">
        <v>5</v>
      </c>
      <c r="G486" s="16">
        <v>6</v>
      </c>
      <c r="H486" s="16">
        <v>3</v>
      </c>
      <c r="I486" s="16">
        <v>38</v>
      </c>
    </row>
    <row r="487" spans="1:9" x14ac:dyDescent="0.3">
      <c r="A487" s="15" t="s">
        <v>12</v>
      </c>
      <c r="B487" s="16">
        <v>2</v>
      </c>
      <c r="C487" s="16">
        <v>5</v>
      </c>
      <c r="D487" s="16">
        <v>5</v>
      </c>
      <c r="E487" s="16">
        <v>0</v>
      </c>
      <c r="F487" s="16">
        <v>10</v>
      </c>
      <c r="G487" s="16">
        <v>16</v>
      </c>
      <c r="H487" s="16">
        <v>2</v>
      </c>
      <c r="I487" s="16">
        <v>40</v>
      </c>
    </row>
    <row r="488" spans="1:9" x14ac:dyDescent="0.3">
      <c r="A488" s="15" t="s">
        <v>30</v>
      </c>
      <c r="B488" s="16">
        <v>0</v>
      </c>
      <c r="C488" s="16">
        <v>0</v>
      </c>
      <c r="D488" s="16">
        <v>0</v>
      </c>
      <c r="E488" s="16">
        <v>0</v>
      </c>
      <c r="F488" s="16">
        <v>0</v>
      </c>
      <c r="G488" s="16">
        <v>0</v>
      </c>
      <c r="H488" s="16">
        <v>0</v>
      </c>
      <c r="I488" s="16">
        <v>0</v>
      </c>
    </row>
    <row r="489" spans="1:9" x14ac:dyDescent="0.3">
      <c r="A489" s="15" t="s">
        <v>28</v>
      </c>
      <c r="B489" s="16">
        <v>14</v>
      </c>
      <c r="C489" s="16">
        <v>14</v>
      </c>
      <c r="D489" s="16">
        <v>21</v>
      </c>
      <c r="E489" s="16">
        <v>291</v>
      </c>
      <c r="F489" s="16">
        <v>13</v>
      </c>
      <c r="G489" s="16">
        <v>79</v>
      </c>
      <c r="H489" s="16">
        <v>27</v>
      </c>
      <c r="I489" s="16">
        <v>459</v>
      </c>
    </row>
    <row r="490" spans="1:9" x14ac:dyDescent="0.3">
      <c r="A490" s="15" t="s">
        <v>29</v>
      </c>
      <c r="B490" s="16">
        <v>1</v>
      </c>
      <c r="C490" s="16">
        <v>0</v>
      </c>
      <c r="D490" s="16">
        <v>0</v>
      </c>
      <c r="E490" s="16">
        <v>3</v>
      </c>
      <c r="F490" s="16">
        <v>1</v>
      </c>
      <c r="G490" s="16">
        <v>10</v>
      </c>
      <c r="H490" s="16">
        <v>4</v>
      </c>
      <c r="I490" s="16">
        <v>19</v>
      </c>
    </row>
    <row r="491" spans="1:9" x14ac:dyDescent="0.3">
      <c r="A491" s="15" t="s">
        <v>31</v>
      </c>
      <c r="B491" s="16">
        <v>3</v>
      </c>
      <c r="C491" s="16">
        <v>3</v>
      </c>
      <c r="D491" s="16">
        <v>0</v>
      </c>
      <c r="E491" s="16">
        <v>1</v>
      </c>
      <c r="F491" s="16">
        <v>2</v>
      </c>
      <c r="G491" s="16">
        <v>3</v>
      </c>
      <c r="H491" s="16">
        <v>3</v>
      </c>
      <c r="I491" s="16">
        <v>15</v>
      </c>
    </row>
    <row r="492" spans="1:9" x14ac:dyDescent="0.3">
      <c r="A492" s="15" t="s">
        <v>13</v>
      </c>
      <c r="B492" s="16">
        <v>0</v>
      </c>
      <c r="C492" s="16">
        <v>0</v>
      </c>
      <c r="D492" s="16">
        <v>1</v>
      </c>
      <c r="E492" s="16">
        <v>0</v>
      </c>
      <c r="F492" s="16">
        <v>0</v>
      </c>
      <c r="G492" s="16">
        <v>0</v>
      </c>
      <c r="H492" s="16">
        <v>0</v>
      </c>
      <c r="I492" s="16">
        <v>1</v>
      </c>
    </row>
    <row r="493" spans="1:9" x14ac:dyDescent="0.3">
      <c r="A493" s="15" t="s">
        <v>14</v>
      </c>
      <c r="B493" s="16">
        <v>0</v>
      </c>
      <c r="C493" s="16">
        <v>0</v>
      </c>
      <c r="D493" s="16">
        <v>0</v>
      </c>
      <c r="E493" s="16">
        <v>0</v>
      </c>
      <c r="F493" s="16">
        <v>0</v>
      </c>
      <c r="G493" s="16">
        <v>0</v>
      </c>
      <c r="H493" s="16">
        <v>0</v>
      </c>
      <c r="I493" s="16">
        <v>0</v>
      </c>
    </row>
    <row r="494" spans="1:9" x14ac:dyDescent="0.3">
      <c r="A494" s="15" t="s">
        <v>32</v>
      </c>
      <c r="B494" s="16">
        <v>0</v>
      </c>
      <c r="C494" s="16">
        <v>0</v>
      </c>
      <c r="D494" s="16">
        <v>0</v>
      </c>
      <c r="E494" s="16">
        <v>0</v>
      </c>
      <c r="F494" s="16">
        <v>0</v>
      </c>
      <c r="G494" s="16">
        <v>0</v>
      </c>
      <c r="H494" s="16">
        <v>0</v>
      </c>
      <c r="I494" s="16">
        <v>0</v>
      </c>
    </row>
    <row r="495" spans="1:9" x14ac:dyDescent="0.3">
      <c r="A495" s="15" t="s">
        <v>33</v>
      </c>
      <c r="B495" s="16">
        <v>0</v>
      </c>
      <c r="C495" s="16">
        <v>0</v>
      </c>
      <c r="D495" s="16">
        <v>0</v>
      </c>
      <c r="E495" s="16">
        <v>0</v>
      </c>
      <c r="F495" s="16">
        <v>0</v>
      </c>
      <c r="G495" s="16">
        <v>0</v>
      </c>
      <c r="H495" s="16">
        <v>0</v>
      </c>
      <c r="I495" s="16">
        <v>0</v>
      </c>
    </row>
    <row r="496" spans="1:9" ht="19.5" thickBot="1" x14ac:dyDescent="0.35">
      <c r="A496" s="30" t="s">
        <v>15</v>
      </c>
      <c r="B496" s="31">
        <f t="shared" ref="B496:H496" si="66">(B487+B486)/B485*100%</f>
        <v>0.11538461538461539</v>
      </c>
      <c r="C496" s="31">
        <f t="shared" si="66"/>
        <v>0.19230769230769232</v>
      </c>
      <c r="D496" s="31">
        <f t="shared" si="66"/>
        <v>0.25490196078431371</v>
      </c>
      <c r="E496" s="31">
        <f t="shared" si="66"/>
        <v>0.13461538461538461</v>
      </c>
      <c r="F496" s="31">
        <f t="shared" si="66"/>
        <v>0.29411764705882354</v>
      </c>
      <c r="G496" s="31">
        <f t="shared" si="66"/>
        <v>0.44897959183673469</v>
      </c>
      <c r="H496" s="31">
        <f t="shared" si="66"/>
        <v>0.1</v>
      </c>
      <c r="I496" s="32">
        <f>(B496+C496+D496+E496+F496+G496+H496)/7</f>
        <v>0.22004384171250921</v>
      </c>
    </row>
    <row r="497" spans="1:11" x14ac:dyDescent="0.3">
      <c r="A497" s="33" t="s">
        <v>16</v>
      </c>
      <c r="B497" s="16"/>
      <c r="C497" s="17"/>
      <c r="D497" s="16"/>
      <c r="E497" s="18"/>
      <c r="F497" s="16"/>
      <c r="G497" s="16"/>
      <c r="H497" s="16"/>
      <c r="I497" s="16"/>
    </row>
    <row r="498" spans="1:11" x14ac:dyDescent="0.3">
      <c r="A498" s="15" t="s">
        <v>34</v>
      </c>
      <c r="B498" s="28">
        <v>895.05200000000013</v>
      </c>
      <c r="C498" s="28">
        <v>2685.239</v>
      </c>
      <c r="D498" s="28">
        <v>2603.7890000000002</v>
      </c>
      <c r="E498" s="28">
        <v>0</v>
      </c>
      <c r="F498" s="28">
        <v>4922.7839999999997</v>
      </c>
      <c r="G498" s="28">
        <v>8096.1570000000011</v>
      </c>
      <c r="H498" s="28">
        <v>1627.3700000000001</v>
      </c>
      <c r="I498" s="19">
        <f>SUM(B498:H498)</f>
        <v>20830.391</v>
      </c>
    </row>
    <row r="499" spans="1:11" x14ac:dyDescent="0.3">
      <c r="A499" s="15" t="s">
        <v>35</v>
      </c>
      <c r="B499" s="28">
        <v>0</v>
      </c>
      <c r="C499" s="28">
        <v>0</v>
      </c>
      <c r="D499" s="28">
        <v>0</v>
      </c>
      <c r="E499" s="28">
        <v>0</v>
      </c>
      <c r="F499" s="28">
        <v>0</v>
      </c>
      <c r="G499" s="28">
        <v>0</v>
      </c>
      <c r="H499" s="28">
        <v>0</v>
      </c>
      <c r="I499" s="19">
        <f>SUM(B499:H499)</f>
        <v>0</v>
      </c>
    </row>
    <row r="500" spans="1:11" ht="19.5" thickBot="1" x14ac:dyDescent="0.35">
      <c r="A500" s="15" t="s">
        <v>20</v>
      </c>
      <c r="B500" s="28">
        <v>3384.9480000000003</v>
      </c>
      <c r="C500" s="28">
        <v>3303.5519999999997</v>
      </c>
      <c r="D500" s="28">
        <v>4006.5720000000001</v>
      </c>
      <c r="E500" s="28">
        <v>50324.771999999997</v>
      </c>
      <c r="F500" s="28">
        <v>3059.4320000000002</v>
      </c>
      <c r="G500" s="28">
        <v>17477.871999999999</v>
      </c>
      <c r="H500" s="28">
        <v>6379.2560000000003</v>
      </c>
      <c r="I500" s="19">
        <f>SUM(B500:H500)</f>
        <v>87936.403999999995</v>
      </c>
    </row>
    <row r="501" spans="1:11" ht="19.5" thickBot="1" x14ac:dyDescent="0.35">
      <c r="A501" s="34" t="s">
        <v>7</v>
      </c>
      <c r="B501" s="35">
        <f t="shared" ref="B501:I501" si="67">SUM(B498:B500)</f>
        <v>4280</v>
      </c>
      <c r="C501" s="35">
        <f t="shared" si="67"/>
        <v>5988.7909999999993</v>
      </c>
      <c r="D501" s="35">
        <f t="shared" si="67"/>
        <v>6610.3610000000008</v>
      </c>
      <c r="E501" s="35">
        <f t="shared" si="67"/>
        <v>50324.771999999997</v>
      </c>
      <c r="F501" s="35">
        <f t="shared" si="67"/>
        <v>7982.2160000000003</v>
      </c>
      <c r="G501" s="35">
        <f t="shared" si="67"/>
        <v>25574.029000000002</v>
      </c>
      <c r="H501" s="35">
        <f t="shared" si="67"/>
        <v>8006.6260000000002</v>
      </c>
      <c r="I501" s="36">
        <f t="shared" si="67"/>
        <v>108766.795</v>
      </c>
      <c r="K501" s="29">
        <f>E501+D501+C501+B501+I479+I457+I435+I413-B413-C413</f>
        <v>647889.21900000004</v>
      </c>
    </row>
    <row r="502" spans="1:11" ht="19.5" thickTop="1" x14ac:dyDescent="0.3"/>
    <row r="504" spans="1:11" x14ac:dyDescent="0.3">
      <c r="A504" s="4" t="s">
        <v>61</v>
      </c>
      <c r="B504" s="5" t="s">
        <v>0</v>
      </c>
      <c r="C504" s="5" t="s">
        <v>1</v>
      </c>
      <c r="D504" s="5" t="s">
        <v>2</v>
      </c>
      <c r="E504" s="6" t="s">
        <v>3</v>
      </c>
      <c r="F504" s="5" t="s">
        <v>4</v>
      </c>
      <c r="G504" s="5" t="s">
        <v>5</v>
      </c>
      <c r="H504" s="5" t="s">
        <v>6</v>
      </c>
      <c r="I504" s="5" t="s">
        <v>7</v>
      </c>
    </row>
    <row r="505" spans="1:11" x14ac:dyDescent="0.3">
      <c r="A505" s="7"/>
      <c r="B505" s="8">
        <v>45446</v>
      </c>
      <c r="C505" s="8">
        <v>45447</v>
      </c>
      <c r="D505" s="8">
        <v>45448</v>
      </c>
      <c r="E505" s="8">
        <v>45449</v>
      </c>
      <c r="F505" s="8">
        <v>45450</v>
      </c>
      <c r="G505" s="8">
        <v>45451</v>
      </c>
      <c r="H505" s="8">
        <v>45452</v>
      </c>
      <c r="I505" s="9"/>
    </row>
    <row r="506" spans="1:11" ht="19.5" thickBot="1" x14ac:dyDescent="0.35">
      <c r="A506" s="10" t="s">
        <v>8</v>
      </c>
      <c r="B506" s="11" t="s">
        <v>9</v>
      </c>
      <c r="C506" s="11" t="s">
        <v>9</v>
      </c>
      <c r="D506" s="11" t="s">
        <v>9</v>
      </c>
      <c r="E506" s="11" t="s">
        <v>9</v>
      </c>
      <c r="F506" s="11" t="s">
        <v>9</v>
      </c>
      <c r="G506" s="11" t="s">
        <v>9</v>
      </c>
      <c r="H506" s="43" t="s">
        <v>9</v>
      </c>
      <c r="I506" s="44" t="s">
        <v>9</v>
      </c>
    </row>
    <row r="507" spans="1:11" x14ac:dyDescent="0.3">
      <c r="A507" s="13" t="s">
        <v>10</v>
      </c>
      <c r="B507" s="14">
        <v>51</v>
      </c>
      <c r="C507" s="14">
        <v>51</v>
      </c>
      <c r="D507" s="14">
        <v>51</v>
      </c>
      <c r="E507" s="14">
        <v>51</v>
      </c>
      <c r="F507" s="14">
        <v>52</v>
      </c>
      <c r="G507" s="14">
        <f>55-3</f>
        <v>52</v>
      </c>
      <c r="H507" s="14">
        <f>55-3</f>
        <v>52</v>
      </c>
      <c r="I507" s="16"/>
    </row>
    <row r="508" spans="1:11" x14ac:dyDescent="0.3">
      <c r="A508" s="15" t="s">
        <v>11</v>
      </c>
      <c r="B508" s="16">
        <v>3</v>
      </c>
      <c r="C508" s="16">
        <v>3</v>
      </c>
      <c r="D508" s="16">
        <v>3</v>
      </c>
      <c r="E508" s="16">
        <v>3</v>
      </c>
      <c r="F508" s="16">
        <v>3</v>
      </c>
      <c r="G508" s="16">
        <v>3</v>
      </c>
      <c r="H508" s="16">
        <v>4</v>
      </c>
      <c r="I508" s="16">
        <v>38</v>
      </c>
    </row>
    <row r="509" spans="1:11" x14ac:dyDescent="0.3">
      <c r="A509" s="15" t="s">
        <v>12</v>
      </c>
      <c r="B509" s="16">
        <v>4</v>
      </c>
      <c r="C509" s="16">
        <v>8</v>
      </c>
      <c r="D509" s="16">
        <v>4</v>
      </c>
      <c r="E509" s="16">
        <v>2</v>
      </c>
      <c r="F509" s="16">
        <v>5</v>
      </c>
      <c r="G509" s="16">
        <v>7</v>
      </c>
      <c r="H509" s="16">
        <v>0</v>
      </c>
      <c r="I509" s="16">
        <v>40</v>
      </c>
    </row>
    <row r="510" spans="1:11" x14ac:dyDescent="0.3">
      <c r="A510" s="15" t="s">
        <v>30</v>
      </c>
      <c r="B510" s="16">
        <v>0</v>
      </c>
      <c r="C510" s="16">
        <v>0</v>
      </c>
      <c r="D510" s="16">
        <v>0</v>
      </c>
      <c r="E510" s="16">
        <v>0</v>
      </c>
      <c r="F510" s="16">
        <v>0</v>
      </c>
      <c r="G510" s="16">
        <v>0</v>
      </c>
      <c r="H510" s="16">
        <v>0</v>
      </c>
      <c r="I510" s="16">
        <v>0</v>
      </c>
    </row>
    <row r="511" spans="1:11" x14ac:dyDescent="0.3">
      <c r="A511" s="15" t="s">
        <v>28</v>
      </c>
      <c r="B511" s="16">
        <v>12</v>
      </c>
      <c r="C511" s="16">
        <v>22</v>
      </c>
      <c r="D511" s="16">
        <v>11</v>
      </c>
      <c r="E511" s="16">
        <v>10</v>
      </c>
      <c r="F511" s="16">
        <v>62</v>
      </c>
      <c r="G511" s="16">
        <v>104</v>
      </c>
      <c r="H511" s="16">
        <v>22</v>
      </c>
      <c r="I511" s="16">
        <v>459</v>
      </c>
    </row>
    <row r="512" spans="1:11" x14ac:dyDescent="0.3">
      <c r="A512" s="15" t="s">
        <v>29</v>
      </c>
      <c r="B512" s="16">
        <v>1</v>
      </c>
      <c r="C512" s="16">
        <v>0</v>
      </c>
      <c r="D512" s="16">
        <v>2</v>
      </c>
      <c r="E512" s="16">
        <v>0</v>
      </c>
      <c r="F512" s="16">
        <v>68</v>
      </c>
      <c r="G512" s="16">
        <v>13</v>
      </c>
      <c r="H512" s="16">
        <v>13</v>
      </c>
      <c r="I512" s="16">
        <v>19</v>
      </c>
    </row>
    <row r="513" spans="1:9" x14ac:dyDescent="0.3">
      <c r="A513" s="15" t="s">
        <v>31</v>
      </c>
      <c r="B513" s="16">
        <v>2</v>
      </c>
      <c r="C513" s="16">
        <v>0</v>
      </c>
      <c r="D513" s="16">
        <v>0</v>
      </c>
      <c r="E513" s="16">
        <v>8</v>
      </c>
      <c r="F513" s="16">
        <v>18</v>
      </c>
      <c r="G513" s="16">
        <v>5</v>
      </c>
      <c r="H513" s="16">
        <v>4</v>
      </c>
      <c r="I513" s="16">
        <v>15</v>
      </c>
    </row>
    <row r="514" spans="1:9" x14ac:dyDescent="0.3">
      <c r="A514" s="15" t="s">
        <v>13</v>
      </c>
      <c r="B514" s="16">
        <v>0</v>
      </c>
      <c r="C514" s="16">
        <v>0</v>
      </c>
      <c r="D514" s="16">
        <v>1</v>
      </c>
      <c r="E514" s="16">
        <v>0</v>
      </c>
      <c r="F514" s="16">
        <v>0</v>
      </c>
      <c r="G514" s="16">
        <v>0</v>
      </c>
      <c r="H514" s="16">
        <v>0</v>
      </c>
      <c r="I514" s="16">
        <v>1</v>
      </c>
    </row>
    <row r="515" spans="1:9" x14ac:dyDescent="0.3">
      <c r="A515" s="15" t="s">
        <v>14</v>
      </c>
      <c r="B515" s="16">
        <v>0</v>
      </c>
      <c r="C515" s="16">
        <v>0</v>
      </c>
      <c r="D515" s="16">
        <v>0</v>
      </c>
      <c r="E515" s="16">
        <v>0</v>
      </c>
      <c r="F515" s="16">
        <v>0</v>
      </c>
      <c r="G515" s="16">
        <v>0</v>
      </c>
      <c r="H515" s="16">
        <v>0</v>
      </c>
      <c r="I515" s="16">
        <v>0</v>
      </c>
    </row>
    <row r="516" spans="1:9" x14ac:dyDescent="0.3">
      <c r="A516" s="15" t="s">
        <v>32</v>
      </c>
      <c r="B516" s="16">
        <v>0</v>
      </c>
      <c r="C516" s="16">
        <v>0</v>
      </c>
      <c r="D516" s="16">
        <v>2</v>
      </c>
      <c r="E516" s="16">
        <v>0</v>
      </c>
      <c r="F516" s="16">
        <v>9</v>
      </c>
      <c r="G516" s="16">
        <v>0</v>
      </c>
      <c r="H516" s="16">
        <v>0</v>
      </c>
      <c r="I516" s="16">
        <v>0</v>
      </c>
    </row>
    <row r="517" spans="1:9" x14ac:dyDescent="0.3">
      <c r="A517" s="15" t="s">
        <v>33</v>
      </c>
      <c r="B517" s="16">
        <v>0</v>
      </c>
      <c r="C517" s="16">
        <v>0</v>
      </c>
      <c r="D517" s="16">
        <v>0</v>
      </c>
      <c r="E517" s="16">
        <v>0</v>
      </c>
      <c r="F517" s="16">
        <v>0</v>
      </c>
      <c r="G517" s="16">
        <v>0</v>
      </c>
      <c r="H517" s="16">
        <v>0</v>
      </c>
      <c r="I517" s="16">
        <v>0</v>
      </c>
    </row>
    <row r="518" spans="1:9" ht="19.5" thickBot="1" x14ac:dyDescent="0.35">
      <c r="A518" s="30" t="s">
        <v>15</v>
      </c>
      <c r="B518" s="31">
        <f t="shared" ref="B518:H518" si="68">(B509+B508)/B507*100%</f>
        <v>0.13725490196078433</v>
      </c>
      <c r="C518" s="31">
        <f t="shared" si="68"/>
        <v>0.21568627450980393</v>
      </c>
      <c r="D518" s="31">
        <f t="shared" si="68"/>
        <v>0.13725490196078433</v>
      </c>
      <c r="E518" s="31">
        <f t="shared" si="68"/>
        <v>9.8039215686274508E-2</v>
      </c>
      <c r="F518" s="31">
        <f t="shared" si="68"/>
        <v>0.15384615384615385</v>
      </c>
      <c r="G518" s="31">
        <f t="shared" si="68"/>
        <v>0.19230769230769232</v>
      </c>
      <c r="H518" s="31">
        <f t="shared" si="68"/>
        <v>7.6923076923076927E-2</v>
      </c>
      <c r="I518" s="32">
        <f>(B518+C518+D518+E518+F518+G518+H518)/7</f>
        <v>0.14447317388493858</v>
      </c>
    </row>
    <row r="519" spans="1:9" x14ac:dyDescent="0.3">
      <c r="A519" s="33" t="s">
        <v>16</v>
      </c>
      <c r="B519" s="16"/>
      <c r="C519" s="17"/>
      <c r="D519" s="16"/>
      <c r="E519" s="18"/>
      <c r="F519" s="16"/>
      <c r="G519" s="16"/>
      <c r="H519" s="16"/>
      <c r="I519" s="16"/>
    </row>
    <row r="520" spans="1:9" x14ac:dyDescent="0.3">
      <c r="A520" s="15" t="s">
        <v>34</v>
      </c>
      <c r="B520" s="28">
        <v>0</v>
      </c>
      <c r="C520" s="28">
        <v>0</v>
      </c>
      <c r="D520" s="28">
        <v>968.21600000000001</v>
      </c>
      <c r="E520" s="28">
        <v>1627.3700000000001</v>
      </c>
      <c r="F520" s="28">
        <v>4068.4250000000002</v>
      </c>
      <c r="G520" s="28">
        <v>4475.2660000000005</v>
      </c>
      <c r="H520" s="28">
        <v>0</v>
      </c>
      <c r="I520" s="19">
        <f>SUM(B520:H520)</f>
        <v>11139.277000000002</v>
      </c>
    </row>
    <row r="521" spans="1:9" x14ac:dyDescent="0.3">
      <c r="A521" s="15" t="s">
        <v>35</v>
      </c>
      <c r="B521" s="28">
        <v>1600.0280000000002</v>
      </c>
      <c r="C521" s="28">
        <v>4000.0660000000007</v>
      </c>
      <c r="D521" s="28">
        <v>0</v>
      </c>
      <c r="E521" s="28">
        <v>0</v>
      </c>
      <c r="F521" s="28">
        <v>0</v>
      </c>
      <c r="G521" s="28">
        <v>0</v>
      </c>
      <c r="H521" s="28">
        <v>0</v>
      </c>
      <c r="I521" s="19">
        <f>SUM(B521:H521)</f>
        <v>5600.094000000001</v>
      </c>
    </row>
    <row r="522" spans="1:9" ht="19.5" thickBot="1" x14ac:dyDescent="0.35">
      <c r="A522" s="15" t="s">
        <v>20</v>
      </c>
      <c r="B522" s="28">
        <v>2847.884</v>
      </c>
      <c r="C522" s="28">
        <v>4654.2640000000001</v>
      </c>
      <c r="D522" s="28">
        <v>2864.152</v>
      </c>
      <c r="E522" s="28">
        <v>3026.8919999999998</v>
      </c>
      <c r="F522" s="28">
        <v>19556.092000000001</v>
      </c>
      <c r="G522" s="28">
        <v>22421.86</v>
      </c>
      <c r="H522" s="28">
        <v>6167.692</v>
      </c>
      <c r="I522" s="19">
        <f>SUM(B522:H522)</f>
        <v>61538.836000000003</v>
      </c>
    </row>
    <row r="523" spans="1:9" ht="19.5" thickBot="1" x14ac:dyDescent="0.35">
      <c r="A523" s="34" t="s">
        <v>7</v>
      </c>
      <c r="B523" s="35">
        <f t="shared" ref="B523:I523" si="69">SUM(B520:B522)</f>
        <v>4447.9120000000003</v>
      </c>
      <c r="C523" s="35">
        <f t="shared" si="69"/>
        <v>8654.3300000000017</v>
      </c>
      <c r="D523" s="35">
        <f t="shared" si="69"/>
        <v>3832.3679999999999</v>
      </c>
      <c r="E523" s="35">
        <f t="shared" si="69"/>
        <v>4654.2619999999997</v>
      </c>
      <c r="F523" s="35">
        <f t="shared" si="69"/>
        <v>23624.517</v>
      </c>
      <c r="G523" s="35">
        <f t="shared" si="69"/>
        <v>26897.126</v>
      </c>
      <c r="H523" s="35">
        <f t="shared" si="69"/>
        <v>6167.692</v>
      </c>
      <c r="I523" s="36">
        <f t="shared" si="69"/>
        <v>78278.207000000009</v>
      </c>
    </row>
    <row r="524" spans="1:9" ht="19.5" thickTop="1" x14ac:dyDescent="0.3"/>
    <row r="526" spans="1:9" x14ac:dyDescent="0.3">
      <c r="A526" s="4" t="s">
        <v>62</v>
      </c>
      <c r="B526" s="5" t="s">
        <v>0</v>
      </c>
      <c r="C526" s="5" t="s">
        <v>1</v>
      </c>
      <c r="D526" s="5" t="s">
        <v>2</v>
      </c>
      <c r="E526" s="6" t="s">
        <v>3</v>
      </c>
      <c r="F526" s="5" t="s">
        <v>4</v>
      </c>
      <c r="G526" s="5" t="s">
        <v>5</v>
      </c>
      <c r="H526" s="5" t="s">
        <v>6</v>
      </c>
      <c r="I526" s="5" t="s">
        <v>7</v>
      </c>
    </row>
    <row r="527" spans="1:9" x14ac:dyDescent="0.3">
      <c r="A527" s="7"/>
      <c r="B527" s="8">
        <v>45453</v>
      </c>
      <c r="C527" s="8">
        <v>45454</v>
      </c>
      <c r="D527" s="8">
        <v>45455</v>
      </c>
      <c r="E527" s="8">
        <v>45456</v>
      </c>
      <c r="F527" s="8">
        <v>45457</v>
      </c>
      <c r="G527" s="8">
        <v>45458</v>
      </c>
      <c r="H527" s="8">
        <v>45459</v>
      </c>
      <c r="I527" s="9"/>
    </row>
    <row r="528" spans="1:9" ht="19.5" thickBot="1" x14ac:dyDescent="0.35">
      <c r="A528" s="10" t="s">
        <v>8</v>
      </c>
      <c r="B528" s="11" t="s">
        <v>9</v>
      </c>
      <c r="C528" s="11" t="s">
        <v>9</v>
      </c>
      <c r="D528" s="11" t="s">
        <v>9</v>
      </c>
      <c r="E528" s="11" t="s">
        <v>9</v>
      </c>
      <c r="F528" s="11" t="s">
        <v>9</v>
      </c>
      <c r="G528" s="11" t="s">
        <v>9</v>
      </c>
      <c r="H528" s="43" t="s">
        <v>9</v>
      </c>
      <c r="I528" s="44" t="s">
        <v>9</v>
      </c>
    </row>
    <row r="529" spans="1:9" x14ac:dyDescent="0.3">
      <c r="A529" s="13" t="s">
        <v>10</v>
      </c>
      <c r="B529" s="14">
        <f>55-4</f>
        <v>51</v>
      </c>
      <c r="C529" s="14">
        <f>55-4</f>
        <v>51</v>
      </c>
      <c r="D529" s="14">
        <f>55-4</f>
        <v>51</v>
      </c>
      <c r="E529" s="14">
        <f>55-5</f>
        <v>50</v>
      </c>
      <c r="F529" s="14">
        <f>55-1</f>
        <v>54</v>
      </c>
      <c r="G529" s="14">
        <f>55-1</f>
        <v>54</v>
      </c>
      <c r="H529" s="14">
        <f>55-1</f>
        <v>54</v>
      </c>
      <c r="I529" s="16"/>
    </row>
    <row r="530" spans="1:9" x14ac:dyDescent="0.3">
      <c r="A530" s="15" t="s">
        <v>11</v>
      </c>
      <c r="B530" s="16">
        <v>3</v>
      </c>
      <c r="C530" s="16">
        <v>3</v>
      </c>
      <c r="D530" s="16">
        <v>3</v>
      </c>
      <c r="E530" s="16">
        <v>3</v>
      </c>
      <c r="F530" s="16">
        <v>3</v>
      </c>
      <c r="G530" s="16">
        <v>6</v>
      </c>
      <c r="H530" s="16">
        <v>6</v>
      </c>
      <c r="I530" s="16">
        <v>38</v>
      </c>
    </row>
    <row r="531" spans="1:9" x14ac:dyDescent="0.3">
      <c r="A531" s="15" t="s">
        <v>12</v>
      </c>
      <c r="B531" s="16">
        <v>15</v>
      </c>
      <c r="C531" s="16">
        <v>17</v>
      </c>
      <c r="D531" s="16">
        <v>16</v>
      </c>
      <c r="E531" s="16">
        <v>35</v>
      </c>
      <c r="F531" s="16">
        <v>51</v>
      </c>
      <c r="G531" s="16">
        <v>27</v>
      </c>
      <c r="H531" s="16">
        <v>13</v>
      </c>
      <c r="I531" s="16">
        <v>40</v>
      </c>
    </row>
    <row r="532" spans="1:9" x14ac:dyDescent="0.3">
      <c r="A532" s="15" t="s">
        <v>30</v>
      </c>
      <c r="B532" s="16">
        <v>0</v>
      </c>
      <c r="C532" s="16">
        <v>0</v>
      </c>
      <c r="D532" s="16">
        <v>0</v>
      </c>
      <c r="E532" s="16">
        <v>0</v>
      </c>
      <c r="F532" s="16">
        <v>0</v>
      </c>
      <c r="G532" s="16">
        <v>0</v>
      </c>
      <c r="H532" s="16">
        <v>0</v>
      </c>
      <c r="I532" s="16">
        <v>0</v>
      </c>
    </row>
    <row r="533" spans="1:9" x14ac:dyDescent="0.3">
      <c r="A533" s="15" t="s">
        <v>28</v>
      </c>
      <c r="B533" s="16">
        <v>13</v>
      </c>
      <c r="C533" s="16">
        <v>13</v>
      </c>
      <c r="D533" s="16">
        <v>10</v>
      </c>
      <c r="E533" s="16">
        <v>14</v>
      </c>
      <c r="F533" s="16">
        <v>55</v>
      </c>
      <c r="G533" s="16">
        <v>78</v>
      </c>
      <c r="H533" s="16">
        <v>110</v>
      </c>
      <c r="I533" s="16">
        <v>459</v>
      </c>
    </row>
    <row r="534" spans="1:9" x14ac:dyDescent="0.3">
      <c r="A534" s="15" t="s">
        <v>29</v>
      </c>
      <c r="B534" s="16">
        <v>0</v>
      </c>
      <c r="C534" s="16">
        <v>0</v>
      </c>
      <c r="D534" s="16">
        <v>0</v>
      </c>
      <c r="E534" s="16">
        <v>26</v>
      </c>
      <c r="F534" s="16">
        <v>60</v>
      </c>
      <c r="G534" s="16">
        <v>17</v>
      </c>
      <c r="H534" s="16">
        <v>15</v>
      </c>
      <c r="I534" s="16">
        <v>19</v>
      </c>
    </row>
    <row r="535" spans="1:9" x14ac:dyDescent="0.3">
      <c r="A535" s="15" t="s">
        <v>31</v>
      </c>
      <c r="B535" s="16">
        <v>1</v>
      </c>
      <c r="C535" s="16">
        <v>1</v>
      </c>
      <c r="D535" s="16">
        <v>9</v>
      </c>
      <c r="E535" s="16">
        <v>19</v>
      </c>
      <c r="F535" s="16">
        <v>128</v>
      </c>
      <c r="G535" s="16">
        <v>9</v>
      </c>
      <c r="H535" s="16">
        <v>10</v>
      </c>
      <c r="I535" s="16">
        <v>15</v>
      </c>
    </row>
    <row r="536" spans="1:9" x14ac:dyDescent="0.3">
      <c r="A536" s="15" t="s">
        <v>13</v>
      </c>
      <c r="B536" s="16">
        <v>0</v>
      </c>
      <c r="C536" s="16">
        <v>0</v>
      </c>
      <c r="D536" s="16">
        <v>0</v>
      </c>
      <c r="E536" s="16">
        <v>0</v>
      </c>
      <c r="F536" s="16">
        <v>0</v>
      </c>
      <c r="G536" s="16">
        <v>1</v>
      </c>
      <c r="H536" s="16">
        <v>1</v>
      </c>
      <c r="I536" s="16">
        <v>1</v>
      </c>
    </row>
    <row r="537" spans="1:9" x14ac:dyDescent="0.3">
      <c r="A537" s="15" t="s">
        <v>14</v>
      </c>
      <c r="B537" s="16">
        <v>0</v>
      </c>
      <c r="C537" s="16">
        <v>0</v>
      </c>
      <c r="D537" s="16">
        <v>0</v>
      </c>
      <c r="E537" s="16">
        <v>0</v>
      </c>
      <c r="F537" s="16">
        <v>0</v>
      </c>
      <c r="G537" s="16">
        <v>0</v>
      </c>
      <c r="H537" s="16">
        <v>0</v>
      </c>
      <c r="I537" s="16">
        <v>0</v>
      </c>
    </row>
    <row r="538" spans="1:9" x14ac:dyDescent="0.3">
      <c r="A538" s="15" t="s">
        <v>32</v>
      </c>
      <c r="B538" s="16">
        <v>0</v>
      </c>
      <c r="C538" s="16">
        <v>0</v>
      </c>
      <c r="D538" s="16">
        <v>0</v>
      </c>
      <c r="E538" s="16">
        <v>0</v>
      </c>
      <c r="F538" s="16">
        <v>0</v>
      </c>
      <c r="G538" s="16">
        <v>0</v>
      </c>
      <c r="H538" s="16">
        <v>0</v>
      </c>
      <c r="I538" s="16">
        <v>0</v>
      </c>
    </row>
    <row r="539" spans="1:9" x14ac:dyDescent="0.3">
      <c r="A539" s="15" t="s">
        <v>33</v>
      </c>
      <c r="B539" s="16">
        <v>0</v>
      </c>
      <c r="C539" s="16">
        <v>0</v>
      </c>
      <c r="D539" s="16">
        <v>0</v>
      </c>
      <c r="E539" s="16">
        <v>0</v>
      </c>
      <c r="F539" s="16">
        <v>0</v>
      </c>
      <c r="G539" s="16">
        <v>0</v>
      </c>
      <c r="H539" s="16">
        <v>0</v>
      </c>
      <c r="I539" s="16">
        <v>0</v>
      </c>
    </row>
    <row r="540" spans="1:9" ht="19.5" thickBot="1" x14ac:dyDescent="0.35">
      <c r="A540" s="30" t="s">
        <v>15</v>
      </c>
      <c r="B540" s="31">
        <f t="shared" ref="B540:H540" si="70">(B531+B530)/B529*100%</f>
        <v>0.35294117647058826</v>
      </c>
      <c r="C540" s="31">
        <f t="shared" si="70"/>
        <v>0.39215686274509803</v>
      </c>
      <c r="D540" s="31">
        <f t="shared" si="70"/>
        <v>0.37254901960784315</v>
      </c>
      <c r="E540" s="31">
        <f t="shared" si="70"/>
        <v>0.76</v>
      </c>
      <c r="F540" s="31">
        <f>(F531+F530)/F529*100%</f>
        <v>1</v>
      </c>
      <c r="G540" s="31">
        <f t="shared" si="70"/>
        <v>0.61111111111111116</v>
      </c>
      <c r="H540" s="31">
        <f t="shared" si="70"/>
        <v>0.35185185185185186</v>
      </c>
      <c r="I540" s="32">
        <f>(B540+C540+D540+E540+F540+G540+H540)/7</f>
        <v>0.54865857454092748</v>
      </c>
    </row>
    <row r="541" spans="1:9" x14ac:dyDescent="0.3">
      <c r="A541" s="33" t="s">
        <v>16</v>
      </c>
      <c r="B541" s="16"/>
      <c r="C541" s="17"/>
      <c r="D541" s="16"/>
      <c r="E541" s="18"/>
      <c r="F541" s="16"/>
      <c r="G541" s="16"/>
      <c r="H541" s="16"/>
      <c r="I541" s="16"/>
    </row>
    <row r="542" spans="1:9" x14ac:dyDescent="0.3">
      <c r="A542" s="15" t="s">
        <v>34</v>
      </c>
      <c r="B542" s="28">
        <v>0</v>
      </c>
      <c r="C542" s="28">
        <v>0</v>
      </c>
      <c r="D542" s="28">
        <v>618.40200000000004</v>
      </c>
      <c r="E542" s="28">
        <v>618.40200000000004</v>
      </c>
      <c r="F542" s="28">
        <v>1432.0870000000002</v>
      </c>
      <c r="G542" s="28">
        <v>6970.523000000001</v>
      </c>
      <c r="H542" s="28">
        <v>5961.5420000000004</v>
      </c>
      <c r="I542" s="19">
        <f>SUM(B542:H542)</f>
        <v>15600.956000000002</v>
      </c>
    </row>
    <row r="543" spans="1:9" x14ac:dyDescent="0.3">
      <c r="A543" s="15" t="s">
        <v>35</v>
      </c>
      <c r="B543" s="28">
        <v>4500.09</v>
      </c>
      <c r="C543" s="28">
        <v>6063.9949999999999</v>
      </c>
      <c r="D543" s="28">
        <v>4500.0899999999992</v>
      </c>
      <c r="E543" s="28">
        <v>15439.687</v>
      </c>
      <c r="F543" s="28">
        <v>21721.317999999999</v>
      </c>
      <c r="G543" s="28">
        <v>6721.0259999999998</v>
      </c>
      <c r="H543" s="28">
        <v>0</v>
      </c>
      <c r="I543" s="19">
        <f>SUM(B543:H543)</f>
        <v>58946.205999999998</v>
      </c>
    </row>
    <row r="544" spans="1:9" ht="19.5" thickBot="1" x14ac:dyDescent="0.35">
      <c r="A544" s="15" t="s">
        <v>20</v>
      </c>
      <c r="B544" s="28">
        <v>2864.1680000000001</v>
      </c>
      <c r="C544" s="28">
        <v>2864.1440000000002</v>
      </c>
      <c r="D544" s="28">
        <v>4458.9960000000001</v>
      </c>
      <c r="E544" s="28">
        <v>6607.1240000000007</v>
      </c>
      <c r="F544" s="28">
        <v>23303.932000000001</v>
      </c>
      <c r="G544" s="28">
        <v>18760.236000000001</v>
      </c>
      <c r="H544" s="28">
        <v>25517.067999999999</v>
      </c>
      <c r="I544" s="19">
        <f>SUM(B544:H544)</f>
        <v>84375.668000000005</v>
      </c>
    </row>
    <row r="545" spans="1:9" ht="19.5" thickBot="1" x14ac:dyDescent="0.35">
      <c r="A545" s="34" t="s">
        <v>7</v>
      </c>
      <c r="B545" s="35">
        <f t="shared" ref="B545:I545" si="71">SUM(B542:B544)</f>
        <v>7364.2579999999998</v>
      </c>
      <c r="C545" s="35">
        <f t="shared" si="71"/>
        <v>8928.1389999999992</v>
      </c>
      <c r="D545" s="35">
        <f t="shared" si="71"/>
        <v>9577.4879999999994</v>
      </c>
      <c r="E545" s="35">
        <f t="shared" si="71"/>
        <v>22665.213</v>
      </c>
      <c r="F545" s="35">
        <f t="shared" si="71"/>
        <v>46457.337</v>
      </c>
      <c r="G545" s="35">
        <f t="shared" si="71"/>
        <v>32451.785000000003</v>
      </c>
      <c r="H545" s="35">
        <f t="shared" si="71"/>
        <v>31478.61</v>
      </c>
      <c r="I545" s="36">
        <f t="shared" si="71"/>
        <v>158922.83000000002</v>
      </c>
    </row>
    <row r="546" spans="1:9" ht="19.5" thickTop="1" x14ac:dyDescent="0.3"/>
    <row r="548" spans="1:9" x14ac:dyDescent="0.3">
      <c r="A548" s="4" t="s">
        <v>66</v>
      </c>
      <c r="B548" s="5" t="s">
        <v>0</v>
      </c>
      <c r="C548" s="5" t="s">
        <v>1</v>
      </c>
      <c r="D548" s="5" t="s">
        <v>2</v>
      </c>
      <c r="E548" s="6" t="s">
        <v>3</v>
      </c>
      <c r="F548" s="5" t="s">
        <v>4</v>
      </c>
      <c r="G548" s="5" t="s">
        <v>5</v>
      </c>
      <c r="H548" s="5" t="s">
        <v>6</v>
      </c>
      <c r="I548" s="5" t="s">
        <v>7</v>
      </c>
    </row>
    <row r="549" spans="1:9" x14ac:dyDescent="0.3">
      <c r="A549" s="7"/>
      <c r="B549" s="8">
        <v>45460</v>
      </c>
      <c r="C549" s="8">
        <v>45461</v>
      </c>
      <c r="D549" s="8">
        <v>45462</v>
      </c>
      <c r="E549" s="8">
        <v>45463</v>
      </c>
      <c r="F549" s="8">
        <v>45464</v>
      </c>
      <c r="G549" s="8">
        <v>45465</v>
      </c>
      <c r="H549" s="8">
        <v>45466</v>
      </c>
      <c r="I549" s="9"/>
    </row>
    <row r="550" spans="1:9" ht="19.5" thickBot="1" x14ac:dyDescent="0.35">
      <c r="A550" s="10" t="s">
        <v>8</v>
      </c>
      <c r="B550" s="11" t="s">
        <v>9</v>
      </c>
      <c r="C550" s="11" t="s">
        <v>9</v>
      </c>
      <c r="D550" s="11" t="s">
        <v>9</v>
      </c>
      <c r="E550" s="11" t="s">
        <v>9</v>
      </c>
      <c r="F550" s="11" t="s">
        <v>9</v>
      </c>
      <c r="G550" s="11" t="s">
        <v>9</v>
      </c>
      <c r="H550" s="43" t="s">
        <v>9</v>
      </c>
      <c r="I550" s="44" t="s">
        <v>9</v>
      </c>
    </row>
    <row r="551" spans="1:9" x14ac:dyDescent="0.3">
      <c r="A551" s="13" t="s">
        <v>10</v>
      </c>
      <c r="B551" s="14">
        <f>55-1</f>
        <v>54</v>
      </c>
      <c r="C551" s="14">
        <f>55-4</f>
        <v>51</v>
      </c>
      <c r="D551" s="14">
        <f>55-4</f>
        <v>51</v>
      </c>
      <c r="E551" s="14">
        <f>55-5</f>
        <v>50</v>
      </c>
      <c r="F551" s="14">
        <f>55-5</f>
        <v>50</v>
      </c>
      <c r="G551" s="14">
        <f>55-3</f>
        <v>52</v>
      </c>
      <c r="H551" s="14">
        <f>55-3</f>
        <v>52</v>
      </c>
      <c r="I551" s="16"/>
    </row>
    <row r="552" spans="1:9" x14ac:dyDescent="0.3">
      <c r="A552" s="15" t="s">
        <v>11</v>
      </c>
      <c r="B552" s="16">
        <v>1</v>
      </c>
      <c r="C552" s="16">
        <v>1</v>
      </c>
      <c r="D552" s="16">
        <v>1</v>
      </c>
      <c r="E552" s="16">
        <v>1</v>
      </c>
      <c r="F552" s="16">
        <v>4</v>
      </c>
      <c r="G552" s="16">
        <v>4</v>
      </c>
      <c r="H552" s="16">
        <v>4</v>
      </c>
      <c r="I552" s="16">
        <v>38</v>
      </c>
    </row>
    <row r="553" spans="1:9" x14ac:dyDescent="0.3">
      <c r="A553" s="15" t="s">
        <v>12</v>
      </c>
      <c r="B553" s="16">
        <v>8</v>
      </c>
      <c r="C553" s="16">
        <v>27</v>
      </c>
      <c r="D553" s="16">
        <v>32</v>
      </c>
      <c r="E553" s="16">
        <v>32</v>
      </c>
      <c r="F553" s="16">
        <v>9</v>
      </c>
      <c r="G553" s="16">
        <v>14</v>
      </c>
      <c r="H553" s="16">
        <v>6</v>
      </c>
      <c r="I553" s="16">
        <v>40</v>
      </c>
    </row>
    <row r="554" spans="1:9" x14ac:dyDescent="0.3">
      <c r="A554" s="15" t="s">
        <v>30</v>
      </c>
      <c r="B554" s="16">
        <v>0</v>
      </c>
      <c r="C554" s="16">
        <v>0</v>
      </c>
      <c r="D554" s="16">
        <v>0</v>
      </c>
      <c r="E554" s="16">
        <v>0</v>
      </c>
      <c r="F554" s="16">
        <v>0</v>
      </c>
      <c r="G554" s="16">
        <v>0</v>
      </c>
      <c r="H554" s="16">
        <v>0</v>
      </c>
      <c r="I554" s="16">
        <v>0</v>
      </c>
    </row>
    <row r="555" spans="1:9" x14ac:dyDescent="0.3">
      <c r="A555" s="15" t="s">
        <v>28</v>
      </c>
      <c r="B555" s="16">
        <v>61</v>
      </c>
      <c r="C555" s="16">
        <v>18</v>
      </c>
      <c r="D555" s="16">
        <v>23</v>
      </c>
      <c r="E555" s="16">
        <v>51</v>
      </c>
      <c r="F555" s="16">
        <v>173</v>
      </c>
      <c r="G555" s="16">
        <v>84</v>
      </c>
      <c r="H555" s="16">
        <v>39</v>
      </c>
      <c r="I555" s="16">
        <v>459</v>
      </c>
    </row>
    <row r="556" spans="1:9" x14ac:dyDescent="0.3">
      <c r="A556" s="15" t="s">
        <v>29</v>
      </c>
      <c r="B556" s="16">
        <v>17</v>
      </c>
      <c r="C556" s="16">
        <v>2</v>
      </c>
      <c r="D556" s="16">
        <v>6</v>
      </c>
      <c r="E556" s="16">
        <v>4</v>
      </c>
      <c r="F556" s="16">
        <v>155</v>
      </c>
      <c r="G556" s="16">
        <v>30</v>
      </c>
      <c r="H556" s="16">
        <v>5</v>
      </c>
      <c r="I556" s="16">
        <v>19</v>
      </c>
    </row>
    <row r="557" spans="1:9" x14ac:dyDescent="0.3">
      <c r="A557" s="15" t="s">
        <v>31</v>
      </c>
      <c r="B557" s="16">
        <v>9</v>
      </c>
      <c r="C557" s="16">
        <v>0</v>
      </c>
      <c r="D557" s="16">
        <v>1</v>
      </c>
      <c r="E557" s="16">
        <v>4</v>
      </c>
      <c r="F557" s="16">
        <v>101</v>
      </c>
      <c r="G557" s="16">
        <v>17</v>
      </c>
      <c r="H557" s="16">
        <v>2</v>
      </c>
      <c r="I557" s="16">
        <v>15</v>
      </c>
    </row>
    <row r="558" spans="1:9" x14ac:dyDescent="0.3">
      <c r="A558" s="15" t="s">
        <v>13</v>
      </c>
      <c r="B558" s="16">
        <v>0</v>
      </c>
      <c r="C558" s="16">
        <v>0</v>
      </c>
      <c r="D558" s="16">
        <v>0</v>
      </c>
      <c r="E558" s="16">
        <v>0</v>
      </c>
      <c r="F558" s="16">
        <v>9</v>
      </c>
      <c r="G558" s="16">
        <v>1</v>
      </c>
      <c r="H558" s="16">
        <v>0</v>
      </c>
      <c r="I558" s="16">
        <v>1</v>
      </c>
    </row>
    <row r="559" spans="1:9" x14ac:dyDescent="0.3">
      <c r="A559" s="15" t="s">
        <v>14</v>
      </c>
      <c r="B559" s="16">
        <v>0</v>
      </c>
      <c r="C559" s="16">
        <v>0</v>
      </c>
      <c r="D559" s="16">
        <v>0</v>
      </c>
      <c r="E559" s="16">
        <v>0</v>
      </c>
      <c r="F559" s="16">
        <v>0</v>
      </c>
      <c r="G559" s="16">
        <v>0</v>
      </c>
      <c r="H559" s="16">
        <v>0</v>
      </c>
      <c r="I559" s="16">
        <v>0</v>
      </c>
    </row>
    <row r="560" spans="1:9" x14ac:dyDescent="0.3">
      <c r="A560" s="15" t="s">
        <v>32</v>
      </c>
      <c r="B560" s="16">
        <v>0</v>
      </c>
      <c r="C560" s="16">
        <v>0</v>
      </c>
      <c r="D560" s="16">
        <v>0</v>
      </c>
      <c r="E560" s="16">
        <v>0</v>
      </c>
      <c r="F560" s="16">
        <v>0</v>
      </c>
      <c r="G560" s="16">
        <v>0</v>
      </c>
      <c r="H560" s="16">
        <v>0</v>
      </c>
      <c r="I560" s="16">
        <v>0</v>
      </c>
    </row>
    <row r="561" spans="1:9" x14ac:dyDescent="0.3">
      <c r="A561" s="15" t="s">
        <v>33</v>
      </c>
      <c r="B561" s="16">
        <v>0</v>
      </c>
      <c r="C561" s="16">
        <v>0</v>
      </c>
      <c r="D561" s="16">
        <v>0</v>
      </c>
      <c r="E561" s="16">
        <v>0</v>
      </c>
      <c r="F561" s="16">
        <v>0</v>
      </c>
      <c r="G561" s="16">
        <v>0</v>
      </c>
      <c r="H561" s="16">
        <v>0</v>
      </c>
      <c r="I561" s="16">
        <v>0</v>
      </c>
    </row>
    <row r="562" spans="1:9" ht="19.5" thickBot="1" x14ac:dyDescent="0.35">
      <c r="A562" s="30" t="s">
        <v>15</v>
      </c>
      <c r="B562" s="31">
        <f t="shared" ref="B562:E562" si="72">(B553+B552)/B551*100%</f>
        <v>0.16666666666666666</v>
      </c>
      <c r="C562" s="31">
        <f t="shared" si="72"/>
        <v>0.5490196078431373</v>
      </c>
      <c r="D562" s="31">
        <f t="shared" si="72"/>
        <v>0.6470588235294118</v>
      </c>
      <c r="E562" s="31">
        <f t="shared" si="72"/>
        <v>0.66</v>
      </c>
      <c r="F562" s="31">
        <f>(F553+F552)/F551*100%</f>
        <v>0.26</v>
      </c>
      <c r="G562" s="31">
        <f t="shared" ref="G562:H562" si="73">(G553+G552)/G551*100%</f>
        <v>0.34615384615384615</v>
      </c>
      <c r="H562" s="31">
        <f t="shared" si="73"/>
        <v>0.19230769230769232</v>
      </c>
      <c r="I562" s="32">
        <f>(B562+C562+D562+E562+F562+G562+H562)/7</f>
        <v>0.40302951950010785</v>
      </c>
    </row>
    <row r="563" spans="1:9" x14ac:dyDescent="0.3">
      <c r="A563" s="33" t="s">
        <v>16</v>
      </c>
      <c r="B563" s="16"/>
      <c r="C563" s="17"/>
      <c r="D563" s="16"/>
      <c r="E563" s="18"/>
      <c r="F563" s="16"/>
      <c r="G563" s="16"/>
      <c r="H563" s="16"/>
      <c r="I563" s="16"/>
    </row>
    <row r="564" spans="1:9" x14ac:dyDescent="0.3">
      <c r="A564" s="15" t="s">
        <v>34</v>
      </c>
      <c r="B564" s="28">
        <v>3288.259</v>
      </c>
      <c r="C564" s="28">
        <v>3288.259</v>
      </c>
      <c r="D564" s="28">
        <v>5200.0910000000003</v>
      </c>
      <c r="E564" s="28">
        <v>5200.0910000000003</v>
      </c>
      <c r="F564" s="28">
        <v>6997.69</v>
      </c>
      <c r="G564" s="28">
        <v>9259.7300000000014</v>
      </c>
      <c r="H564" s="28">
        <v>4198.6130000000003</v>
      </c>
      <c r="I564" s="19">
        <f>SUM(B564:H564)</f>
        <v>37432.733</v>
      </c>
    </row>
    <row r="565" spans="1:9" x14ac:dyDescent="0.3">
      <c r="A565" s="15" t="s">
        <v>35</v>
      </c>
      <c r="B565" s="28">
        <v>0</v>
      </c>
      <c r="C565" s="28">
        <v>6500.1280000000006</v>
      </c>
      <c r="D565" s="28">
        <v>6500.1280000000006</v>
      </c>
      <c r="E565" s="28">
        <v>6500.1280000000006</v>
      </c>
      <c r="F565" s="28">
        <v>484.71899999999999</v>
      </c>
      <c r="G565" s="28">
        <v>0</v>
      </c>
      <c r="H565" s="28">
        <v>0</v>
      </c>
      <c r="I565" s="19">
        <f>SUM(B565:H565)</f>
        <v>19985.103000000003</v>
      </c>
    </row>
    <row r="566" spans="1:9" ht="19.5" thickBot="1" x14ac:dyDescent="0.35">
      <c r="A566" s="15" t="s">
        <v>20</v>
      </c>
      <c r="B566" s="28">
        <v>15313.476000000002</v>
      </c>
      <c r="C566" s="28">
        <v>3970.7720000000004</v>
      </c>
      <c r="D566" s="28">
        <v>5467.9520000000002</v>
      </c>
      <c r="E566" s="28">
        <v>11570.584000000001</v>
      </c>
      <c r="F566" s="28">
        <v>53782.916000000005</v>
      </c>
      <c r="G566" s="28">
        <v>20840.032000000003</v>
      </c>
      <c r="H566" s="28">
        <v>8885.3880000000008</v>
      </c>
      <c r="I566" s="19">
        <f>SUM(B566:H566)</f>
        <v>119831.12000000002</v>
      </c>
    </row>
    <row r="567" spans="1:9" ht="19.5" thickBot="1" x14ac:dyDescent="0.35">
      <c r="A567" s="34" t="s">
        <v>7</v>
      </c>
      <c r="B567" s="35">
        <f t="shared" ref="B567:I567" si="74">SUM(B564:B566)</f>
        <v>18601.735000000001</v>
      </c>
      <c r="C567" s="35">
        <f t="shared" si="74"/>
        <v>13759.159000000001</v>
      </c>
      <c r="D567" s="35">
        <f t="shared" si="74"/>
        <v>17168.171000000002</v>
      </c>
      <c r="E567" s="35">
        <f t="shared" si="74"/>
        <v>23270.803</v>
      </c>
      <c r="F567" s="35">
        <f t="shared" si="74"/>
        <v>61265.325000000004</v>
      </c>
      <c r="G567" s="35">
        <f t="shared" si="74"/>
        <v>30099.762000000002</v>
      </c>
      <c r="H567" s="35">
        <f t="shared" si="74"/>
        <v>13084.001</v>
      </c>
      <c r="I567" s="36">
        <f t="shared" si="74"/>
        <v>177248.95600000003</v>
      </c>
    </row>
    <row r="568" spans="1:9" ht="19.5" thickTop="1" x14ac:dyDescent="0.3"/>
    <row r="570" spans="1:9" x14ac:dyDescent="0.3">
      <c r="A570" s="4" t="s">
        <v>67</v>
      </c>
      <c r="B570" s="5" t="s">
        <v>0</v>
      </c>
      <c r="C570" s="5" t="s">
        <v>1</v>
      </c>
      <c r="D570" s="5" t="s">
        <v>2</v>
      </c>
      <c r="E570" s="6" t="s">
        <v>3</v>
      </c>
      <c r="F570" s="5" t="s">
        <v>4</v>
      </c>
      <c r="G570" s="5" t="s">
        <v>5</v>
      </c>
      <c r="H570" s="5" t="s">
        <v>6</v>
      </c>
      <c r="I570" s="5" t="s">
        <v>7</v>
      </c>
    </row>
    <row r="571" spans="1:9" x14ac:dyDescent="0.3">
      <c r="A571" s="7"/>
      <c r="B571" s="8">
        <v>45467</v>
      </c>
      <c r="C571" s="8">
        <v>45468</v>
      </c>
      <c r="D571" s="8">
        <v>45469</v>
      </c>
      <c r="E571" s="8">
        <v>45470</v>
      </c>
      <c r="F571" s="8">
        <v>45471</v>
      </c>
      <c r="G571" s="8">
        <v>45472</v>
      </c>
      <c r="H571" s="8">
        <v>45473</v>
      </c>
      <c r="I571" s="9"/>
    </row>
    <row r="572" spans="1:9" ht="19.5" thickBot="1" x14ac:dyDescent="0.35">
      <c r="A572" s="10" t="s">
        <v>8</v>
      </c>
      <c r="B572" s="11" t="s">
        <v>9</v>
      </c>
      <c r="C572" s="11" t="s">
        <v>9</v>
      </c>
      <c r="D572" s="11" t="s">
        <v>9</v>
      </c>
      <c r="E572" s="11" t="s">
        <v>9</v>
      </c>
      <c r="F572" s="11" t="s">
        <v>9</v>
      </c>
      <c r="G572" s="11" t="s">
        <v>9</v>
      </c>
      <c r="H572" s="43" t="s">
        <v>9</v>
      </c>
      <c r="I572" s="44" t="s">
        <v>9</v>
      </c>
    </row>
    <row r="573" spans="1:9" x14ac:dyDescent="0.3">
      <c r="A573" s="13" t="s">
        <v>10</v>
      </c>
      <c r="B573" s="14">
        <f>55-3</f>
        <v>52</v>
      </c>
      <c r="C573" s="14">
        <f>55-3</f>
        <v>52</v>
      </c>
      <c r="D573" s="14">
        <f>55-3</f>
        <v>52</v>
      </c>
      <c r="E573" s="14">
        <f>55-5</f>
        <v>50</v>
      </c>
      <c r="F573" s="14">
        <f>55-5</f>
        <v>50</v>
      </c>
      <c r="G573" s="14">
        <f>55-7</f>
        <v>48</v>
      </c>
      <c r="H573" s="14">
        <f>55-5</f>
        <v>50</v>
      </c>
      <c r="I573" s="16"/>
    </row>
    <row r="574" spans="1:9" x14ac:dyDescent="0.3">
      <c r="A574" s="15" t="s">
        <v>11</v>
      </c>
      <c r="B574" s="16">
        <v>4</v>
      </c>
      <c r="C574" s="16">
        <v>2</v>
      </c>
      <c r="D574" s="16">
        <v>1</v>
      </c>
      <c r="E574" s="16">
        <v>0</v>
      </c>
      <c r="F574" s="16">
        <v>1</v>
      </c>
      <c r="G574" s="16">
        <v>1</v>
      </c>
      <c r="H574" s="16">
        <v>0</v>
      </c>
      <c r="I574" s="16">
        <f>SUM(B574:H574)</f>
        <v>9</v>
      </c>
    </row>
    <row r="575" spans="1:9" x14ac:dyDescent="0.3">
      <c r="A575" s="15" t="s">
        <v>12</v>
      </c>
      <c r="B575" s="16">
        <v>10</v>
      </c>
      <c r="C575" s="16">
        <v>12</v>
      </c>
      <c r="D575" s="16">
        <v>7</v>
      </c>
      <c r="E575" s="16">
        <v>3</v>
      </c>
      <c r="F575" s="16">
        <v>6</v>
      </c>
      <c r="G575" s="16">
        <v>17</v>
      </c>
      <c r="H575" s="16">
        <v>7</v>
      </c>
      <c r="I575" s="16">
        <f t="shared" ref="I575:I583" si="75">SUM(B575:H575)</f>
        <v>62</v>
      </c>
    </row>
    <row r="576" spans="1:9" x14ac:dyDescent="0.3">
      <c r="A576" s="15" t="s">
        <v>30</v>
      </c>
      <c r="B576" s="16">
        <v>0</v>
      </c>
      <c r="C576" s="16">
        <v>0</v>
      </c>
      <c r="D576" s="16">
        <v>0</v>
      </c>
      <c r="E576" s="16">
        <v>0</v>
      </c>
      <c r="F576" s="16">
        <v>0</v>
      </c>
      <c r="G576" s="16">
        <v>0</v>
      </c>
      <c r="H576" s="16">
        <v>0</v>
      </c>
      <c r="I576" s="16">
        <f t="shared" si="75"/>
        <v>0</v>
      </c>
    </row>
    <row r="577" spans="1:11" x14ac:dyDescent="0.3">
      <c r="A577" s="15" t="s">
        <v>28</v>
      </c>
      <c r="B577" s="16">
        <v>18</v>
      </c>
      <c r="C577" s="16">
        <v>5</v>
      </c>
      <c r="D577" s="16">
        <v>21</v>
      </c>
      <c r="E577" s="16">
        <v>80</v>
      </c>
      <c r="F577" s="16">
        <v>53</v>
      </c>
      <c r="G577" s="16">
        <v>186</v>
      </c>
      <c r="H577" s="16">
        <v>87</v>
      </c>
      <c r="I577" s="16">
        <f t="shared" si="75"/>
        <v>450</v>
      </c>
    </row>
    <row r="578" spans="1:11" x14ac:dyDescent="0.3">
      <c r="A578" s="15" t="s">
        <v>29</v>
      </c>
      <c r="B578" s="16">
        <v>7</v>
      </c>
      <c r="C578" s="16">
        <v>0</v>
      </c>
      <c r="D578" s="16">
        <v>0</v>
      </c>
      <c r="E578" s="16">
        <v>2</v>
      </c>
      <c r="F578" s="16">
        <v>3</v>
      </c>
      <c r="G578" s="16">
        <v>18</v>
      </c>
      <c r="H578" s="16">
        <v>3</v>
      </c>
      <c r="I578" s="16">
        <f t="shared" si="75"/>
        <v>33</v>
      </c>
    </row>
    <row r="579" spans="1:11" x14ac:dyDescent="0.3">
      <c r="A579" s="15" t="s">
        <v>31</v>
      </c>
      <c r="B579" s="16">
        <v>3</v>
      </c>
      <c r="C579" s="16">
        <v>0</v>
      </c>
      <c r="D579" s="16">
        <v>3</v>
      </c>
      <c r="E579" s="16">
        <v>2</v>
      </c>
      <c r="F579" s="16">
        <v>2</v>
      </c>
      <c r="G579" s="16">
        <v>2</v>
      </c>
      <c r="H579" s="16">
        <v>1</v>
      </c>
      <c r="I579" s="16">
        <f t="shared" si="75"/>
        <v>13</v>
      </c>
    </row>
    <row r="580" spans="1:11" x14ac:dyDescent="0.3">
      <c r="A580" s="15" t="s">
        <v>13</v>
      </c>
      <c r="B580" s="16">
        <v>0</v>
      </c>
      <c r="C580" s="16">
        <v>0</v>
      </c>
      <c r="D580" s="16">
        <v>0</v>
      </c>
      <c r="E580" s="16">
        <v>0</v>
      </c>
      <c r="F580" s="16">
        <v>0</v>
      </c>
      <c r="G580" s="16">
        <v>6</v>
      </c>
      <c r="H580" s="16">
        <v>0</v>
      </c>
      <c r="I580" s="16">
        <f t="shared" si="75"/>
        <v>6</v>
      </c>
    </row>
    <row r="581" spans="1:11" x14ac:dyDescent="0.3">
      <c r="A581" s="15" t="s">
        <v>14</v>
      </c>
      <c r="B581" s="16">
        <v>0</v>
      </c>
      <c r="C581" s="16">
        <v>0</v>
      </c>
      <c r="D581" s="16">
        <v>0</v>
      </c>
      <c r="E581" s="16">
        <v>0</v>
      </c>
      <c r="F581" s="16">
        <v>0</v>
      </c>
      <c r="G581" s="16">
        <v>0</v>
      </c>
      <c r="H581" s="16">
        <v>0</v>
      </c>
      <c r="I581" s="16">
        <f t="shared" si="75"/>
        <v>0</v>
      </c>
    </row>
    <row r="582" spans="1:11" x14ac:dyDescent="0.3">
      <c r="A582" s="15" t="s">
        <v>32</v>
      </c>
      <c r="B582" s="16">
        <v>0</v>
      </c>
      <c r="C582" s="16">
        <v>0</v>
      </c>
      <c r="D582" s="16">
        <v>0</v>
      </c>
      <c r="E582" s="16">
        <v>0</v>
      </c>
      <c r="F582" s="16">
        <v>0</v>
      </c>
      <c r="G582" s="16">
        <v>0</v>
      </c>
      <c r="H582" s="16">
        <v>0</v>
      </c>
      <c r="I582" s="16">
        <f t="shared" si="75"/>
        <v>0</v>
      </c>
    </row>
    <row r="583" spans="1:11" x14ac:dyDescent="0.3">
      <c r="A583" s="15" t="s">
        <v>33</v>
      </c>
      <c r="B583" s="16">
        <v>0</v>
      </c>
      <c r="C583" s="16">
        <v>0</v>
      </c>
      <c r="D583" s="16">
        <v>0</v>
      </c>
      <c r="E583" s="16">
        <v>0</v>
      </c>
      <c r="F583" s="16">
        <v>0</v>
      </c>
      <c r="G583" s="16">
        <v>0</v>
      </c>
      <c r="H583" s="16">
        <v>0</v>
      </c>
      <c r="I583" s="16">
        <f t="shared" si="75"/>
        <v>0</v>
      </c>
    </row>
    <row r="584" spans="1:11" ht="19.5" thickBot="1" x14ac:dyDescent="0.35">
      <c r="A584" s="30" t="s">
        <v>15</v>
      </c>
      <c r="B584" s="31">
        <f t="shared" ref="B584:E584" si="76">(B575+B574)/B573*100%</f>
        <v>0.26923076923076922</v>
      </c>
      <c r="C584" s="31">
        <f t="shared" si="76"/>
        <v>0.26923076923076922</v>
      </c>
      <c r="D584" s="31">
        <f t="shared" si="76"/>
        <v>0.15384615384615385</v>
      </c>
      <c r="E584" s="31">
        <f t="shared" si="76"/>
        <v>0.06</v>
      </c>
      <c r="F584" s="31">
        <f>(F575+F574)/F573*100%</f>
        <v>0.14000000000000001</v>
      </c>
      <c r="G584" s="31">
        <f t="shared" ref="G584:H584" si="77">(G575+G574)/G573*100%</f>
        <v>0.375</v>
      </c>
      <c r="H584" s="31">
        <f t="shared" si="77"/>
        <v>0.14000000000000001</v>
      </c>
      <c r="I584" s="32">
        <f>(B584+C584+D584+E584+F584+G584+H584)/7</f>
        <v>0.20104395604395606</v>
      </c>
    </row>
    <row r="585" spans="1:11" x14ac:dyDescent="0.3">
      <c r="A585" s="33" t="s">
        <v>16</v>
      </c>
      <c r="B585" s="16"/>
      <c r="C585" s="17"/>
      <c r="D585" s="16"/>
      <c r="E585" s="18"/>
      <c r="F585" s="16"/>
      <c r="G585" s="16"/>
      <c r="H585" s="16"/>
      <c r="I585" s="16"/>
    </row>
    <row r="586" spans="1:11" x14ac:dyDescent="0.3">
      <c r="A586" s="15" t="s">
        <v>34</v>
      </c>
      <c r="B586" s="28">
        <v>9947.2950000000001</v>
      </c>
      <c r="C586" s="28">
        <v>11151.547</v>
      </c>
      <c r="D586" s="28">
        <v>4800.7410000000009</v>
      </c>
      <c r="E586" s="28">
        <v>2115.58</v>
      </c>
      <c r="F586" s="28">
        <v>4556.6350000000002</v>
      </c>
      <c r="G586" s="28">
        <v>14963.661</v>
      </c>
      <c r="H586" s="28">
        <v>4838.0060000000003</v>
      </c>
      <c r="I586" s="19">
        <f>SUM(B586:H586)</f>
        <v>52373.465000000004</v>
      </c>
      <c r="K586" s="29">
        <f t="shared" ref="K586:K588" si="78">I586+I564+I542+I520+H498+G498</f>
        <v>126269.95800000001</v>
      </c>
    </row>
    <row r="587" spans="1:11" x14ac:dyDescent="0.3">
      <c r="A587" s="15" t="s">
        <v>35</v>
      </c>
      <c r="B587" s="28">
        <v>0</v>
      </c>
      <c r="C587" s="28">
        <v>0</v>
      </c>
      <c r="D587" s="28">
        <v>0</v>
      </c>
      <c r="E587" s="28">
        <v>0</v>
      </c>
      <c r="F587" s="28">
        <v>0</v>
      </c>
      <c r="G587" s="28">
        <v>0</v>
      </c>
      <c r="H587" s="28">
        <v>0</v>
      </c>
      <c r="I587" s="19">
        <f>SUM(B587:H587)</f>
        <v>0</v>
      </c>
      <c r="K587" s="29">
        <f t="shared" si="78"/>
        <v>84531.403000000006</v>
      </c>
    </row>
    <row r="588" spans="1:11" ht="19.5" thickBot="1" x14ac:dyDescent="0.35">
      <c r="A588" s="15" t="s">
        <v>20</v>
      </c>
      <c r="B588" s="28">
        <v>4719.32</v>
      </c>
      <c r="C588" s="28">
        <v>1057.7840000000001</v>
      </c>
      <c r="D588" s="28">
        <v>4784.4480000000003</v>
      </c>
      <c r="E588" s="28">
        <v>12514.452000000001</v>
      </c>
      <c r="F588" s="28">
        <v>11684.516000000001</v>
      </c>
      <c r="G588" s="28">
        <v>34308.112000000001</v>
      </c>
      <c r="H588" s="28">
        <v>17071.092000000001</v>
      </c>
      <c r="I588" s="19">
        <f>SUM(B588:H588)</f>
        <v>86139.724000000017</v>
      </c>
      <c r="K588" s="29">
        <f t="shared" si="78"/>
        <v>375742.47600000002</v>
      </c>
    </row>
    <row r="589" spans="1:11" ht="19.5" thickBot="1" x14ac:dyDescent="0.35">
      <c r="A589" s="34" t="s">
        <v>7</v>
      </c>
      <c r="B589" s="35">
        <f t="shared" ref="B589:I589" si="79">SUM(B586:B588)</f>
        <v>14666.615</v>
      </c>
      <c r="C589" s="35">
        <f t="shared" si="79"/>
        <v>12209.331</v>
      </c>
      <c r="D589" s="35">
        <f t="shared" si="79"/>
        <v>9585.1890000000021</v>
      </c>
      <c r="E589" s="35">
        <f t="shared" si="79"/>
        <v>14630.032000000001</v>
      </c>
      <c r="F589" s="35">
        <f t="shared" si="79"/>
        <v>16241.151000000002</v>
      </c>
      <c r="G589" s="35">
        <f t="shared" si="79"/>
        <v>49271.773000000001</v>
      </c>
      <c r="H589" s="35">
        <f t="shared" si="79"/>
        <v>21909.098000000002</v>
      </c>
      <c r="I589" s="36">
        <f t="shared" si="79"/>
        <v>138513.18900000001</v>
      </c>
      <c r="K589" s="29">
        <f>I589+I567+I545+I523+H501+G501</f>
        <v>586543.83700000006</v>
      </c>
    </row>
    <row r="590" spans="1:11" ht="19.5" thickTop="1" x14ac:dyDescent="0.3"/>
    <row r="592" spans="1:11" x14ac:dyDescent="0.3">
      <c r="A592" s="4" t="s">
        <v>68</v>
      </c>
      <c r="B592" s="5" t="s">
        <v>0</v>
      </c>
      <c r="C592" s="5" t="s">
        <v>1</v>
      </c>
      <c r="D592" s="5" t="s">
        <v>2</v>
      </c>
      <c r="E592" s="6" t="s">
        <v>3</v>
      </c>
      <c r="F592" s="5" t="s">
        <v>4</v>
      </c>
      <c r="G592" s="5" t="s">
        <v>5</v>
      </c>
      <c r="H592" s="5" t="s">
        <v>6</v>
      </c>
      <c r="I592" s="5" t="s">
        <v>7</v>
      </c>
    </row>
    <row r="593" spans="1:10" x14ac:dyDescent="0.3">
      <c r="A593" s="7"/>
      <c r="B593" s="8">
        <v>45474</v>
      </c>
      <c r="C593" s="8">
        <v>45475</v>
      </c>
      <c r="D593" s="8">
        <v>45476</v>
      </c>
      <c r="E593" s="8">
        <v>45477</v>
      </c>
      <c r="F593" s="8">
        <v>45478</v>
      </c>
      <c r="G593" s="8">
        <v>45479</v>
      </c>
      <c r="H593" s="8">
        <v>45480</v>
      </c>
      <c r="I593" s="9"/>
      <c r="J593" s="29">
        <f>K588+'SAFARI VALLEY RESORT'!K748</f>
        <v>940556.17799999996</v>
      </c>
    </row>
    <row r="594" spans="1:10" ht="19.5" thickBot="1" x14ac:dyDescent="0.35">
      <c r="A594" s="10" t="s">
        <v>8</v>
      </c>
      <c r="B594" s="11" t="s">
        <v>9</v>
      </c>
      <c r="C594" s="11" t="s">
        <v>9</v>
      </c>
      <c r="D594" s="11" t="s">
        <v>9</v>
      </c>
      <c r="E594" s="11" t="s">
        <v>9</v>
      </c>
      <c r="F594" s="11" t="s">
        <v>9</v>
      </c>
      <c r="G594" s="11" t="s">
        <v>9</v>
      </c>
      <c r="H594" s="43" t="s">
        <v>9</v>
      </c>
      <c r="I594" s="44" t="s">
        <v>9</v>
      </c>
      <c r="J594" s="29">
        <f>K589+'SAFARI VALLEY RESORT'!K747</f>
        <v>3195151.4750000006</v>
      </c>
    </row>
    <row r="595" spans="1:10" x14ac:dyDescent="0.3">
      <c r="A595" s="13" t="s">
        <v>10</v>
      </c>
      <c r="B595" s="14">
        <f>55-5</f>
        <v>50</v>
      </c>
      <c r="C595" s="14">
        <v>52</v>
      </c>
      <c r="D595" s="14">
        <v>52</v>
      </c>
      <c r="E595" s="14">
        <f>55-5</f>
        <v>50</v>
      </c>
      <c r="F595" s="14">
        <f>55-5</f>
        <v>50</v>
      </c>
      <c r="G595" s="14">
        <f>55-5</f>
        <v>50</v>
      </c>
      <c r="H595" s="14">
        <f>55-6</f>
        <v>49</v>
      </c>
      <c r="I595" s="16"/>
    </row>
    <row r="596" spans="1:10" x14ac:dyDescent="0.3">
      <c r="A596" s="15" t="s">
        <v>11</v>
      </c>
      <c r="B596" s="16">
        <v>1</v>
      </c>
      <c r="C596" s="16">
        <v>1</v>
      </c>
      <c r="D596" s="16">
        <v>1</v>
      </c>
      <c r="E596" s="16">
        <v>0</v>
      </c>
      <c r="F596" s="16">
        <v>0</v>
      </c>
      <c r="G596" s="16">
        <v>0</v>
      </c>
      <c r="H596" s="16">
        <v>0</v>
      </c>
      <c r="I596" s="16">
        <f>SUM(B596:H596)</f>
        <v>3</v>
      </c>
    </row>
    <row r="597" spans="1:10" x14ac:dyDescent="0.3">
      <c r="A597" s="15" t="s">
        <v>12</v>
      </c>
      <c r="B597" s="16">
        <v>4</v>
      </c>
      <c r="C597" s="16">
        <v>9</v>
      </c>
      <c r="D597" s="16">
        <v>10</v>
      </c>
      <c r="E597" s="16">
        <v>5</v>
      </c>
      <c r="F597" s="16">
        <v>7</v>
      </c>
      <c r="G597" s="16">
        <v>11</v>
      </c>
      <c r="H597" s="16">
        <v>5</v>
      </c>
      <c r="I597" s="16">
        <f t="shared" ref="I597:I605" si="80">SUM(B597:H597)</f>
        <v>51</v>
      </c>
    </row>
    <row r="598" spans="1:10" x14ac:dyDescent="0.3">
      <c r="A598" s="15" t="s">
        <v>30</v>
      </c>
      <c r="B598" s="16">
        <v>0</v>
      </c>
      <c r="C598" s="16">
        <v>0</v>
      </c>
      <c r="D598" s="16">
        <v>0</v>
      </c>
      <c r="E598" s="16">
        <v>0</v>
      </c>
      <c r="F598" s="16">
        <v>0</v>
      </c>
      <c r="G598" s="16">
        <v>0</v>
      </c>
      <c r="H598" s="16">
        <v>0</v>
      </c>
      <c r="I598" s="16">
        <f t="shared" si="80"/>
        <v>0</v>
      </c>
    </row>
    <row r="599" spans="1:10" x14ac:dyDescent="0.3">
      <c r="A599" s="15" t="s">
        <v>28</v>
      </c>
      <c r="B599" s="16">
        <v>24</v>
      </c>
      <c r="C599" s="16">
        <v>10</v>
      </c>
      <c r="D599" s="16">
        <v>10</v>
      </c>
      <c r="E599" s="16">
        <v>23</v>
      </c>
      <c r="F599" s="16">
        <v>32</v>
      </c>
      <c r="G599" s="16">
        <v>259</v>
      </c>
      <c r="H599" s="16">
        <v>60</v>
      </c>
      <c r="I599" s="16">
        <f t="shared" si="80"/>
        <v>418</v>
      </c>
    </row>
    <row r="600" spans="1:10" x14ac:dyDescent="0.3">
      <c r="A600" s="15" t="s">
        <v>29</v>
      </c>
      <c r="B600" s="16">
        <v>10</v>
      </c>
      <c r="C600" s="16">
        <v>2</v>
      </c>
      <c r="D600" s="16">
        <v>4</v>
      </c>
      <c r="E600" s="16">
        <v>4</v>
      </c>
      <c r="F600" s="16">
        <v>4</v>
      </c>
      <c r="G600" s="16">
        <v>24</v>
      </c>
      <c r="H600" s="16">
        <v>8</v>
      </c>
      <c r="I600" s="16">
        <f t="shared" si="80"/>
        <v>56</v>
      </c>
    </row>
    <row r="601" spans="1:10" x14ac:dyDescent="0.3">
      <c r="A601" s="15" t="s">
        <v>31</v>
      </c>
      <c r="B601" s="16">
        <v>7</v>
      </c>
      <c r="C601" s="16">
        <v>0</v>
      </c>
      <c r="D601" s="16">
        <v>0</v>
      </c>
      <c r="E601" s="16">
        <v>6</v>
      </c>
      <c r="F601" s="16">
        <v>5</v>
      </c>
      <c r="G601" s="16">
        <v>5</v>
      </c>
      <c r="H601" s="16">
        <v>3</v>
      </c>
      <c r="I601" s="16">
        <f t="shared" si="80"/>
        <v>26</v>
      </c>
    </row>
    <row r="602" spans="1:10" x14ac:dyDescent="0.3">
      <c r="A602" s="15" t="s">
        <v>13</v>
      </c>
      <c r="B602" s="16">
        <v>0</v>
      </c>
      <c r="C602" s="16">
        <v>0</v>
      </c>
      <c r="D602" s="16">
        <v>0</v>
      </c>
      <c r="E602" s="16">
        <v>0</v>
      </c>
      <c r="F602" s="16">
        <v>0</v>
      </c>
      <c r="G602" s="16">
        <v>1</v>
      </c>
      <c r="H602" s="16">
        <v>6</v>
      </c>
      <c r="I602" s="16">
        <f t="shared" si="80"/>
        <v>7</v>
      </c>
    </row>
    <row r="603" spans="1:10" x14ac:dyDescent="0.3">
      <c r="A603" s="15" t="s">
        <v>14</v>
      </c>
      <c r="B603" s="16">
        <v>0</v>
      </c>
      <c r="C603" s="16">
        <v>0</v>
      </c>
      <c r="D603" s="16">
        <v>0</v>
      </c>
      <c r="E603" s="16">
        <v>0</v>
      </c>
      <c r="F603" s="16">
        <v>0</v>
      </c>
      <c r="G603" s="16">
        <v>0</v>
      </c>
      <c r="H603" s="16">
        <v>0</v>
      </c>
      <c r="I603" s="16">
        <f t="shared" si="80"/>
        <v>0</v>
      </c>
    </row>
    <row r="604" spans="1:10" x14ac:dyDescent="0.3">
      <c r="A604" s="15" t="s">
        <v>32</v>
      </c>
      <c r="B604" s="16">
        <v>2</v>
      </c>
      <c r="C604" s="16">
        <v>0</v>
      </c>
      <c r="D604" s="16">
        <v>0</v>
      </c>
      <c r="E604" s="16">
        <v>0</v>
      </c>
      <c r="F604" s="16">
        <v>0</v>
      </c>
      <c r="G604" s="16">
        <v>0</v>
      </c>
      <c r="H604" s="16">
        <v>0</v>
      </c>
      <c r="I604" s="16">
        <f t="shared" si="80"/>
        <v>2</v>
      </c>
    </row>
    <row r="605" spans="1:10" x14ac:dyDescent="0.3">
      <c r="A605" s="15" t="s">
        <v>33</v>
      </c>
      <c r="B605" s="16">
        <v>0</v>
      </c>
      <c r="C605" s="16">
        <v>0</v>
      </c>
      <c r="D605" s="16">
        <v>0</v>
      </c>
      <c r="E605" s="16">
        <v>0</v>
      </c>
      <c r="F605" s="16">
        <v>0</v>
      </c>
      <c r="G605" s="16">
        <v>0</v>
      </c>
      <c r="H605" s="16">
        <v>0</v>
      </c>
      <c r="I605" s="16">
        <f t="shared" si="80"/>
        <v>0</v>
      </c>
    </row>
    <row r="606" spans="1:10" ht="19.5" thickBot="1" x14ac:dyDescent="0.35">
      <c r="A606" s="30" t="s">
        <v>15</v>
      </c>
      <c r="B606" s="31">
        <f t="shared" ref="B606:E606" si="81">(B597+B596)/B595*100%</f>
        <v>0.1</v>
      </c>
      <c r="C606" s="31">
        <f t="shared" si="81"/>
        <v>0.19230769230769232</v>
      </c>
      <c r="D606" s="31">
        <f t="shared" si="81"/>
        <v>0.21153846153846154</v>
      </c>
      <c r="E606" s="31">
        <f t="shared" si="81"/>
        <v>0.1</v>
      </c>
      <c r="F606" s="31">
        <f>(F597+F596)/F595*100%</f>
        <v>0.14000000000000001</v>
      </c>
      <c r="G606" s="31">
        <f t="shared" ref="G606:H606" si="82">(G597+G596)/G595*100%</f>
        <v>0.22</v>
      </c>
      <c r="H606" s="31">
        <f t="shared" si="82"/>
        <v>0.10204081632653061</v>
      </c>
      <c r="I606" s="32">
        <f>(B606+C606+D606+E606+F606+G606+H606)/7</f>
        <v>0.15226956716752632</v>
      </c>
    </row>
    <row r="607" spans="1:10" x14ac:dyDescent="0.3">
      <c r="A607" s="33" t="s">
        <v>16</v>
      </c>
      <c r="B607" s="16"/>
      <c r="C607" s="17"/>
      <c r="D607" s="16"/>
      <c r="E607" s="18"/>
      <c r="F607" s="16"/>
      <c r="G607" s="16"/>
      <c r="H607" s="16"/>
      <c r="I607" s="16"/>
    </row>
    <row r="608" spans="1:10" x14ac:dyDescent="0.3">
      <c r="A608" s="15" t="s">
        <v>34</v>
      </c>
      <c r="B608" s="28">
        <v>2522.4259999999999</v>
      </c>
      <c r="C608" s="28">
        <v>3498.846</v>
      </c>
      <c r="D608" s="28">
        <v>4271.848</v>
      </c>
      <c r="E608" s="28">
        <v>3295.4279999999999</v>
      </c>
      <c r="F608" s="28">
        <v>4678.6870000000008</v>
      </c>
      <c r="G608" s="28">
        <v>5465.1910000000007</v>
      </c>
      <c r="H608" s="28">
        <v>3580.2170000000001</v>
      </c>
      <c r="I608" s="19">
        <f>SUM(B608:H608)</f>
        <v>27312.643</v>
      </c>
    </row>
    <row r="609" spans="1:9" x14ac:dyDescent="0.3">
      <c r="A609" s="15" t="s">
        <v>35</v>
      </c>
      <c r="B609" s="28">
        <v>0</v>
      </c>
      <c r="C609" s="28">
        <v>1530.0260000000001</v>
      </c>
      <c r="D609" s="28">
        <v>1530.0260000000001</v>
      </c>
      <c r="E609" s="28">
        <v>0</v>
      </c>
      <c r="F609" s="28">
        <v>0</v>
      </c>
      <c r="G609" s="28">
        <v>0</v>
      </c>
      <c r="H609" s="28">
        <v>0</v>
      </c>
      <c r="I609" s="19">
        <f>SUM(B609:H609)</f>
        <v>3060.0520000000001</v>
      </c>
    </row>
    <row r="610" spans="1:9" ht="19.5" thickBot="1" x14ac:dyDescent="0.35">
      <c r="A610" s="15" t="s">
        <v>20</v>
      </c>
      <c r="B610" s="28">
        <v>6916.2759999999998</v>
      </c>
      <c r="C610" s="28">
        <v>2278.3080000000004</v>
      </c>
      <c r="D610" s="28">
        <v>2441.0480000000002</v>
      </c>
      <c r="E610" s="28">
        <v>5435.380000000001</v>
      </c>
      <c r="F610" s="28">
        <v>7664.880000000001</v>
      </c>
      <c r="G610" s="28">
        <v>52270.996000000006</v>
      </c>
      <c r="H610" s="28">
        <v>14369.596</v>
      </c>
      <c r="I610" s="19">
        <f>SUM(B610:H610)</f>
        <v>91376.484000000011</v>
      </c>
    </row>
    <row r="611" spans="1:9" ht="19.5" thickBot="1" x14ac:dyDescent="0.35">
      <c r="A611" s="34" t="s">
        <v>7</v>
      </c>
      <c r="B611" s="35">
        <f t="shared" ref="B611:I611" si="83">SUM(B608:B610)</f>
        <v>9438.7019999999993</v>
      </c>
      <c r="C611" s="35">
        <f t="shared" si="83"/>
        <v>7307.18</v>
      </c>
      <c r="D611" s="35">
        <f t="shared" si="83"/>
        <v>8242.9220000000005</v>
      </c>
      <c r="E611" s="35">
        <f t="shared" si="83"/>
        <v>8730.8080000000009</v>
      </c>
      <c r="F611" s="35">
        <f t="shared" si="83"/>
        <v>12343.567000000003</v>
      </c>
      <c r="G611" s="35">
        <f t="shared" si="83"/>
        <v>57736.187000000005</v>
      </c>
      <c r="H611" s="35">
        <f t="shared" si="83"/>
        <v>17949.812999999998</v>
      </c>
      <c r="I611" s="36">
        <f t="shared" si="83"/>
        <v>121749.179</v>
      </c>
    </row>
    <row r="612" spans="1:9" ht="19.5" thickTop="1" x14ac:dyDescent="0.3"/>
    <row r="614" spans="1:9" x14ac:dyDescent="0.3">
      <c r="A614" s="4" t="s">
        <v>69</v>
      </c>
      <c r="B614" s="5" t="s">
        <v>0</v>
      </c>
      <c r="C614" s="5" t="s">
        <v>1</v>
      </c>
      <c r="D614" s="5" t="s">
        <v>2</v>
      </c>
      <c r="E614" s="6" t="s">
        <v>3</v>
      </c>
      <c r="F614" s="5" t="s">
        <v>4</v>
      </c>
      <c r="G614" s="5" t="s">
        <v>5</v>
      </c>
      <c r="H614" s="5" t="s">
        <v>6</v>
      </c>
      <c r="I614" s="5" t="s">
        <v>7</v>
      </c>
    </row>
    <row r="615" spans="1:9" x14ac:dyDescent="0.3">
      <c r="A615" s="7"/>
      <c r="B615" s="8">
        <v>45481</v>
      </c>
      <c r="C615" s="8">
        <v>45482</v>
      </c>
      <c r="D615" s="8">
        <v>45483</v>
      </c>
      <c r="E615" s="8">
        <v>45484</v>
      </c>
      <c r="F615" s="8">
        <v>45485</v>
      </c>
      <c r="G615" s="8">
        <v>45486</v>
      </c>
      <c r="H615" s="8">
        <v>45487</v>
      </c>
      <c r="I615" s="9"/>
    </row>
    <row r="616" spans="1:9" ht="19.5" thickBot="1" x14ac:dyDescent="0.35">
      <c r="A616" s="10" t="s">
        <v>8</v>
      </c>
      <c r="B616" s="11" t="s">
        <v>9</v>
      </c>
      <c r="C616" s="11" t="s">
        <v>9</v>
      </c>
      <c r="D616" s="11" t="s">
        <v>9</v>
      </c>
      <c r="E616" s="11" t="s">
        <v>9</v>
      </c>
      <c r="F616" s="11" t="s">
        <v>9</v>
      </c>
      <c r="G616" s="11" t="s">
        <v>9</v>
      </c>
      <c r="H616" s="43" t="s">
        <v>9</v>
      </c>
      <c r="I616" s="44" t="s">
        <v>9</v>
      </c>
    </row>
    <row r="617" spans="1:9" x14ac:dyDescent="0.3">
      <c r="A617" s="13" t="s">
        <v>10</v>
      </c>
      <c r="B617" s="14">
        <f>55-6</f>
        <v>49</v>
      </c>
      <c r="C617" s="14">
        <f>55-5</f>
        <v>50</v>
      </c>
      <c r="D617" s="14">
        <f>55-2</f>
        <v>53</v>
      </c>
      <c r="E617" s="14">
        <f>55-2</f>
        <v>53</v>
      </c>
      <c r="F617" s="14">
        <v>51</v>
      </c>
      <c r="G617" s="14">
        <v>53</v>
      </c>
      <c r="H617" s="14">
        <f>55-4</f>
        <v>51</v>
      </c>
      <c r="I617" s="16"/>
    </row>
    <row r="618" spans="1:9" x14ac:dyDescent="0.3">
      <c r="A618" s="15" t="s">
        <v>11</v>
      </c>
      <c r="B618" s="16">
        <v>0</v>
      </c>
      <c r="C618" s="16">
        <v>0</v>
      </c>
      <c r="D618" s="16">
        <v>0</v>
      </c>
      <c r="E618" s="16">
        <v>0</v>
      </c>
      <c r="F618" s="16">
        <v>1</v>
      </c>
      <c r="G618" s="16">
        <v>3</v>
      </c>
      <c r="H618" s="16">
        <v>2</v>
      </c>
      <c r="I618" s="16">
        <f>SUM(B618:H618)</f>
        <v>6</v>
      </c>
    </row>
    <row r="619" spans="1:9" x14ac:dyDescent="0.3">
      <c r="A619" s="15" t="s">
        <v>12</v>
      </c>
      <c r="B619" s="16">
        <v>5</v>
      </c>
      <c r="C619" s="16">
        <v>6</v>
      </c>
      <c r="D619" s="16">
        <v>15</v>
      </c>
      <c r="E619" s="16">
        <v>14</v>
      </c>
      <c r="F619" s="16">
        <v>17</v>
      </c>
      <c r="G619" s="16">
        <v>24</v>
      </c>
      <c r="H619" s="16">
        <v>9</v>
      </c>
      <c r="I619" s="16">
        <f>SUM(B619:H619)</f>
        <v>90</v>
      </c>
    </row>
    <row r="620" spans="1:9" x14ac:dyDescent="0.3">
      <c r="A620" s="15" t="s">
        <v>30</v>
      </c>
      <c r="B620" s="16">
        <v>0</v>
      </c>
      <c r="C620" s="16">
        <v>0</v>
      </c>
      <c r="D620" s="16">
        <v>0</v>
      </c>
      <c r="E620" s="16">
        <v>0</v>
      </c>
      <c r="F620" s="16">
        <v>0</v>
      </c>
      <c r="G620" s="16">
        <v>0</v>
      </c>
      <c r="H620" s="16">
        <v>3</v>
      </c>
      <c r="I620" s="16">
        <f>SUM(B620:H620)</f>
        <v>3</v>
      </c>
    </row>
    <row r="621" spans="1:9" x14ac:dyDescent="0.3">
      <c r="A621" s="15" t="s">
        <v>28</v>
      </c>
      <c r="B621" s="16">
        <v>15</v>
      </c>
      <c r="C621" s="16">
        <v>9</v>
      </c>
      <c r="D621" s="16">
        <v>24</v>
      </c>
      <c r="E621" s="16">
        <v>32</v>
      </c>
      <c r="F621" s="16">
        <v>58</v>
      </c>
      <c r="G621" s="16">
        <v>136</v>
      </c>
      <c r="H621" s="16">
        <v>82</v>
      </c>
      <c r="I621" s="16">
        <f>SUM(B621:H621)</f>
        <v>356</v>
      </c>
    </row>
    <row r="622" spans="1:9" x14ac:dyDescent="0.3">
      <c r="A622" s="15" t="s">
        <v>29</v>
      </c>
      <c r="B622" s="16">
        <v>5</v>
      </c>
      <c r="C622" s="16">
        <v>7</v>
      </c>
      <c r="D622" s="16">
        <v>9</v>
      </c>
      <c r="E622" s="16">
        <v>9</v>
      </c>
      <c r="F622" s="16">
        <v>7</v>
      </c>
      <c r="G622" s="16">
        <v>28</v>
      </c>
      <c r="H622" s="16">
        <v>10</v>
      </c>
      <c r="I622" s="16">
        <f>SUM(B622:H622)</f>
        <v>75</v>
      </c>
    </row>
    <row r="623" spans="1:9" x14ac:dyDescent="0.3">
      <c r="A623" s="15" t="s">
        <v>31</v>
      </c>
      <c r="B623" s="16">
        <v>1</v>
      </c>
      <c r="C623" s="16">
        <v>0</v>
      </c>
      <c r="D623" s="16">
        <v>3</v>
      </c>
      <c r="E623" s="16">
        <v>10</v>
      </c>
      <c r="F623" s="16">
        <v>5</v>
      </c>
      <c r="G623" s="16">
        <v>16</v>
      </c>
      <c r="H623" s="16">
        <v>3</v>
      </c>
      <c r="I623" s="16">
        <f t="shared" ref="I623:I627" si="84">SUM(B623:H623)</f>
        <v>38</v>
      </c>
    </row>
    <row r="624" spans="1:9" x14ac:dyDescent="0.3">
      <c r="A624" s="15" t="s">
        <v>13</v>
      </c>
      <c r="B624" s="16">
        <v>0</v>
      </c>
      <c r="C624" s="16">
        <v>0</v>
      </c>
      <c r="D624" s="16">
        <v>0</v>
      </c>
      <c r="E624" s="16">
        <v>0</v>
      </c>
      <c r="F624" s="16">
        <v>0</v>
      </c>
      <c r="G624" s="16">
        <v>0</v>
      </c>
      <c r="H624" s="16">
        <v>1</v>
      </c>
      <c r="I624" s="16">
        <f t="shared" si="84"/>
        <v>1</v>
      </c>
    </row>
    <row r="625" spans="1:9" x14ac:dyDescent="0.3">
      <c r="A625" s="15" t="s">
        <v>14</v>
      </c>
      <c r="B625" s="16">
        <v>0</v>
      </c>
      <c r="C625" s="16">
        <v>0</v>
      </c>
      <c r="D625" s="16">
        <v>0</v>
      </c>
      <c r="E625" s="16">
        <v>0</v>
      </c>
      <c r="F625" s="16">
        <v>0</v>
      </c>
      <c r="G625" s="16">
        <v>0</v>
      </c>
      <c r="H625" s="16">
        <v>0</v>
      </c>
      <c r="I625" s="16">
        <f t="shared" si="84"/>
        <v>0</v>
      </c>
    </row>
    <row r="626" spans="1:9" x14ac:dyDescent="0.3">
      <c r="A626" s="15" t="s">
        <v>32</v>
      </c>
      <c r="B626" s="16">
        <v>0</v>
      </c>
      <c r="C626" s="16">
        <v>0</v>
      </c>
      <c r="D626" s="16">
        <v>0</v>
      </c>
      <c r="E626" s="16">
        <v>0</v>
      </c>
      <c r="F626" s="16">
        <v>0</v>
      </c>
      <c r="G626" s="16">
        <v>0</v>
      </c>
      <c r="H626" s="16">
        <v>0</v>
      </c>
      <c r="I626" s="16">
        <f t="shared" si="84"/>
        <v>0</v>
      </c>
    </row>
    <row r="627" spans="1:9" x14ac:dyDescent="0.3">
      <c r="A627" s="15" t="s">
        <v>33</v>
      </c>
      <c r="B627" s="16">
        <v>0</v>
      </c>
      <c r="C627" s="16">
        <v>0</v>
      </c>
      <c r="D627" s="16">
        <v>0</v>
      </c>
      <c r="E627" s="16">
        <v>0</v>
      </c>
      <c r="F627" s="16">
        <v>0</v>
      </c>
      <c r="G627" s="16">
        <v>0</v>
      </c>
      <c r="H627" s="16">
        <v>0</v>
      </c>
      <c r="I627" s="16">
        <f t="shared" si="84"/>
        <v>0</v>
      </c>
    </row>
    <row r="628" spans="1:9" ht="19.5" thickBot="1" x14ac:dyDescent="0.35">
      <c r="A628" s="30" t="s">
        <v>15</v>
      </c>
      <c r="B628" s="31">
        <f t="shared" ref="B628:E628" si="85">(B619+B618)/B617*100%</f>
        <v>0.10204081632653061</v>
      </c>
      <c r="C628" s="31">
        <f t="shared" si="85"/>
        <v>0.12</v>
      </c>
      <c r="D628" s="31">
        <f t="shared" si="85"/>
        <v>0.28301886792452829</v>
      </c>
      <c r="E628" s="31">
        <f t="shared" si="85"/>
        <v>0.26415094339622641</v>
      </c>
      <c r="F628" s="31">
        <f>(F619+F618)/F617*100%</f>
        <v>0.35294117647058826</v>
      </c>
      <c r="G628" s="31">
        <f t="shared" ref="G628:H628" si="86">(G619+G618)/G617*100%</f>
        <v>0.50943396226415094</v>
      </c>
      <c r="H628" s="31">
        <f t="shared" si="86"/>
        <v>0.21568627450980393</v>
      </c>
      <c r="I628" s="32">
        <f>(B628+C628+D628+E628+F628+G628+H628)/7</f>
        <v>0.26389600584168976</v>
      </c>
    </row>
    <row r="629" spans="1:9" x14ac:dyDescent="0.3">
      <c r="A629" s="33" t="s">
        <v>16</v>
      </c>
      <c r="B629" s="16"/>
      <c r="C629" s="17"/>
      <c r="D629" s="16"/>
      <c r="E629" s="18"/>
      <c r="F629" s="16"/>
      <c r="G629" s="16"/>
      <c r="H629" s="16"/>
      <c r="I629" s="16"/>
    </row>
    <row r="630" spans="1:9" x14ac:dyDescent="0.3">
      <c r="A630" s="15" t="s">
        <v>34</v>
      </c>
      <c r="B630" s="28">
        <v>2603.7900000000004</v>
      </c>
      <c r="C630" s="28">
        <v>2441.0500000000002</v>
      </c>
      <c r="D630" s="28">
        <v>5736.4680000000008</v>
      </c>
      <c r="E630" s="28">
        <v>4369.4850000000006</v>
      </c>
      <c r="F630" s="28">
        <v>6672.2210000000014</v>
      </c>
      <c r="G630" s="28">
        <v>6021.2660000000005</v>
      </c>
      <c r="H630" s="28">
        <v>4882.1089999999995</v>
      </c>
      <c r="I630" s="19">
        <f>SUM(B630:H630)</f>
        <v>32726.389000000003</v>
      </c>
    </row>
    <row r="631" spans="1:9" x14ac:dyDescent="0.3">
      <c r="A631" s="15" t="s">
        <v>35</v>
      </c>
      <c r="B631" s="28">
        <v>0</v>
      </c>
      <c r="C631" s="28">
        <v>0</v>
      </c>
      <c r="D631" s="28">
        <v>0</v>
      </c>
      <c r="E631" s="28">
        <v>1423.9450000000002</v>
      </c>
      <c r="F631" s="28">
        <v>2074.893</v>
      </c>
      <c r="G631" s="28">
        <v>7485.8960000000006</v>
      </c>
      <c r="H631" s="28">
        <v>284.78899999999999</v>
      </c>
      <c r="I631" s="19">
        <f>SUM(B631:H631)</f>
        <v>11269.523000000001</v>
      </c>
    </row>
    <row r="632" spans="1:9" ht="19.5" thickBot="1" x14ac:dyDescent="0.35">
      <c r="A632" s="15" t="s">
        <v>20</v>
      </c>
      <c r="B632" s="28">
        <v>3601.5920000000001</v>
      </c>
      <c r="C632" s="28">
        <v>2473.596</v>
      </c>
      <c r="D632" s="28">
        <v>6118.8519999999999</v>
      </c>
      <c r="E632" s="28">
        <v>8304.4080000000013</v>
      </c>
      <c r="F632" s="28">
        <v>13409.504000000001</v>
      </c>
      <c r="G632" s="28">
        <v>32189.276000000002</v>
      </c>
      <c r="H632" s="28">
        <v>18486.856</v>
      </c>
      <c r="I632" s="19">
        <f>SUM(B632:H632)</f>
        <v>84584.084000000003</v>
      </c>
    </row>
    <row r="633" spans="1:9" ht="19.5" thickBot="1" x14ac:dyDescent="0.35">
      <c r="A633" s="34" t="s">
        <v>7</v>
      </c>
      <c r="B633" s="35">
        <f t="shared" ref="B633:I633" si="87">SUM(B630:B632)</f>
        <v>6205.3820000000005</v>
      </c>
      <c r="C633" s="35">
        <f t="shared" si="87"/>
        <v>4914.6460000000006</v>
      </c>
      <c r="D633" s="35">
        <f t="shared" si="87"/>
        <v>11855.32</v>
      </c>
      <c r="E633" s="35">
        <f t="shared" si="87"/>
        <v>14097.838000000002</v>
      </c>
      <c r="F633" s="35">
        <f t="shared" si="87"/>
        <v>22156.618000000002</v>
      </c>
      <c r="G633" s="35">
        <f t="shared" si="87"/>
        <v>45696.438000000002</v>
      </c>
      <c r="H633" s="35">
        <f t="shared" si="87"/>
        <v>23653.754000000001</v>
      </c>
      <c r="I633" s="36">
        <f t="shared" si="87"/>
        <v>128579.99600000001</v>
      </c>
    </row>
    <row r="634" spans="1:9" ht="19.5" thickTop="1" x14ac:dyDescent="0.3"/>
    <row r="636" spans="1:9" x14ac:dyDescent="0.3">
      <c r="A636" s="4" t="s">
        <v>70</v>
      </c>
      <c r="B636" s="5" t="s">
        <v>0</v>
      </c>
      <c r="C636" s="5" t="s">
        <v>1</v>
      </c>
      <c r="D636" s="5" t="s">
        <v>2</v>
      </c>
      <c r="E636" s="6" t="s">
        <v>3</v>
      </c>
      <c r="F636" s="5" t="s">
        <v>4</v>
      </c>
      <c r="G636" s="5" t="s">
        <v>5</v>
      </c>
      <c r="H636" s="5" t="s">
        <v>6</v>
      </c>
      <c r="I636" s="5" t="s">
        <v>7</v>
      </c>
    </row>
    <row r="637" spans="1:9" x14ac:dyDescent="0.3">
      <c r="A637" s="7"/>
      <c r="B637" s="8">
        <v>45488</v>
      </c>
      <c r="C637" s="8">
        <v>45489</v>
      </c>
      <c r="D637" s="8">
        <v>45490</v>
      </c>
      <c r="E637" s="8">
        <v>45491</v>
      </c>
      <c r="F637" s="8">
        <v>45492</v>
      </c>
      <c r="G637" s="8">
        <v>45493</v>
      </c>
      <c r="H637" s="8">
        <v>45494</v>
      </c>
      <c r="I637" s="9"/>
    </row>
    <row r="638" spans="1:9" ht="19.5" thickBot="1" x14ac:dyDescent="0.35">
      <c r="A638" s="10" t="s">
        <v>8</v>
      </c>
      <c r="B638" s="11" t="s">
        <v>9</v>
      </c>
      <c r="C638" s="11" t="s">
        <v>9</v>
      </c>
      <c r="D638" s="11" t="s">
        <v>9</v>
      </c>
      <c r="E638" s="11" t="s">
        <v>9</v>
      </c>
      <c r="F638" s="11" t="s">
        <v>9</v>
      </c>
      <c r="G638" s="11" t="s">
        <v>9</v>
      </c>
      <c r="H638" s="43" t="s">
        <v>9</v>
      </c>
      <c r="I638" s="44" t="s">
        <v>9</v>
      </c>
    </row>
    <row r="639" spans="1:9" x14ac:dyDescent="0.3">
      <c r="A639" s="13" t="s">
        <v>10</v>
      </c>
      <c r="B639" s="14">
        <f>55-5</f>
        <v>50</v>
      </c>
      <c r="C639" s="14">
        <f>55-7</f>
        <v>48</v>
      </c>
      <c r="D639" s="14">
        <f>55-7</f>
        <v>48</v>
      </c>
      <c r="E639" s="14">
        <f>55-7</f>
        <v>48</v>
      </c>
      <c r="F639" s="14">
        <f>55-6</f>
        <v>49</v>
      </c>
      <c r="G639" s="14">
        <f>55-3</f>
        <v>52</v>
      </c>
      <c r="H639" s="14">
        <v>50</v>
      </c>
      <c r="I639" s="16"/>
    </row>
    <row r="640" spans="1:9" x14ac:dyDescent="0.3">
      <c r="A640" s="15" t="s">
        <v>11</v>
      </c>
      <c r="B640" s="16">
        <v>1</v>
      </c>
      <c r="C640" s="16">
        <v>3</v>
      </c>
      <c r="D640" s="16">
        <v>2</v>
      </c>
      <c r="E640" s="16">
        <v>2</v>
      </c>
      <c r="F640" s="16">
        <v>5</v>
      </c>
      <c r="G640" s="16">
        <v>3</v>
      </c>
      <c r="H640" s="16">
        <v>2</v>
      </c>
      <c r="I640" s="16">
        <f>SUM(B640:H640)</f>
        <v>18</v>
      </c>
    </row>
    <row r="641" spans="1:9" x14ac:dyDescent="0.3">
      <c r="A641" s="15" t="s">
        <v>12</v>
      </c>
      <c r="B641" s="16">
        <v>20</v>
      </c>
      <c r="C641" s="16">
        <v>18</v>
      </c>
      <c r="D641" s="16">
        <v>16</v>
      </c>
      <c r="E641" s="16">
        <v>4</v>
      </c>
      <c r="F641" s="16">
        <v>19</v>
      </c>
      <c r="G641" s="16">
        <v>24</v>
      </c>
      <c r="H641" s="16">
        <v>8</v>
      </c>
      <c r="I641" s="16">
        <f>SUM(B641:H641)</f>
        <v>109</v>
      </c>
    </row>
    <row r="642" spans="1:9" x14ac:dyDescent="0.3">
      <c r="A642" s="15" t="s">
        <v>30</v>
      </c>
      <c r="B642" s="16">
        <v>3</v>
      </c>
      <c r="C642" s="16">
        <v>0</v>
      </c>
      <c r="D642" s="16">
        <v>0</v>
      </c>
      <c r="E642" s="16">
        <v>0</v>
      </c>
      <c r="F642" s="16">
        <v>0</v>
      </c>
      <c r="G642" s="16">
        <v>0</v>
      </c>
      <c r="H642" s="16">
        <v>0</v>
      </c>
      <c r="I642" s="16">
        <f>SUM(B642:H642)</f>
        <v>3</v>
      </c>
    </row>
    <row r="643" spans="1:9" x14ac:dyDescent="0.3">
      <c r="A643" s="15" t="s">
        <v>28</v>
      </c>
      <c r="B643" s="16">
        <v>9</v>
      </c>
      <c r="C643" s="16">
        <v>22</v>
      </c>
      <c r="D643" s="16">
        <v>83</v>
      </c>
      <c r="E643" s="16">
        <v>38</v>
      </c>
      <c r="F643" s="16">
        <v>45</v>
      </c>
      <c r="G643" s="16">
        <v>194</v>
      </c>
      <c r="H643" s="16">
        <v>71</v>
      </c>
      <c r="I643" s="16">
        <f>SUM(B643:H643)</f>
        <v>462</v>
      </c>
    </row>
    <row r="644" spans="1:9" x14ac:dyDescent="0.3">
      <c r="A644" s="15" t="s">
        <v>29</v>
      </c>
      <c r="B644" s="16">
        <v>1</v>
      </c>
      <c r="C644" s="16">
        <v>18</v>
      </c>
      <c r="D644" s="16">
        <v>4</v>
      </c>
      <c r="E644" s="16">
        <v>4</v>
      </c>
      <c r="F644" s="16">
        <v>7</v>
      </c>
      <c r="G644" s="16">
        <v>34</v>
      </c>
      <c r="H644" s="16">
        <v>18</v>
      </c>
      <c r="I644" s="16">
        <f>SUM(B644:H644)</f>
        <v>86</v>
      </c>
    </row>
    <row r="645" spans="1:9" x14ac:dyDescent="0.3">
      <c r="A645" s="15" t="s">
        <v>31</v>
      </c>
      <c r="B645" s="16">
        <v>0</v>
      </c>
      <c r="C645" s="16">
        <v>1</v>
      </c>
      <c r="D645" s="16">
        <v>14</v>
      </c>
      <c r="E645" s="16">
        <v>3</v>
      </c>
      <c r="F645" s="16">
        <v>25</v>
      </c>
      <c r="G645" s="16">
        <v>14</v>
      </c>
      <c r="H645" s="16">
        <v>10</v>
      </c>
      <c r="I645" s="16">
        <f t="shared" ref="I645:I649" si="88">SUM(B645:H645)</f>
        <v>67</v>
      </c>
    </row>
    <row r="646" spans="1:9" x14ac:dyDescent="0.3">
      <c r="A646" s="15" t="s">
        <v>13</v>
      </c>
      <c r="B646" s="16">
        <v>0</v>
      </c>
      <c r="C646" s="16">
        <v>6</v>
      </c>
      <c r="D646" s="16">
        <v>0</v>
      </c>
      <c r="E646" s="16">
        <v>2</v>
      </c>
      <c r="F646" s="16">
        <v>0</v>
      </c>
      <c r="G646" s="16">
        <v>3</v>
      </c>
      <c r="H646" s="16">
        <v>0</v>
      </c>
      <c r="I646" s="16">
        <f t="shared" si="88"/>
        <v>11</v>
      </c>
    </row>
    <row r="647" spans="1:9" x14ac:dyDescent="0.3">
      <c r="A647" s="15" t="s">
        <v>14</v>
      </c>
      <c r="B647" s="16">
        <v>0</v>
      </c>
      <c r="C647" s="16">
        <v>0</v>
      </c>
      <c r="D647" s="16">
        <v>0</v>
      </c>
      <c r="E647" s="16">
        <v>0</v>
      </c>
      <c r="F647" s="16">
        <v>0</v>
      </c>
      <c r="G647" s="16">
        <v>0</v>
      </c>
      <c r="H647" s="16">
        <v>0</v>
      </c>
      <c r="I647" s="16">
        <f t="shared" si="88"/>
        <v>0</v>
      </c>
    </row>
    <row r="648" spans="1:9" x14ac:dyDescent="0.3">
      <c r="A648" s="15" t="s">
        <v>32</v>
      </c>
      <c r="B648" s="16">
        <v>0</v>
      </c>
      <c r="C648" s="16">
        <v>0</v>
      </c>
      <c r="D648" s="16">
        <v>0</v>
      </c>
      <c r="E648" s="16">
        <v>0</v>
      </c>
      <c r="F648" s="16">
        <v>0</v>
      </c>
      <c r="G648" s="16">
        <v>1</v>
      </c>
      <c r="H648" s="16">
        <v>0</v>
      </c>
      <c r="I648" s="16">
        <f t="shared" si="88"/>
        <v>1</v>
      </c>
    </row>
    <row r="649" spans="1:9" x14ac:dyDescent="0.3">
      <c r="A649" s="15" t="s">
        <v>33</v>
      </c>
      <c r="B649" s="16">
        <v>0</v>
      </c>
      <c r="C649" s="16">
        <v>0</v>
      </c>
      <c r="D649" s="16">
        <v>0</v>
      </c>
      <c r="E649" s="16">
        <v>33</v>
      </c>
      <c r="F649" s="16">
        <v>0</v>
      </c>
      <c r="G649" s="16">
        <v>100</v>
      </c>
      <c r="H649" s="16">
        <v>0</v>
      </c>
      <c r="I649" s="16">
        <f t="shared" si="88"/>
        <v>133</v>
      </c>
    </row>
    <row r="650" spans="1:9" ht="19.5" thickBot="1" x14ac:dyDescent="0.35">
      <c r="A650" s="30" t="s">
        <v>15</v>
      </c>
      <c r="B650" s="31">
        <f t="shared" ref="B650:E650" si="89">(B641+B640)/B639*100%</f>
        <v>0.42</v>
      </c>
      <c r="C650" s="31">
        <f t="shared" si="89"/>
        <v>0.4375</v>
      </c>
      <c r="D650" s="31">
        <f t="shared" si="89"/>
        <v>0.375</v>
      </c>
      <c r="E650" s="31">
        <f t="shared" si="89"/>
        <v>0.125</v>
      </c>
      <c r="F650" s="31">
        <f>(F641+F640)/F639*100%</f>
        <v>0.48979591836734693</v>
      </c>
      <c r="G650" s="31">
        <f t="shared" ref="G650:H650" si="90">(G641+G640)/G639*100%</f>
        <v>0.51923076923076927</v>
      </c>
      <c r="H650" s="31">
        <f t="shared" si="90"/>
        <v>0.2</v>
      </c>
      <c r="I650" s="32">
        <f>(B650+C650+D650+E650+F650+G650+H650)/7</f>
        <v>0.36664666965687376</v>
      </c>
    </row>
    <row r="651" spans="1:9" x14ac:dyDescent="0.3">
      <c r="A651" s="33" t="s">
        <v>16</v>
      </c>
      <c r="B651" s="16"/>
      <c r="C651" s="17"/>
      <c r="D651" s="16"/>
      <c r="E651" s="18"/>
      <c r="F651" s="16"/>
      <c r="G651" s="16"/>
      <c r="H651" s="16"/>
      <c r="I651" s="16"/>
    </row>
    <row r="652" spans="1:9" x14ac:dyDescent="0.3">
      <c r="A652" s="15" t="s">
        <v>34</v>
      </c>
      <c r="B652" s="28">
        <v>1220.528</v>
      </c>
      <c r="C652" s="28">
        <v>4833.2869999999994</v>
      </c>
      <c r="D652" s="28">
        <v>3856.8690000000006</v>
      </c>
      <c r="E652" s="28">
        <v>4231.1618000000008</v>
      </c>
      <c r="F652" s="28">
        <v>9455.0164000000004</v>
      </c>
      <c r="G652" s="28">
        <v>14385.947800000002</v>
      </c>
      <c r="H652" s="28">
        <v>4475.2700000000004</v>
      </c>
      <c r="I652" s="19">
        <f>SUM(B652:H652)</f>
        <v>42458.080000000002</v>
      </c>
    </row>
    <row r="653" spans="1:9" x14ac:dyDescent="0.3">
      <c r="A653" s="15" t="s">
        <v>35</v>
      </c>
      <c r="B653" s="28">
        <v>8122.38</v>
      </c>
      <c r="C653" s="28">
        <v>4000.0699999999997</v>
      </c>
      <c r="D653" s="28">
        <v>4000.0699999999997</v>
      </c>
      <c r="E653" s="28">
        <v>0</v>
      </c>
      <c r="F653" s="28">
        <v>0</v>
      </c>
      <c r="G653" s="28">
        <v>0</v>
      </c>
      <c r="H653" s="28">
        <v>0</v>
      </c>
      <c r="I653" s="19">
        <f>SUM(B653:H653)</f>
        <v>16122.52</v>
      </c>
    </row>
    <row r="654" spans="1:9" ht="19.5" thickBot="1" x14ac:dyDescent="0.35">
      <c r="A654" s="15" t="s">
        <v>20</v>
      </c>
      <c r="B654" s="28">
        <v>1985.3880000000001</v>
      </c>
      <c r="C654" s="28">
        <v>6525.7480000000005</v>
      </c>
      <c r="D654" s="28">
        <v>19137.788</v>
      </c>
      <c r="E654" s="28">
        <v>8934.2608</v>
      </c>
      <c r="F654" s="28">
        <v>12397.303599999999</v>
      </c>
      <c r="G654" s="28">
        <v>41873.851600000002</v>
      </c>
      <c r="H654" s="28">
        <v>17284.689999999999</v>
      </c>
      <c r="I654" s="19">
        <f>SUM(B654:H654)</f>
        <v>108139.03</v>
      </c>
    </row>
    <row r="655" spans="1:9" x14ac:dyDescent="0.3">
      <c r="A655" s="55" t="s">
        <v>7</v>
      </c>
      <c r="B655" s="56">
        <f t="shared" ref="B655:I655" si="91">SUM(B652:B654)</f>
        <v>11328.296</v>
      </c>
      <c r="C655" s="56">
        <f t="shared" si="91"/>
        <v>15359.105</v>
      </c>
      <c r="D655" s="56">
        <f t="shared" si="91"/>
        <v>26994.726999999999</v>
      </c>
      <c r="E655" s="56">
        <f t="shared" si="91"/>
        <v>13165.422600000002</v>
      </c>
      <c r="F655" s="56">
        <f t="shared" si="91"/>
        <v>21852.32</v>
      </c>
      <c r="G655" s="56">
        <f t="shared" si="91"/>
        <v>56259.799400000004</v>
      </c>
      <c r="H655" s="56">
        <f t="shared" si="91"/>
        <v>21759.96</v>
      </c>
      <c r="I655" s="56">
        <f t="shared" si="91"/>
        <v>166719.63</v>
      </c>
    </row>
    <row r="659" spans="1:12" x14ac:dyDescent="0.3">
      <c r="A659" s="4" t="s">
        <v>75</v>
      </c>
      <c r="B659" s="5" t="s">
        <v>0</v>
      </c>
      <c r="C659" s="5" t="s">
        <v>1</v>
      </c>
      <c r="D659" s="5" t="s">
        <v>2</v>
      </c>
      <c r="E659" s="6" t="s">
        <v>3</v>
      </c>
      <c r="F659" s="5" t="s">
        <v>4</v>
      </c>
      <c r="G659" s="5" t="s">
        <v>5</v>
      </c>
      <c r="H659" s="5" t="s">
        <v>6</v>
      </c>
      <c r="I659" s="5" t="s">
        <v>7</v>
      </c>
    </row>
    <row r="660" spans="1:12" x14ac:dyDescent="0.3">
      <c r="A660" s="7"/>
      <c r="B660" s="8">
        <v>45495</v>
      </c>
      <c r="C660" s="8">
        <v>45496</v>
      </c>
      <c r="D660" s="8">
        <v>45497</v>
      </c>
      <c r="E660" s="8">
        <v>45498</v>
      </c>
      <c r="F660" s="8">
        <v>45499</v>
      </c>
      <c r="G660" s="8">
        <v>45500</v>
      </c>
      <c r="H660" s="8">
        <v>45501</v>
      </c>
      <c r="I660" s="9"/>
    </row>
    <row r="661" spans="1:12" ht="19.5" thickBot="1" x14ac:dyDescent="0.35">
      <c r="A661" s="10" t="s">
        <v>8</v>
      </c>
      <c r="B661" s="11" t="s">
        <v>9</v>
      </c>
      <c r="C661" s="11" t="s">
        <v>9</v>
      </c>
      <c r="D661" s="11" t="s">
        <v>9</v>
      </c>
      <c r="E661" s="11" t="s">
        <v>9</v>
      </c>
      <c r="F661" s="11" t="s">
        <v>9</v>
      </c>
      <c r="G661" s="11" t="s">
        <v>9</v>
      </c>
      <c r="H661" s="43" t="s">
        <v>9</v>
      </c>
      <c r="I661" s="44" t="s">
        <v>9</v>
      </c>
    </row>
    <row r="662" spans="1:12" x14ac:dyDescent="0.3">
      <c r="A662" s="13" t="s">
        <v>10</v>
      </c>
      <c r="B662" s="14">
        <f>55-5</f>
        <v>50</v>
      </c>
      <c r="C662" s="14">
        <f>55-3</f>
        <v>52</v>
      </c>
      <c r="D662" s="14">
        <f>55-1</f>
        <v>54</v>
      </c>
      <c r="E662" s="14">
        <v>54</v>
      </c>
      <c r="F662" s="14">
        <v>54</v>
      </c>
      <c r="G662" s="14">
        <v>54</v>
      </c>
      <c r="H662" s="14">
        <v>54</v>
      </c>
      <c r="I662" s="16"/>
    </row>
    <row r="663" spans="1:12" x14ac:dyDescent="0.3">
      <c r="A663" s="15" t="s">
        <v>11</v>
      </c>
      <c r="B663" s="16">
        <v>2</v>
      </c>
      <c r="C663" s="16">
        <v>1</v>
      </c>
      <c r="D663" s="16">
        <v>1</v>
      </c>
      <c r="E663" s="16">
        <v>1</v>
      </c>
      <c r="F663" s="16">
        <v>1</v>
      </c>
      <c r="G663" s="16">
        <v>3</v>
      </c>
      <c r="H663" s="16">
        <v>1</v>
      </c>
      <c r="I663" s="16">
        <f>SUM(B663:H663)</f>
        <v>10</v>
      </c>
      <c r="J663" s="1">
        <v>18</v>
      </c>
      <c r="K663" s="41">
        <f>(I663-J663)/J663</f>
        <v>-0.44444444444444442</v>
      </c>
      <c r="L663" s="1" t="s">
        <v>76</v>
      </c>
    </row>
    <row r="664" spans="1:12" x14ac:dyDescent="0.3">
      <c r="A664" s="15" t="s">
        <v>12</v>
      </c>
      <c r="B664" s="16">
        <v>21</v>
      </c>
      <c r="C664" s="16">
        <v>22</v>
      </c>
      <c r="D664" s="16">
        <v>50</v>
      </c>
      <c r="E664" s="16">
        <v>52</v>
      </c>
      <c r="F664" s="16">
        <v>16</v>
      </c>
      <c r="G664" s="16">
        <v>13</v>
      </c>
      <c r="H664" s="16">
        <v>41</v>
      </c>
      <c r="I664" s="16">
        <f>SUM(B664:H664)</f>
        <v>215</v>
      </c>
      <c r="J664" s="1">
        <v>109</v>
      </c>
      <c r="K664" s="41">
        <f t="shared" ref="K664:K678" si="92">(I664-J664)/J664</f>
        <v>0.97247706422018354</v>
      </c>
      <c r="L664" s="1" t="s">
        <v>76</v>
      </c>
    </row>
    <row r="665" spans="1:12" x14ac:dyDescent="0.3">
      <c r="A665" s="15" t="s">
        <v>30</v>
      </c>
      <c r="B665" s="16">
        <v>0</v>
      </c>
      <c r="C665" s="16">
        <v>0</v>
      </c>
      <c r="D665" s="16">
        <v>0</v>
      </c>
      <c r="E665" s="16">
        <v>0</v>
      </c>
      <c r="F665" s="16">
        <v>0</v>
      </c>
      <c r="G665" s="16">
        <v>0</v>
      </c>
      <c r="H665" s="16">
        <v>0</v>
      </c>
      <c r="I665" s="16">
        <f>SUM(B665:H665)</f>
        <v>0</v>
      </c>
      <c r="J665" s="1">
        <v>3</v>
      </c>
      <c r="K665" s="41">
        <f t="shared" si="92"/>
        <v>-1</v>
      </c>
      <c r="L665" s="1" t="s">
        <v>76</v>
      </c>
    </row>
    <row r="666" spans="1:12" x14ac:dyDescent="0.3">
      <c r="A666" s="15" t="s">
        <v>28</v>
      </c>
      <c r="B666" s="16">
        <v>43</v>
      </c>
      <c r="C666" s="16">
        <v>15</v>
      </c>
      <c r="D666" s="16">
        <v>77</v>
      </c>
      <c r="E666" s="16">
        <v>9</v>
      </c>
      <c r="F666" s="16">
        <v>57</v>
      </c>
      <c r="G666" s="16">
        <v>198</v>
      </c>
      <c r="H666" s="16">
        <v>168</v>
      </c>
      <c r="I666" s="16">
        <f>SUM(B666:H666)</f>
        <v>567</v>
      </c>
      <c r="J666" s="1">
        <v>462</v>
      </c>
      <c r="K666" s="41">
        <f t="shared" si="92"/>
        <v>0.22727272727272727</v>
      </c>
      <c r="L666" s="1" t="s">
        <v>76</v>
      </c>
    </row>
    <row r="667" spans="1:12" x14ac:dyDescent="0.3">
      <c r="A667" s="15" t="s">
        <v>29</v>
      </c>
      <c r="B667" s="16">
        <v>7</v>
      </c>
      <c r="C667" s="16">
        <v>6</v>
      </c>
      <c r="D667" s="16">
        <f>17</f>
        <v>17</v>
      </c>
      <c r="E667" s="16">
        <v>1</v>
      </c>
      <c r="F667" s="16">
        <v>19</v>
      </c>
      <c r="G667" s="16">
        <v>51</v>
      </c>
      <c r="H667" s="16">
        <v>24</v>
      </c>
      <c r="I667" s="16">
        <f>SUM(B667:H667)</f>
        <v>125</v>
      </c>
      <c r="J667" s="1">
        <v>86</v>
      </c>
      <c r="K667" s="41">
        <f t="shared" si="92"/>
        <v>0.45348837209302323</v>
      </c>
      <c r="L667" s="1" t="s">
        <v>76</v>
      </c>
    </row>
    <row r="668" spans="1:12" x14ac:dyDescent="0.3">
      <c r="A668" s="15" t="s">
        <v>31</v>
      </c>
      <c r="B668" s="16">
        <v>6</v>
      </c>
      <c r="C668" s="16">
        <v>2</v>
      </c>
      <c r="D668" s="16">
        <v>10</v>
      </c>
      <c r="E668" s="16">
        <v>1</v>
      </c>
      <c r="F668" s="16">
        <v>11</v>
      </c>
      <c r="G668" s="16">
        <v>32</v>
      </c>
      <c r="H668" s="16">
        <v>6</v>
      </c>
      <c r="I668" s="16">
        <f t="shared" ref="I668:I672" si="93">SUM(B668:H668)</f>
        <v>68</v>
      </c>
      <c r="J668" s="1">
        <v>67</v>
      </c>
      <c r="K668" s="41">
        <f t="shared" si="92"/>
        <v>1.4925373134328358E-2</v>
      </c>
      <c r="L668" s="1" t="s">
        <v>76</v>
      </c>
    </row>
    <row r="669" spans="1:12" x14ac:dyDescent="0.3">
      <c r="A669" s="15" t="s">
        <v>13</v>
      </c>
      <c r="B669" s="16">
        <v>0</v>
      </c>
      <c r="C669" s="16">
        <v>0</v>
      </c>
      <c r="D669" s="16">
        <v>0</v>
      </c>
      <c r="E669" s="16">
        <v>0</v>
      </c>
      <c r="F669" s="16">
        <v>0</v>
      </c>
      <c r="G669" s="16">
        <v>0</v>
      </c>
      <c r="H669" s="16">
        <v>0</v>
      </c>
      <c r="I669" s="16">
        <f t="shared" si="93"/>
        <v>0</v>
      </c>
      <c r="J669" s="1">
        <v>11</v>
      </c>
      <c r="K669" s="41">
        <f t="shared" si="92"/>
        <v>-1</v>
      </c>
      <c r="L669" s="1" t="s">
        <v>77</v>
      </c>
    </row>
    <row r="670" spans="1:12" x14ac:dyDescent="0.3">
      <c r="A670" s="15" t="s">
        <v>14</v>
      </c>
      <c r="B670" s="16">
        <v>0</v>
      </c>
      <c r="C670" s="16">
        <v>0</v>
      </c>
      <c r="D670" s="16">
        <v>0</v>
      </c>
      <c r="E670" s="16">
        <v>0</v>
      </c>
      <c r="F670" s="16">
        <v>0</v>
      </c>
      <c r="G670" s="16">
        <v>0</v>
      </c>
      <c r="H670" s="16">
        <v>0</v>
      </c>
      <c r="I670" s="16">
        <f t="shared" si="93"/>
        <v>0</v>
      </c>
      <c r="J670" s="1">
        <v>0</v>
      </c>
      <c r="K670" s="41"/>
    </row>
    <row r="671" spans="1:12" x14ac:dyDescent="0.3">
      <c r="A671" s="15" t="s">
        <v>32</v>
      </c>
      <c r="B671" s="16">
        <v>0</v>
      </c>
      <c r="C671" s="16">
        <v>0</v>
      </c>
      <c r="D671" s="16">
        <v>0</v>
      </c>
      <c r="E671" s="16">
        <v>0</v>
      </c>
      <c r="F671" s="16">
        <v>0</v>
      </c>
      <c r="G671" s="16">
        <v>0</v>
      </c>
      <c r="H671" s="16">
        <v>0</v>
      </c>
      <c r="I671" s="16">
        <f t="shared" si="93"/>
        <v>0</v>
      </c>
      <c r="J671" s="1">
        <v>1</v>
      </c>
      <c r="K671" s="41">
        <f t="shared" si="92"/>
        <v>-1</v>
      </c>
    </row>
    <row r="672" spans="1:12" x14ac:dyDescent="0.3">
      <c r="A672" s="15" t="s">
        <v>33</v>
      </c>
      <c r="B672" s="16">
        <v>0</v>
      </c>
      <c r="C672" s="16">
        <v>0</v>
      </c>
      <c r="D672" s="16">
        <v>0</v>
      </c>
      <c r="E672" s="16">
        <v>0</v>
      </c>
      <c r="F672" s="16">
        <v>0</v>
      </c>
      <c r="G672" s="16">
        <v>0</v>
      </c>
      <c r="H672" s="16">
        <v>0</v>
      </c>
      <c r="I672" s="16">
        <f t="shared" si="93"/>
        <v>0</v>
      </c>
      <c r="J672" s="1">
        <v>133</v>
      </c>
      <c r="K672" s="41">
        <f t="shared" si="92"/>
        <v>-1</v>
      </c>
    </row>
    <row r="673" spans="1:12" ht="19.5" thickBot="1" x14ac:dyDescent="0.35">
      <c r="A673" s="30" t="s">
        <v>15</v>
      </c>
      <c r="B673" s="31">
        <f t="shared" ref="B673:E673" si="94">(B664+B663)/B662*100%</f>
        <v>0.46</v>
      </c>
      <c r="C673" s="31">
        <f t="shared" si="94"/>
        <v>0.44230769230769229</v>
      </c>
      <c r="D673" s="31">
        <f t="shared" si="94"/>
        <v>0.94444444444444442</v>
      </c>
      <c r="E673" s="31">
        <f t="shared" si="94"/>
        <v>0.98148148148148151</v>
      </c>
      <c r="F673" s="31">
        <f>(F664+F663)/F662*100%</f>
        <v>0.31481481481481483</v>
      </c>
      <c r="G673" s="31">
        <f t="shared" ref="G673:H673" si="95">(G664+G663)/G662*100%</f>
        <v>0.29629629629629628</v>
      </c>
      <c r="H673" s="31">
        <f t="shared" si="95"/>
        <v>0.77777777777777779</v>
      </c>
      <c r="I673" s="32">
        <f>(B673+C673+D673+E673+F673+G673+H673)/7</f>
        <v>0.60244607244607251</v>
      </c>
      <c r="J673" s="41">
        <v>0.36664666965687376</v>
      </c>
      <c r="K673" s="41">
        <f t="shared" si="92"/>
        <v>0.64312435459967932</v>
      </c>
      <c r="L673" s="1" t="s">
        <v>76</v>
      </c>
    </row>
    <row r="674" spans="1:12" x14ac:dyDescent="0.3">
      <c r="A674" s="33" t="s">
        <v>16</v>
      </c>
      <c r="B674" s="16"/>
      <c r="C674" s="17"/>
      <c r="D674" s="16"/>
      <c r="E674" s="18"/>
      <c r="F674" s="16"/>
      <c r="G674" s="16"/>
      <c r="H674" s="16"/>
      <c r="I674" s="16"/>
      <c r="K674" s="41"/>
    </row>
    <row r="675" spans="1:12" x14ac:dyDescent="0.3">
      <c r="A675" s="15" t="s">
        <v>34</v>
      </c>
      <c r="B675" s="28">
        <v>488.21090000000004</v>
      </c>
      <c r="C675" s="28">
        <v>488.21090000000004</v>
      </c>
      <c r="D675" s="28">
        <v>0</v>
      </c>
      <c r="E675" s="28">
        <v>829.95859999999993</v>
      </c>
      <c r="F675" s="28">
        <v>6485.0685000000003</v>
      </c>
      <c r="G675" s="28">
        <v>4597.3195000000005</v>
      </c>
      <c r="H675" s="28">
        <v>2929.2656000000006</v>
      </c>
      <c r="I675" s="19">
        <f>SUM(B675:H675)</f>
        <v>15818.034000000001</v>
      </c>
      <c r="J675" s="28">
        <v>42458.080000000002</v>
      </c>
      <c r="K675" s="41">
        <f t="shared" si="92"/>
        <v>-0.62744349249895426</v>
      </c>
      <c r="L675" s="1" t="s">
        <v>77</v>
      </c>
    </row>
    <row r="676" spans="1:12" x14ac:dyDescent="0.3">
      <c r="A676" s="15" t="s">
        <v>35</v>
      </c>
      <c r="B676" s="28">
        <v>9650.4054000000015</v>
      </c>
      <c r="C676" s="28">
        <v>9456.5447000000004</v>
      </c>
      <c r="D676" s="28">
        <v>21587.4182</v>
      </c>
      <c r="E676" s="28">
        <v>18850.3465</v>
      </c>
      <c r="F676" s="28">
        <v>2343.4122000000002</v>
      </c>
      <c r="G676" s="28">
        <v>2343.4122000000002</v>
      </c>
      <c r="H676" s="28">
        <v>10688.400399999999</v>
      </c>
      <c r="I676" s="19">
        <f>SUM(B676:H676)</f>
        <v>74919.939599999998</v>
      </c>
      <c r="J676" s="28">
        <v>16122.52</v>
      </c>
      <c r="K676" s="41">
        <f t="shared" si="92"/>
        <v>3.6469124925880068</v>
      </c>
      <c r="L676" s="1" t="s">
        <v>76</v>
      </c>
    </row>
    <row r="677" spans="1:12" ht="19.5" thickBot="1" x14ac:dyDescent="0.35">
      <c r="A677" s="15" t="s">
        <v>20</v>
      </c>
      <c r="B677" s="28">
        <v>9764.2183999999997</v>
      </c>
      <c r="C677" s="28">
        <v>3889.4144000000001</v>
      </c>
      <c r="D677" s="28">
        <v>18177.7196</v>
      </c>
      <c r="E677" s="28">
        <v>2053.5596</v>
      </c>
      <c r="F677" s="28">
        <v>14658.532000000001</v>
      </c>
      <c r="G677" s="28">
        <v>44929.550400000007</v>
      </c>
      <c r="H677" s="28">
        <v>25386.964800000002</v>
      </c>
      <c r="I677" s="19">
        <f>SUM(B677:H677)</f>
        <v>118859.9592</v>
      </c>
      <c r="J677" s="28">
        <v>108139.03</v>
      </c>
      <c r="K677" s="41">
        <f t="shared" si="92"/>
        <v>9.9140238265499503E-2</v>
      </c>
      <c r="L677" s="1" t="s">
        <v>76</v>
      </c>
    </row>
    <row r="678" spans="1:12" x14ac:dyDescent="0.3">
      <c r="A678" s="55" t="s">
        <v>7</v>
      </c>
      <c r="B678" s="56">
        <f t="shared" ref="B678:I678" si="96">SUM(B675:B677)</f>
        <v>19902.834699999999</v>
      </c>
      <c r="C678" s="56">
        <f t="shared" si="96"/>
        <v>13834.17</v>
      </c>
      <c r="D678" s="56">
        <f t="shared" si="96"/>
        <v>39765.137799999997</v>
      </c>
      <c r="E678" s="56">
        <f t="shared" si="96"/>
        <v>21733.864699999998</v>
      </c>
      <c r="F678" s="56">
        <f t="shared" si="96"/>
        <v>23487.012699999999</v>
      </c>
      <c r="G678" s="56">
        <f t="shared" si="96"/>
        <v>51870.282100000011</v>
      </c>
      <c r="H678" s="56">
        <f t="shared" si="96"/>
        <v>39004.630799999999</v>
      </c>
      <c r="I678" s="56">
        <f t="shared" si="96"/>
        <v>209597.93280000001</v>
      </c>
      <c r="J678" s="28">
        <v>166719.63</v>
      </c>
      <c r="K678" s="41">
        <f t="shared" si="92"/>
        <v>0.25718808756953215</v>
      </c>
      <c r="L678" s="1" t="s">
        <v>76</v>
      </c>
    </row>
    <row r="681" spans="1:12" x14ac:dyDescent="0.3">
      <c r="A681" s="4" t="s">
        <v>78</v>
      </c>
      <c r="B681" s="5" t="s">
        <v>0</v>
      </c>
      <c r="C681" s="5" t="s">
        <v>1</v>
      </c>
      <c r="D681" s="5" t="s">
        <v>2</v>
      </c>
      <c r="E681" s="6" t="s">
        <v>3</v>
      </c>
      <c r="F681" s="5" t="s">
        <v>4</v>
      </c>
      <c r="G681" s="5" t="s">
        <v>5</v>
      </c>
      <c r="H681" s="5" t="s">
        <v>6</v>
      </c>
      <c r="I681" s="5" t="s">
        <v>7</v>
      </c>
    </row>
    <row r="682" spans="1:12" x14ac:dyDescent="0.3">
      <c r="A682" s="7"/>
      <c r="B682" s="8">
        <v>45502</v>
      </c>
      <c r="C682" s="8">
        <v>45503</v>
      </c>
      <c r="D682" s="8">
        <v>45504</v>
      </c>
      <c r="E682" s="8">
        <v>45505</v>
      </c>
      <c r="F682" s="8">
        <v>45506</v>
      </c>
      <c r="G682" s="8">
        <v>45507</v>
      </c>
      <c r="H682" s="8">
        <v>45508</v>
      </c>
      <c r="I682" s="9"/>
    </row>
    <row r="683" spans="1:12" ht="19.5" thickBot="1" x14ac:dyDescent="0.35">
      <c r="A683" s="10" t="s">
        <v>8</v>
      </c>
      <c r="B683" s="11" t="s">
        <v>9</v>
      </c>
      <c r="C683" s="11" t="s">
        <v>9</v>
      </c>
      <c r="D683" s="11" t="s">
        <v>9</v>
      </c>
      <c r="E683" s="11" t="s">
        <v>9</v>
      </c>
      <c r="F683" s="11" t="s">
        <v>9</v>
      </c>
      <c r="G683" s="11" t="s">
        <v>9</v>
      </c>
      <c r="H683" s="43" t="s">
        <v>9</v>
      </c>
      <c r="I683" s="44" t="s">
        <v>9</v>
      </c>
    </row>
    <row r="684" spans="1:12" x14ac:dyDescent="0.3">
      <c r="A684" s="13" t="s">
        <v>10</v>
      </c>
      <c r="B684" s="14">
        <f>55-1</f>
        <v>54</v>
      </c>
      <c r="C684" s="14">
        <f>55-2</f>
        <v>53</v>
      </c>
      <c r="D684" s="14">
        <f>55-2</f>
        <v>53</v>
      </c>
      <c r="E684" s="14">
        <f>55-2</f>
        <v>53</v>
      </c>
      <c r="F684" s="14">
        <f>55-2</f>
        <v>53</v>
      </c>
      <c r="G684" s="14">
        <f>55-1</f>
        <v>54</v>
      </c>
      <c r="H684" s="14">
        <f>55-1</f>
        <v>54</v>
      </c>
      <c r="I684" s="16"/>
    </row>
    <row r="685" spans="1:12" x14ac:dyDescent="0.3">
      <c r="A685" s="15" t="s">
        <v>11</v>
      </c>
      <c r="B685" s="16">
        <v>3</v>
      </c>
      <c r="C685" s="16">
        <v>3</v>
      </c>
      <c r="D685" s="16">
        <v>3</v>
      </c>
      <c r="E685" s="16">
        <v>4</v>
      </c>
      <c r="F685" s="16">
        <v>4</v>
      </c>
      <c r="G685" s="16">
        <v>7</v>
      </c>
      <c r="H685" s="16">
        <v>5</v>
      </c>
      <c r="I685" s="16">
        <f>SUM(B685:H685)</f>
        <v>29</v>
      </c>
    </row>
    <row r="686" spans="1:12" x14ac:dyDescent="0.3">
      <c r="A686" s="15" t="s">
        <v>12</v>
      </c>
      <c r="B686" s="16">
        <v>42</v>
      </c>
      <c r="C686" s="16">
        <v>43</v>
      </c>
      <c r="D686" s="16">
        <v>47</v>
      </c>
      <c r="E686" s="16">
        <v>19</v>
      </c>
      <c r="F686" s="16">
        <v>23</v>
      </c>
      <c r="G686" s="16">
        <v>46</v>
      </c>
      <c r="H686" s="16">
        <v>31</v>
      </c>
      <c r="I686" s="16">
        <f>SUM(B686:H686)</f>
        <v>251</v>
      </c>
    </row>
    <row r="687" spans="1:12" x14ac:dyDescent="0.3">
      <c r="A687" s="15" t="s">
        <v>30</v>
      </c>
      <c r="B687" s="16">
        <v>0</v>
      </c>
      <c r="C687" s="16">
        <v>0</v>
      </c>
      <c r="D687" s="16">
        <v>0</v>
      </c>
      <c r="E687" s="16">
        <v>0</v>
      </c>
      <c r="F687" s="16">
        <v>0</v>
      </c>
      <c r="G687" s="16">
        <v>0</v>
      </c>
      <c r="H687" s="16">
        <v>5</v>
      </c>
      <c r="I687" s="16">
        <f>SUM(B687:H687)</f>
        <v>5</v>
      </c>
    </row>
    <row r="688" spans="1:12" x14ac:dyDescent="0.3">
      <c r="A688" s="15" t="s">
        <v>28</v>
      </c>
      <c r="B688" s="16">
        <v>31</v>
      </c>
      <c r="C688" s="16">
        <v>21</v>
      </c>
      <c r="D688" s="16">
        <v>57</v>
      </c>
      <c r="E688" s="16">
        <v>49</v>
      </c>
      <c r="F688" s="16">
        <v>75</v>
      </c>
      <c r="G688" s="16">
        <f>352+24</f>
        <v>376</v>
      </c>
      <c r="H688" s="16">
        <v>123</v>
      </c>
      <c r="I688" s="16">
        <f>SUM(B688:H688)</f>
        <v>732</v>
      </c>
    </row>
    <row r="689" spans="1:10" x14ac:dyDescent="0.3">
      <c r="A689" s="15" t="s">
        <v>29</v>
      </c>
      <c r="B689" s="16">
        <v>15</v>
      </c>
      <c r="C689" s="16">
        <v>13</v>
      </c>
      <c r="D689" s="16">
        <v>11</v>
      </c>
      <c r="E689" s="16">
        <v>105</v>
      </c>
      <c r="F689" s="16">
        <v>42</v>
      </c>
      <c r="G689" s="16">
        <v>34</v>
      </c>
      <c r="H689" s="16">
        <v>33</v>
      </c>
      <c r="I689" s="16">
        <f>SUM(B689:H689)</f>
        <v>253</v>
      </c>
    </row>
    <row r="690" spans="1:10" x14ac:dyDescent="0.3">
      <c r="A690" s="15" t="s">
        <v>31</v>
      </c>
      <c r="B690" s="16">
        <v>7</v>
      </c>
      <c r="C690" s="16">
        <v>13</v>
      </c>
      <c r="D690" s="16">
        <v>8</v>
      </c>
      <c r="E690" s="16">
        <v>7</v>
      </c>
      <c r="F690" s="16">
        <v>14</v>
      </c>
      <c r="G690" s="16">
        <v>18</v>
      </c>
      <c r="H690" s="16">
        <v>22</v>
      </c>
      <c r="I690" s="16">
        <f t="shared" ref="I690:I694" si="97">SUM(B690:H690)</f>
        <v>89</v>
      </c>
    </row>
    <row r="691" spans="1:10" x14ac:dyDescent="0.3">
      <c r="A691" s="15" t="s">
        <v>13</v>
      </c>
      <c r="B691" s="16">
        <v>0</v>
      </c>
      <c r="C691" s="16">
        <v>0</v>
      </c>
      <c r="D691" s="16">
        <v>3</v>
      </c>
      <c r="E691" s="16">
        <v>0</v>
      </c>
      <c r="F691" s="16">
        <v>1</v>
      </c>
      <c r="G691" s="16">
        <v>0</v>
      </c>
      <c r="H691" s="16">
        <v>6</v>
      </c>
      <c r="I691" s="16">
        <f t="shared" si="97"/>
        <v>10</v>
      </c>
    </row>
    <row r="692" spans="1:10" x14ac:dyDescent="0.3">
      <c r="A692" s="15" t="s">
        <v>14</v>
      </c>
      <c r="B692" s="16">
        <v>0</v>
      </c>
      <c r="C692" s="16">
        <v>0</v>
      </c>
      <c r="D692" s="16">
        <v>0</v>
      </c>
      <c r="E692" s="16">
        <v>0</v>
      </c>
      <c r="F692" s="16">
        <v>0</v>
      </c>
      <c r="G692" s="16">
        <v>0</v>
      </c>
      <c r="H692" s="16">
        <v>0</v>
      </c>
      <c r="I692" s="16">
        <f t="shared" si="97"/>
        <v>0</v>
      </c>
    </row>
    <row r="693" spans="1:10" x14ac:dyDescent="0.3">
      <c r="A693" s="15" t="s">
        <v>32</v>
      </c>
      <c r="B693" s="16">
        <v>0</v>
      </c>
      <c r="C693" s="16">
        <v>0</v>
      </c>
      <c r="D693" s="16">
        <v>0</v>
      </c>
      <c r="E693" s="16">
        <v>0</v>
      </c>
      <c r="F693" s="16">
        <v>0</v>
      </c>
      <c r="G693" s="16">
        <v>0</v>
      </c>
      <c r="H693" s="16">
        <v>0</v>
      </c>
      <c r="I693" s="16">
        <f t="shared" si="97"/>
        <v>0</v>
      </c>
    </row>
    <row r="694" spans="1:10" x14ac:dyDescent="0.3">
      <c r="A694" s="15" t="s">
        <v>33</v>
      </c>
      <c r="B694" s="16">
        <v>0</v>
      </c>
      <c r="C694" s="16">
        <v>0</v>
      </c>
      <c r="D694" s="16">
        <v>0</v>
      </c>
      <c r="E694" s="16">
        <v>0</v>
      </c>
      <c r="F694" s="16">
        <v>0</v>
      </c>
      <c r="G694" s="16">
        <v>0</v>
      </c>
      <c r="H694" s="16">
        <v>0</v>
      </c>
      <c r="I694" s="16">
        <f t="shared" si="97"/>
        <v>0</v>
      </c>
    </row>
    <row r="695" spans="1:10" ht="19.5" thickBot="1" x14ac:dyDescent="0.35">
      <c r="A695" s="30" t="s">
        <v>15</v>
      </c>
      <c r="B695" s="31">
        <f t="shared" ref="B695:E695" si="98">(B686+B685)/B684*100%</f>
        <v>0.83333333333333337</v>
      </c>
      <c r="C695" s="31">
        <f t="shared" si="98"/>
        <v>0.86792452830188682</v>
      </c>
      <c r="D695" s="31">
        <f t="shared" si="98"/>
        <v>0.94339622641509435</v>
      </c>
      <c r="E695" s="31">
        <f t="shared" si="98"/>
        <v>0.43396226415094341</v>
      </c>
      <c r="F695" s="31">
        <f>(F686+F685)/F684*100%</f>
        <v>0.50943396226415094</v>
      </c>
      <c r="G695" s="31">
        <f t="shared" ref="G695:H695" si="99">(G686+G685)/G684*100%</f>
        <v>0.98148148148148151</v>
      </c>
      <c r="H695" s="31">
        <f t="shared" si="99"/>
        <v>0.66666666666666663</v>
      </c>
      <c r="I695" s="32">
        <f>(B695+C695+D695+E695+F695+G695+H695)/7</f>
        <v>0.74802835180193683</v>
      </c>
    </row>
    <row r="696" spans="1:10" x14ac:dyDescent="0.3">
      <c r="A696" s="33" t="s">
        <v>16</v>
      </c>
      <c r="B696" s="16"/>
      <c r="C696" s="17"/>
      <c r="D696" s="16"/>
      <c r="E696" s="18"/>
      <c r="F696" s="16"/>
      <c r="G696" s="16"/>
      <c r="H696" s="16"/>
      <c r="I696" s="16"/>
    </row>
    <row r="697" spans="1:10" x14ac:dyDescent="0.3">
      <c r="A697" s="15" t="s">
        <v>34</v>
      </c>
      <c r="B697" s="28">
        <v>3905.6874000000007</v>
      </c>
      <c r="C697" s="28">
        <v>3905.6873999999998</v>
      </c>
      <c r="D697" s="28">
        <v>6184.005000000001</v>
      </c>
      <c r="E697" s="28">
        <v>11359.039499999999</v>
      </c>
      <c r="F697" s="28">
        <v>15671.5705</v>
      </c>
      <c r="G697" s="28">
        <v>35232.554400000001</v>
      </c>
      <c r="H697" s="28">
        <v>21481.279999999999</v>
      </c>
      <c r="I697" s="19">
        <f>SUM(B697:H697)</f>
        <v>97739.824200000003</v>
      </c>
    </row>
    <row r="698" spans="1:10" x14ac:dyDescent="0.3">
      <c r="A698" s="15" t="s">
        <v>35</v>
      </c>
      <c r="B698" s="28">
        <v>15732.591399999999</v>
      </c>
      <c r="C698" s="28">
        <v>15610.536399999997</v>
      </c>
      <c r="D698" s="28">
        <v>15366.4414</v>
      </c>
      <c r="E698" s="28">
        <v>0</v>
      </c>
      <c r="F698" s="28">
        <v>0</v>
      </c>
      <c r="G698" s="28">
        <v>0</v>
      </c>
      <c r="H698" s="28">
        <v>0</v>
      </c>
      <c r="I698" s="19">
        <f>SUM(B698:H698)</f>
        <v>46709.569199999998</v>
      </c>
    </row>
    <row r="699" spans="1:10" ht="19.5" thickBot="1" x14ac:dyDescent="0.35">
      <c r="A699" s="15" t="s">
        <v>20</v>
      </c>
      <c r="B699" s="28">
        <v>8483.7191999999995</v>
      </c>
      <c r="C699" s="28">
        <v>6981.416400000001</v>
      </c>
      <c r="D699" s="28">
        <v>12839.944800000001</v>
      </c>
      <c r="E699" s="28">
        <v>14678.868</v>
      </c>
      <c r="F699" s="28">
        <v>20260.752</v>
      </c>
      <c r="G699" s="28">
        <v>74766.107999999993</v>
      </c>
      <c r="H699" s="28">
        <v>31505.88</v>
      </c>
      <c r="I699" s="19">
        <f>SUM(B699:H699)</f>
        <v>169516.68839999998</v>
      </c>
    </row>
    <row r="700" spans="1:10" x14ac:dyDescent="0.3">
      <c r="A700" s="55" t="s">
        <v>7</v>
      </c>
      <c r="B700" s="56">
        <f t="shared" ref="B700:I700" si="100">SUM(B697:B699)</f>
        <v>28121.998</v>
      </c>
      <c r="C700" s="56">
        <f t="shared" si="100"/>
        <v>26497.640199999998</v>
      </c>
      <c r="D700" s="56">
        <f>SUM(D697:D699)</f>
        <v>34390.391199999998</v>
      </c>
      <c r="E700" s="56">
        <f t="shared" si="100"/>
        <v>26037.907500000001</v>
      </c>
      <c r="F700" s="56">
        <f t="shared" si="100"/>
        <v>35932.322500000002</v>
      </c>
      <c r="G700" s="56">
        <f t="shared" si="100"/>
        <v>109998.6624</v>
      </c>
      <c r="H700" s="56">
        <f t="shared" si="100"/>
        <v>52987.16</v>
      </c>
      <c r="I700" s="56">
        <f t="shared" si="100"/>
        <v>313966.08179999999</v>
      </c>
      <c r="J700" s="46">
        <f>B700+C700+D700+I678+I655+I633+I611</f>
        <v>715656.7672</v>
      </c>
    </row>
    <row r="703" spans="1:10" x14ac:dyDescent="0.3">
      <c r="A703" s="4" t="s">
        <v>79</v>
      </c>
      <c r="B703" s="5" t="s">
        <v>0</v>
      </c>
      <c r="C703" s="5" t="s">
        <v>1</v>
      </c>
      <c r="D703" s="5" t="s">
        <v>2</v>
      </c>
      <c r="E703" s="6" t="s">
        <v>3</v>
      </c>
      <c r="F703" s="5" t="s">
        <v>4</v>
      </c>
      <c r="G703" s="5" t="s">
        <v>5</v>
      </c>
      <c r="H703" s="5" t="s">
        <v>6</v>
      </c>
      <c r="I703" s="5" t="s">
        <v>7</v>
      </c>
    </row>
    <row r="704" spans="1:10" x14ac:dyDescent="0.3">
      <c r="A704" s="7"/>
      <c r="B704" s="8">
        <v>45509</v>
      </c>
      <c r="C704" s="8">
        <v>45510</v>
      </c>
      <c r="D704" s="8">
        <v>45511</v>
      </c>
      <c r="E704" s="8">
        <v>45512</v>
      </c>
      <c r="F704" s="8">
        <v>45513</v>
      </c>
      <c r="G704" s="8">
        <v>45514</v>
      </c>
      <c r="H704" s="8">
        <v>45515</v>
      </c>
      <c r="I704" s="9"/>
    </row>
    <row r="705" spans="1:9" ht="19.5" thickBot="1" x14ac:dyDescent="0.35">
      <c r="A705" s="10" t="s">
        <v>8</v>
      </c>
      <c r="B705" s="11" t="s">
        <v>9</v>
      </c>
      <c r="C705" s="11" t="s">
        <v>9</v>
      </c>
      <c r="D705" s="11" t="s">
        <v>9</v>
      </c>
      <c r="E705" s="11" t="s">
        <v>9</v>
      </c>
      <c r="F705" s="11" t="s">
        <v>9</v>
      </c>
      <c r="G705" s="11" t="s">
        <v>9</v>
      </c>
      <c r="H705" s="43" t="s">
        <v>9</v>
      </c>
      <c r="I705" s="44" t="s">
        <v>9</v>
      </c>
    </row>
    <row r="706" spans="1:9" x14ac:dyDescent="0.3">
      <c r="A706" s="13" t="s">
        <v>10</v>
      </c>
      <c r="B706" s="14">
        <f>55-1</f>
        <v>54</v>
      </c>
      <c r="C706" s="14">
        <f>55-1</f>
        <v>54</v>
      </c>
      <c r="D706" s="14">
        <f>55-1</f>
        <v>54</v>
      </c>
      <c r="E706" s="14">
        <f>55-1</f>
        <v>54</v>
      </c>
      <c r="F706" s="14">
        <v>54</v>
      </c>
      <c r="G706" s="14">
        <v>54</v>
      </c>
      <c r="H706" s="14">
        <v>54</v>
      </c>
      <c r="I706" s="16"/>
    </row>
    <row r="707" spans="1:9" x14ac:dyDescent="0.3">
      <c r="A707" s="15" t="s">
        <v>11</v>
      </c>
      <c r="B707" s="16">
        <v>2</v>
      </c>
      <c r="C707" s="16">
        <v>2</v>
      </c>
      <c r="D707" s="16">
        <v>2</v>
      </c>
      <c r="E707" s="16">
        <v>2</v>
      </c>
      <c r="F707" s="16">
        <v>2</v>
      </c>
      <c r="G707" s="16">
        <v>1</v>
      </c>
      <c r="H707" s="16">
        <v>1</v>
      </c>
      <c r="I707" s="16">
        <f>SUM(B707:H707)</f>
        <v>12</v>
      </c>
    </row>
    <row r="708" spans="1:9" x14ac:dyDescent="0.3">
      <c r="A708" s="15" t="s">
        <v>12</v>
      </c>
      <c r="B708" s="16">
        <v>35</v>
      </c>
      <c r="C708" s="16">
        <v>38</v>
      </c>
      <c r="D708" s="16">
        <v>20</v>
      </c>
      <c r="E708" s="16">
        <v>15</v>
      </c>
      <c r="F708" s="16">
        <v>30</v>
      </c>
      <c r="G708" s="16">
        <v>34</v>
      </c>
      <c r="H708" s="16">
        <v>24</v>
      </c>
      <c r="I708" s="16">
        <f>SUM(B708:H708)</f>
        <v>196</v>
      </c>
    </row>
    <row r="709" spans="1:9" x14ac:dyDescent="0.3">
      <c r="A709" s="15" t="s">
        <v>30</v>
      </c>
      <c r="B709" s="16">
        <v>0</v>
      </c>
      <c r="C709" s="16">
        <v>0</v>
      </c>
      <c r="D709" s="16">
        <v>0</v>
      </c>
      <c r="E709" s="16">
        <v>0</v>
      </c>
      <c r="F709" s="16">
        <v>0</v>
      </c>
      <c r="G709" s="16">
        <v>0</v>
      </c>
      <c r="H709" s="16">
        <v>0</v>
      </c>
      <c r="I709" s="16">
        <f>SUM(B709:H709)</f>
        <v>0</v>
      </c>
    </row>
    <row r="710" spans="1:9" x14ac:dyDescent="0.3">
      <c r="A710" s="15" t="s">
        <v>28</v>
      </c>
      <c r="B710" s="16">
        <v>176</v>
      </c>
      <c r="C710" s="16">
        <v>59</v>
      </c>
      <c r="D710" s="16">
        <v>44</v>
      </c>
      <c r="E710" s="16">
        <v>70</v>
      </c>
      <c r="F710" s="16">
        <v>74</v>
      </c>
      <c r="G710" s="16">
        <v>188</v>
      </c>
      <c r="H710" s="16">
        <v>114</v>
      </c>
      <c r="I710" s="16">
        <f>SUM(B710:H710)</f>
        <v>725</v>
      </c>
    </row>
    <row r="711" spans="1:9" x14ac:dyDescent="0.3">
      <c r="A711" s="15" t="s">
        <v>29</v>
      </c>
      <c r="B711" s="16">
        <v>52</v>
      </c>
      <c r="C711" s="16">
        <v>15</v>
      </c>
      <c r="D711" s="16">
        <v>13</v>
      </c>
      <c r="E711" s="16">
        <v>22</v>
      </c>
      <c r="F711" s="16">
        <v>24</v>
      </c>
      <c r="G711" s="16">
        <v>40</v>
      </c>
      <c r="H711" s="16">
        <v>20</v>
      </c>
      <c r="I711" s="16">
        <f>SUM(B711:H711)</f>
        <v>186</v>
      </c>
    </row>
    <row r="712" spans="1:9" x14ac:dyDescent="0.3">
      <c r="A712" s="15" t="s">
        <v>31</v>
      </c>
      <c r="B712" s="16">
        <v>36</v>
      </c>
      <c r="C712" s="16">
        <v>11</v>
      </c>
      <c r="D712" s="16">
        <v>21</v>
      </c>
      <c r="E712" s="16">
        <v>25</v>
      </c>
      <c r="F712" s="16">
        <v>8</v>
      </c>
      <c r="G712" s="16">
        <v>29</v>
      </c>
      <c r="H712" s="16">
        <v>8</v>
      </c>
      <c r="I712" s="16">
        <f t="shared" ref="I712:I716" si="101">SUM(B712:H712)</f>
        <v>138</v>
      </c>
    </row>
    <row r="713" spans="1:9" x14ac:dyDescent="0.3">
      <c r="A713" s="15" t="s">
        <v>13</v>
      </c>
      <c r="B713" s="16">
        <v>6</v>
      </c>
      <c r="C713" s="16">
        <v>3</v>
      </c>
      <c r="D713" s="16">
        <v>1</v>
      </c>
      <c r="E713" s="16">
        <v>0</v>
      </c>
      <c r="F713" s="16">
        <v>5</v>
      </c>
      <c r="G713" s="16">
        <v>0</v>
      </c>
      <c r="H713" s="16">
        <v>0</v>
      </c>
      <c r="I713" s="16">
        <f t="shared" si="101"/>
        <v>15</v>
      </c>
    </row>
    <row r="714" spans="1:9" x14ac:dyDescent="0.3">
      <c r="A714" s="15" t="s">
        <v>14</v>
      </c>
      <c r="B714" s="16">
        <v>0</v>
      </c>
      <c r="C714" s="16">
        <v>0</v>
      </c>
      <c r="D714" s="16">
        <v>0</v>
      </c>
      <c r="E714" s="16">
        <v>0</v>
      </c>
      <c r="F714" s="16">
        <v>0</v>
      </c>
      <c r="G714" s="16">
        <v>0</v>
      </c>
      <c r="H714" s="16">
        <v>0</v>
      </c>
      <c r="I714" s="16">
        <f t="shared" si="101"/>
        <v>0</v>
      </c>
    </row>
    <row r="715" spans="1:9" x14ac:dyDescent="0.3">
      <c r="A715" s="15" t="s">
        <v>32</v>
      </c>
      <c r="B715" s="16">
        <v>0</v>
      </c>
      <c r="C715" s="16">
        <v>0</v>
      </c>
      <c r="D715" s="16">
        <v>0</v>
      </c>
      <c r="E715" s="16">
        <v>0</v>
      </c>
      <c r="F715" s="16">
        <v>0</v>
      </c>
      <c r="G715" s="16">
        <v>0</v>
      </c>
      <c r="H715" s="16">
        <v>0</v>
      </c>
      <c r="I715" s="16">
        <f t="shared" si="101"/>
        <v>0</v>
      </c>
    </row>
    <row r="716" spans="1:9" x14ac:dyDescent="0.3">
      <c r="A716" s="15" t="s">
        <v>33</v>
      </c>
      <c r="B716" s="16">
        <v>0</v>
      </c>
      <c r="C716" s="16">
        <v>0</v>
      </c>
      <c r="D716" s="16">
        <v>0</v>
      </c>
      <c r="E716" s="16">
        <v>0</v>
      </c>
      <c r="F716" s="16">
        <v>0</v>
      </c>
      <c r="G716" s="16">
        <v>0</v>
      </c>
      <c r="H716" s="16">
        <v>0</v>
      </c>
      <c r="I716" s="16">
        <f t="shared" si="101"/>
        <v>0</v>
      </c>
    </row>
    <row r="717" spans="1:9" ht="19.5" thickBot="1" x14ac:dyDescent="0.35">
      <c r="A717" s="30" t="s">
        <v>15</v>
      </c>
      <c r="B717" s="31">
        <f t="shared" ref="B717:H717" si="102">(B708+B707)/B706*100%</f>
        <v>0.68518518518518523</v>
      </c>
      <c r="C717" s="31">
        <f t="shared" si="102"/>
        <v>0.7407407407407407</v>
      </c>
      <c r="D717" s="31">
        <f t="shared" si="102"/>
        <v>0.40740740740740738</v>
      </c>
      <c r="E717" s="31">
        <f t="shared" si="102"/>
        <v>0.31481481481481483</v>
      </c>
      <c r="F717" s="31">
        <f t="shared" si="102"/>
        <v>0.59259259259259256</v>
      </c>
      <c r="G717" s="31">
        <f t="shared" si="102"/>
        <v>0.64814814814814814</v>
      </c>
      <c r="H717" s="31">
        <f t="shared" si="102"/>
        <v>0.46296296296296297</v>
      </c>
      <c r="I717" s="32">
        <f>(B717+C717+D717+E717+F717+G717+H717)/7</f>
        <v>0.55026455026455035</v>
      </c>
    </row>
    <row r="718" spans="1:9" x14ac:dyDescent="0.3">
      <c r="A718" s="33" t="s">
        <v>16</v>
      </c>
      <c r="B718" s="16"/>
      <c r="C718" s="17"/>
      <c r="D718" s="16"/>
      <c r="E718" s="18"/>
      <c r="F718" s="16"/>
      <c r="G718" s="16"/>
      <c r="H718" s="16"/>
      <c r="I718" s="16"/>
    </row>
    <row r="719" spans="1:9" x14ac:dyDescent="0.3">
      <c r="A719" s="15" t="s">
        <v>34</v>
      </c>
      <c r="B719" s="28">
        <v>6753.5834000000004</v>
      </c>
      <c r="C719" s="28">
        <v>10252.429</v>
      </c>
      <c r="D719" s="28">
        <v>15660.112700000001</v>
      </c>
      <c r="E719" s="28">
        <v>9458.33</v>
      </c>
      <c r="F719" s="28">
        <v>5908.9790000000003</v>
      </c>
      <c r="G719" s="28">
        <v>8179.152000000001</v>
      </c>
      <c r="H719" s="28">
        <v>9520.1090000000004</v>
      </c>
      <c r="I719" s="19">
        <f>SUM(B719:H719)</f>
        <v>65732.695099999997</v>
      </c>
    </row>
    <row r="720" spans="1:9" x14ac:dyDescent="0.3">
      <c r="A720" s="15" t="s">
        <v>35</v>
      </c>
      <c r="B720" s="28">
        <v>9844.3081999999995</v>
      </c>
      <c r="C720" s="28">
        <v>9600.1767999999993</v>
      </c>
      <c r="D720" s="28">
        <v>0</v>
      </c>
      <c r="E720" s="28">
        <v>0</v>
      </c>
      <c r="F720" s="28">
        <v>7518.4500000000007</v>
      </c>
      <c r="G720" s="28">
        <v>8055.4820000000009</v>
      </c>
      <c r="H720" s="28">
        <v>4802.3690000000006</v>
      </c>
      <c r="I720" s="19">
        <f>SUM(B720:H720)</f>
        <v>39820.786</v>
      </c>
    </row>
    <row r="721" spans="1:11" ht="19.5" thickBot="1" x14ac:dyDescent="0.35">
      <c r="A721" s="15" t="s">
        <v>20</v>
      </c>
      <c r="B721" s="28">
        <v>43120.4136</v>
      </c>
      <c r="C721" s="28">
        <v>13729.304000000002</v>
      </c>
      <c r="D721" s="28">
        <v>12669.07</v>
      </c>
      <c r="E721" s="28">
        <v>19447.074799999999</v>
      </c>
      <c r="F721" s="28">
        <v>19089.048000000003</v>
      </c>
      <c r="G721" s="28">
        <v>45154.628000000004</v>
      </c>
      <c r="H721" s="28">
        <v>17981.164000000001</v>
      </c>
      <c r="I721" s="19">
        <f>SUM(B721:H721)</f>
        <v>171190.70240000001</v>
      </c>
    </row>
    <row r="722" spans="1:11" x14ac:dyDescent="0.3">
      <c r="A722" s="55" t="s">
        <v>7</v>
      </c>
      <c r="B722" s="56">
        <f t="shared" ref="B722:I722" si="103">SUM(B719:B721)</f>
        <v>59718.305200000003</v>
      </c>
      <c r="C722" s="56">
        <f t="shared" si="103"/>
        <v>33581.909800000001</v>
      </c>
      <c r="D722" s="56">
        <f t="shared" si="103"/>
        <v>28329.182700000001</v>
      </c>
      <c r="E722" s="56">
        <f t="shared" si="103"/>
        <v>28905.404799999997</v>
      </c>
      <c r="F722" s="56">
        <f t="shared" si="103"/>
        <v>32516.477000000003</v>
      </c>
      <c r="G722" s="56">
        <f t="shared" si="103"/>
        <v>61389.262000000002</v>
      </c>
      <c r="H722" s="56">
        <f t="shared" si="103"/>
        <v>32303.642</v>
      </c>
      <c r="I722" s="56">
        <f t="shared" si="103"/>
        <v>276744.18350000004</v>
      </c>
    </row>
    <row r="724" spans="1:11" x14ac:dyDescent="0.3">
      <c r="A724" s="4" t="s">
        <v>80</v>
      </c>
      <c r="B724" s="5" t="s">
        <v>0</v>
      </c>
      <c r="C724" s="5" t="s">
        <v>1</v>
      </c>
      <c r="D724" s="5" t="s">
        <v>2</v>
      </c>
      <c r="E724" s="6" t="s">
        <v>3</v>
      </c>
      <c r="F724" s="5" t="s">
        <v>4</v>
      </c>
      <c r="G724" s="5" t="s">
        <v>5</v>
      </c>
      <c r="H724" s="5" t="s">
        <v>6</v>
      </c>
      <c r="I724" s="5" t="s">
        <v>7</v>
      </c>
    </row>
    <row r="725" spans="1:11" x14ac:dyDescent="0.3">
      <c r="A725" s="7"/>
      <c r="B725" s="8">
        <v>45516</v>
      </c>
      <c r="C725" s="8">
        <v>45517</v>
      </c>
      <c r="D725" s="8">
        <v>45518</v>
      </c>
      <c r="E725" s="8">
        <v>45519</v>
      </c>
      <c r="F725" s="8">
        <v>45520</v>
      </c>
      <c r="G725" s="8">
        <v>45521</v>
      </c>
      <c r="H725" s="8">
        <v>45522</v>
      </c>
      <c r="I725" s="9"/>
    </row>
    <row r="726" spans="1:11" ht="19.5" thickBot="1" x14ac:dyDescent="0.35">
      <c r="A726" s="10" t="s">
        <v>8</v>
      </c>
      <c r="B726" s="11" t="s">
        <v>9</v>
      </c>
      <c r="C726" s="11" t="s">
        <v>9</v>
      </c>
      <c r="D726" s="11" t="s">
        <v>9</v>
      </c>
      <c r="E726" s="11" t="s">
        <v>9</v>
      </c>
      <c r="F726" s="11" t="s">
        <v>9</v>
      </c>
      <c r="G726" s="11" t="s">
        <v>9</v>
      </c>
      <c r="H726" s="43" t="s">
        <v>9</v>
      </c>
      <c r="I726" s="44" t="s">
        <v>9</v>
      </c>
    </row>
    <row r="727" spans="1:11" x14ac:dyDescent="0.3">
      <c r="A727" s="13" t="s">
        <v>10</v>
      </c>
      <c r="B727" s="14">
        <v>52</v>
      </c>
      <c r="C727" s="14">
        <v>51</v>
      </c>
      <c r="D727" s="14">
        <v>51</v>
      </c>
      <c r="E727" s="14">
        <v>51</v>
      </c>
      <c r="F727" s="14">
        <v>53</v>
      </c>
      <c r="G727" s="14">
        <v>53</v>
      </c>
      <c r="H727" s="14">
        <v>53</v>
      </c>
      <c r="I727" s="16"/>
    </row>
    <row r="728" spans="1:11" x14ac:dyDescent="0.3">
      <c r="A728" s="15" t="s">
        <v>11</v>
      </c>
      <c r="B728" s="16">
        <v>1</v>
      </c>
      <c r="C728" s="16">
        <v>2</v>
      </c>
      <c r="D728" s="16">
        <v>4</v>
      </c>
      <c r="E728" s="16">
        <v>2</v>
      </c>
      <c r="F728" s="16">
        <v>3</v>
      </c>
      <c r="G728" s="16">
        <v>2</v>
      </c>
      <c r="H728" s="16">
        <v>2</v>
      </c>
      <c r="I728" s="16">
        <f>SUM(B728:H728)</f>
        <v>16</v>
      </c>
    </row>
    <row r="729" spans="1:11" x14ac:dyDescent="0.3">
      <c r="A729" s="15" t="s">
        <v>12</v>
      </c>
      <c r="B729" s="16">
        <v>30</v>
      </c>
      <c r="C729" s="16">
        <v>27</v>
      </c>
      <c r="D729" s="16">
        <v>13</v>
      </c>
      <c r="E729" s="16">
        <v>19</v>
      </c>
      <c r="F729" s="16">
        <v>20</v>
      </c>
      <c r="G729" s="16">
        <v>22</v>
      </c>
      <c r="H729" s="16">
        <v>18</v>
      </c>
      <c r="I729" s="16">
        <f>SUM(B729:H729)</f>
        <v>149</v>
      </c>
    </row>
    <row r="730" spans="1:11" x14ac:dyDescent="0.3">
      <c r="A730" s="15" t="s">
        <v>30</v>
      </c>
      <c r="B730" s="16">
        <v>0</v>
      </c>
      <c r="C730" s="16">
        <v>0</v>
      </c>
      <c r="D730" s="16">
        <v>0</v>
      </c>
      <c r="E730" s="16">
        <v>2</v>
      </c>
      <c r="F730" s="16">
        <v>1</v>
      </c>
      <c r="G730" s="16">
        <v>0</v>
      </c>
      <c r="H730" s="16">
        <v>0</v>
      </c>
      <c r="I730" s="16">
        <f>SUM(B730:H730)</f>
        <v>3</v>
      </c>
    </row>
    <row r="731" spans="1:11" x14ac:dyDescent="0.3">
      <c r="A731" s="15" t="s">
        <v>28</v>
      </c>
      <c r="B731" s="16">
        <v>54</v>
      </c>
      <c r="C731" s="16">
        <v>56</v>
      </c>
      <c r="D731" s="16">
        <v>39</v>
      </c>
      <c r="E731" s="16">
        <v>21</v>
      </c>
      <c r="F731" s="16">
        <v>79</v>
      </c>
      <c r="G731" s="16">
        <v>366</v>
      </c>
      <c r="H731" s="16">
        <v>59</v>
      </c>
      <c r="I731" s="16">
        <f>SUM(B731:H731)</f>
        <v>674</v>
      </c>
    </row>
    <row r="732" spans="1:11" x14ac:dyDescent="0.3">
      <c r="A732" s="15" t="s">
        <v>29</v>
      </c>
      <c r="B732" s="16">
        <v>9</v>
      </c>
      <c r="C732" s="16">
        <v>14</v>
      </c>
      <c r="D732" s="16">
        <v>9</v>
      </c>
      <c r="E732" s="16">
        <v>9</v>
      </c>
      <c r="F732" s="16">
        <v>27</v>
      </c>
      <c r="G732" s="16">
        <v>71</v>
      </c>
      <c r="H732" s="16">
        <v>13</v>
      </c>
      <c r="I732" s="16">
        <f>SUM(B732:H732)</f>
        <v>152</v>
      </c>
    </row>
    <row r="733" spans="1:11" x14ac:dyDescent="0.3">
      <c r="A733" s="15" t="s">
        <v>31</v>
      </c>
      <c r="B733" s="16">
        <v>7</v>
      </c>
      <c r="C733" s="16">
        <v>0</v>
      </c>
      <c r="D733" s="16">
        <v>16</v>
      </c>
      <c r="E733" s="16">
        <v>4</v>
      </c>
      <c r="F733" s="16">
        <v>65</v>
      </c>
      <c r="G733" s="16">
        <v>31</v>
      </c>
      <c r="H733" s="16">
        <v>10</v>
      </c>
      <c r="I733" s="16">
        <f t="shared" ref="I733:I737" si="104">SUM(B733:H733)</f>
        <v>133</v>
      </c>
    </row>
    <row r="734" spans="1:11" x14ac:dyDescent="0.3">
      <c r="A734" s="15" t="s">
        <v>13</v>
      </c>
      <c r="B734" s="16">
        <v>0</v>
      </c>
      <c r="C734" s="16">
        <v>11</v>
      </c>
      <c r="D734" s="16">
        <v>3</v>
      </c>
      <c r="E734" s="16">
        <v>2</v>
      </c>
      <c r="F734" s="16">
        <v>2</v>
      </c>
      <c r="G734" s="16">
        <v>1</v>
      </c>
      <c r="H734" s="16">
        <v>3</v>
      </c>
      <c r="I734" s="16">
        <f t="shared" si="104"/>
        <v>22</v>
      </c>
      <c r="K734" s="29">
        <f>310000-I743</f>
        <v>49832.896999999997</v>
      </c>
    </row>
    <row r="735" spans="1:11" x14ac:dyDescent="0.3">
      <c r="A735" s="15" t="s">
        <v>14</v>
      </c>
      <c r="B735" s="16">
        <v>0</v>
      </c>
      <c r="C735" s="16">
        <v>0</v>
      </c>
      <c r="D735" s="16">
        <v>0</v>
      </c>
      <c r="E735" s="16">
        <v>0</v>
      </c>
      <c r="F735" s="16">
        <v>0</v>
      </c>
      <c r="G735" s="16">
        <v>0</v>
      </c>
      <c r="H735" s="16">
        <v>0</v>
      </c>
      <c r="I735" s="16">
        <f t="shared" si="104"/>
        <v>0</v>
      </c>
    </row>
    <row r="736" spans="1:11" x14ac:dyDescent="0.3">
      <c r="A736" s="15" t="s">
        <v>32</v>
      </c>
      <c r="B736" s="16">
        <v>0</v>
      </c>
      <c r="C736" s="16">
        <v>0</v>
      </c>
      <c r="D736" s="16">
        <v>0</v>
      </c>
      <c r="E736" s="16">
        <v>0</v>
      </c>
      <c r="F736" s="16">
        <v>0</v>
      </c>
      <c r="G736" s="16">
        <v>0</v>
      </c>
      <c r="H736" s="16">
        <v>0</v>
      </c>
      <c r="I736" s="16">
        <f t="shared" si="104"/>
        <v>0</v>
      </c>
    </row>
    <row r="737" spans="1:10" x14ac:dyDescent="0.3">
      <c r="A737" s="15" t="s">
        <v>33</v>
      </c>
      <c r="B737" s="16">
        <v>0</v>
      </c>
      <c r="C737" s="16">
        <v>0</v>
      </c>
      <c r="D737" s="16">
        <v>0</v>
      </c>
      <c r="E737" s="16">
        <v>0</v>
      </c>
      <c r="F737" s="16">
        <v>0</v>
      </c>
      <c r="G737" s="16">
        <v>0</v>
      </c>
      <c r="H737" s="16">
        <v>0</v>
      </c>
      <c r="I737" s="16">
        <f t="shared" si="104"/>
        <v>0</v>
      </c>
    </row>
    <row r="738" spans="1:10" ht="19.5" thickBot="1" x14ac:dyDescent="0.35">
      <c r="A738" s="30" t="s">
        <v>15</v>
      </c>
      <c r="B738" s="31">
        <f t="shared" ref="B738:H738" si="105">(B729+B728)/B727*100%</f>
        <v>0.59615384615384615</v>
      </c>
      <c r="C738" s="31">
        <f t="shared" si="105"/>
        <v>0.56862745098039214</v>
      </c>
      <c r="D738" s="31">
        <f t="shared" si="105"/>
        <v>0.33333333333333331</v>
      </c>
      <c r="E738" s="31">
        <f t="shared" si="105"/>
        <v>0.41176470588235292</v>
      </c>
      <c r="F738" s="31">
        <f t="shared" si="105"/>
        <v>0.43396226415094341</v>
      </c>
      <c r="G738" s="31">
        <f t="shared" si="105"/>
        <v>0.45283018867924529</v>
      </c>
      <c r="H738" s="31">
        <f t="shared" si="105"/>
        <v>0.37735849056603776</v>
      </c>
      <c r="I738" s="32">
        <f>(B738+C738+D738+E738+F738+G738+H738)/7</f>
        <v>0.45343289710659296</v>
      </c>
    </row>
    <row r="739" spans="1:10" x14ac:dyDescent="0.3">
      <c r="A739" s="67" t="s">
        <v>16</v>
      </c>
      <c r="B739" s="16"/>
      <c r="C739" s="17"/>
      <c r="D739" s="16"/>
      <c r="E739" s="18"/>
      <c r="F739" s="16"/>
      <c r="G739" s="16"/>
      <c r="H739" s="16"/>
      <c r="I739" s="16"/>
    </row>
    <row r="740" spans="1:10" x14ac:dyDescent="0.3">
      <c r="A740" s="15" t="s">
        <v>34</v>
      </c>
      <c r="B740" s="28">
        <v>13598.297</v>
      </c>
      <c r="C740" s="28">
        <v>9814.6649999999991</v>
      </c>
      <c r="D740" s="28">
        <v>4932.5640000000003</v>
      </c>
      <c r="E740" s="28">
        <v>11635.692999999999</v>
      </c>
      <c r="F740" s="28">
        <v>15922.913</v>
      </c>
      <c r="G740" s="28">
        <v>19300.604000000003</v>
      </c>
      <c r="H740" s="28">
        <v>5948.4629999999997</v>
      </c>
      <c r="I740" s="19">
        <f>SUM(B740:H740)</f>
        <v>81153.199000000008</v>
      </c>
      <c r="J740" s="29">
        <f t="shared" ref="J740:J742" si="106">I719-I740</f>
        <v>-15420.503900000011</v>
      </c>
    </row>
    <row r="741" spans="1:10" x14ac:dyDescent="0.3">
      <c r="A741" s="15" t="s">
        <v>35</v>
      </c>
      <c r="B741" s="28">
        <v>6800.1260000000002</v>
      </c>
      <c r="C741" s="28">
        <v>6995.4100000000008</v>
      </c>
      <c r="D741" s="28">
        <v>400</v>
      </c>
      <c r="E741" s="28">
        <v>0</v>
      </c>
      <c r="F741" s="28">
        <v>0</v>
      </c>
      <c r="G741" s="28">
        <v>0</v>
      </c>
      <c r="H741" s="28">
        <v>4139.7160000000003</v>
      </c>
      <c r="I741" s="19">
        <f>SUM(B741:H741)</f>
        <v>18335.252</v>
      </c>
      <c r="J741" s="29">
        <f t="shared" si="106"/>
        <v>21485.534</v>
      </c>
    </row>
    <row r="742" spans="1:10" ht="19.5" thickBot="1" x14ac:dyDescent="0.35">
      <c r="A742" s="15" t="s">
        <v>20</v>
      </c>
      <c r="B742" s="28">
        <v>12335.460000000001</v>
      </c>
      <c r="C742" s="28">
        <v>12443.184000000001</v>
      </c>
      <c r="D742" s="28">
        <v>10553.496000000001</v>
      </c>
      <c r="E742" s="28">
        <v>5793.4360000000006</v>
      </c>
      <c r="F742" s="28">
        <v>26249.471999999998</v>
      </c>
      <c r="G742" s="28">
        <v>78561.26400000001</v>
      </c>
      <c r="H742" s="28">
        <v>14742.34</v>
      </c>
      <c r="I742" s="19">
        <f>SUM(B742:H742)</f>
        <v>160678.652</v>
      </c>
      <c r="J742" s="29">
        <f t="shared" si="106"/>
        <v>10512.050400000007</v>
      </c>
    </row>
    <row r="743" spans="1:10" x14ac:dyDescent="0.3">
      <c r="A743" s="55" t="s">
        <v>7</v>
      </c>
      <c r="B743" s="56">
        <f t="shared" ref="B743:I743" si="107">SUM(B740:B742)</f>
        <v>32733.883000000002</v>
      </c>
      <c r="C743" s="56">
        <f t="shared" si="107"/>
        <v>29253.259000000002</v>
      </c>
      <c r="D743" s="56">
        <f t="shared" si="107"/>
        <v>15886.060000000001</v>
      </c>
      <c r="E743" s="56">
        <f t="shared" si="107"/>
        <v>17429.129000000001</v>
      </c>
      <c r="F743" s="56">
        <f t="shared" si="107"/>
        <v>42172.384999999995</v>
      </c>
      <c r="G743" s="56">
        <f t="shared" si="107"/>
        <v>97861.868000000017</v>
      </c>
      <c r="H743" s="56">
        <f t="shared" si="107"/>
        <v>24830.519</v>
      </c>
      <c r="I743" s="56">
        <f t="shared" si="107"/>
        <v>260167.103</v>
      </c>
      <c r="J743" s="29">
        <f>I722-I743</f>
        <v>16577.08050000004</v>
      </c>
    </row>
    <row r="746" spans="1:10" x14ac:dyDescent="0.3">
      <c r="A746" s="4" t="s">
        <v>81</v>
      </c>
      <c r="B746" s="5" t="s">
        <v>0</v>
      </c>
      <c r="C746" s="5" t="s">
        <v>1</v>
      </c>
      <c r="D746" s="5" t="s">
        <v>2</v>
      </c>
      <c r="E746" s="6" t="s">
        <v>3</v>
      </c>
      <c r="F746" s="5" t="s">
        <v>4</v>
      </c>
      <c r="G746" s="5" t="s">
        <v>5</v>
      </c>
      <c r="H746" s="5" t="s">
        <v>6</v>
      </c>
      <c r="I746" s="5" t="s">
        <v>7</v>
      </c>
    </row>
    <row r="747" spans="1:10" x14ac:dyDescent="0.3">
      <c r="A747" s="7"/>
      <c r="B747" s="8">
        <v>45523</v>
      </c>
      <c r="C747" s="8">
        <v>45524</v>
      </c>
      <c r="D747" s="8">
        <v>45525</v>
      </c>
      <c r="E747" s="8">
        <v>45526</v>
      </c>
      <c r="F747" s="8">
        <v>45527</v>
      </c>
      <c r="G747" s="8">
        <v>45528</v>
      </c>
      <c r="H747" s="8">
        <v>45529</v>
      </c>
      <c r="I747" s="9"/>
    </row>
    <row r="748" spans="1:10" ht="19.5" thickBot="1" x14ac:dyDescent="0.35">
      <c r="A748" s="10" t="s">
        <v>8</v>
      </c>
      <c r="B748" s="11" t="s">
        <v>9</v>
      </c>
      <c r="C748" s="11" t="s">
        <v>9</v>
      </c>
      <c r="D748" s="11" t="s">
        <v>9</v>
      </c>
      <c r="E748" s="11" t="s">
        <v>9</v>
      </c>
      <c r="F748" s="11" t="s">
        <v>9</v>
      </c>
      <c r="G748" s="11" t="s">
        <v>9</v>
      </c>
      <c r="H748" s="43" t="s">
        <v>9</v>
      </c>
      <c r="I748" s="44" t="s">
        <v>9</v>
      </c>
    </row>
    <row r="749" spans="1:10" x14ac:dyDescent="0.3">
      <c r="A749" s="13" t="s">
        <v>10</v>
      </c>
      <c r="B749" s="14">
        <v>53</v>
      </c>
      <c r="C749" s="14">
        <v>53</v>
      </c>
      <c r="D749" s="14">
        <v>53</v>
      </c>
      <c r="E749" s="14">
        <v>53</v>
      </c>
      <c r="F749" s="14">
        <v>53</v>
      </c>
      <c r="G749" s="14">
        <v>53</v>
      </c>
      <c r="H749" s="14">
        <v>54</v>
      </c>
      <c r="I749" s="16"/>
    </row>
    <row r="750" spans="1:10" x14ac:dyDescent="0.3">
      <c r="A750" s="15" t="s">
        <v>11</v>
      </c>
      <c r="B750" s="16">
        <v>2</v>
      </c>
      <c r="C750" s="16">
        <v>2</v>
      </c>
      <c r="D750" s="16">
        <v>3</v>
      </c>
      <c r="E750" s="16">
        <v>2</v>
      </c>
      <c r="F750" s="16">
        <v>1</v>
      </c>
      <c r="G750" s="16">
        <v>2</v>
      </c>
      <c r="H750" s="16">
        <v>2</v>
      </c>
      <c r="I750" s="16">
        <f>SUM(B750:H750)</f>
        <v>14</v>
      </c>
    </row>
    <row r="751" spans="1:10" x14ac:dyDescent="0.3">
      <c r="A751" s="15" t="s">
        <v>12</v>
      </c>
      <c r="B751" s="16">
        <v>16</v>
      </c>
      <c r="C751" s="16">
        <v>35</v>
      </c>
      <c r="D751" s="16">
        <v>43</v>
      </c>
      <c r="E751" s="16">
        <v>43</v>
      </c>
      <c r="F751" s="16">
        <v>43</v>
      </c>
      <c r="G751" s="16">
        <v>34</v>
      </c>
      <c r="H751" s="16">
        <v>34</v>
      </c>
      <c r="I751" s="16">
        <f>SUM(B751:H751)</f>
        <v>248</v>
      </c>
    </row>
    <row r="752" spans="1:10" x14ac:dyDescent="0.3">
      <c r="A752" s="15" t="s">
        <v>30</v>
      </c>
      <c r="B752" s="16">
        <v>0</v>
      </c>
      <c r="C752" s="16">
        <v>0</v>
      </c>
      <c r="D752" s="16">
        <v>0</v>
      </c>
      <c r="E752" s="16">
        <v>0</v>
      </c>
      <c r="F752" s="16">
        <v>0</v>
      </c>
      <c r="G752" s="16">
        <v>0</v>
      </c>
      <c r="H752" s="16">
        <v>0</v>
      </c>
      <c r="I752" s="16">
        <f>SUM(B752:H752)</f>
        <v>0</v>
      </c>
    </row>
    <row r="753" spans="1:10" x14ac:dyDescent="0.3">
      <c r="A753" s="15" t="s">
        <v>28</v>
      </c>
      <c r="B753" s="16">
        <v>52</v>
      </c>
      <c r="C753" s="16">
        <v>51</v>
      </c>
      <c r="D753" s="16">
        <v>58</v>
      </c>
      <c r="E753" s="16">
        <v>66</v>
      </c>
      <c r="F753" s="16">
        <v>134</v>
      </c>
      <c r="G753" s="16">
        <v>138</v>
      </c>
      <c r="H753" s="16">
        <v>64</v>
      </c>
      <c r="I753" s="16">
        <f>SUM(B753:H753)</f>
        <v>563</v>
      </c>
    </row>
    <row r="754" spans="1:10" x14ac:dyDescent="0.3">
      <c r="A754" s="15" t="s">
        <v>29</v>
      </c>
      <c r="B754" s="16">
        <v>11</v>
      </c>
      <c r="C754" s="16">
        <v>14</v>
      </c>
      <c r="D754" s="16">
        <v>9</v>
      </c>
      <c r="E754" s="16">
        <v>28</v>
      </c>
      <c r="F754" s="16">
        <v>33</v>
      </c>
      <c r="G754" s="16">
        <v>33</v>
      </c>
      <c r="H754" s="16">
        <v>20</v>
      </c>
      <c r="I754" s="16">
        <f>SUM(B754:H754)</f>
        <v>148</v>
      </c>
    </row>
    <row r="755" spans="1:10" x14ac:dyDescent="0.3">
      <c r="A755" s="15" t="s">
        <v>31</v>
      </c>
      <c r="B755" s="16">
        <v>10</v>
      </c>
      <c r="C755" s="16">
        <v>3</v>
      </c>
      <c r="D755" s="16">
        <v>4</v>
      </c>
      <c r="E755" s="16">
        <v>8</v>
      </c>
      <c r="F755" s="16">
        <v>8</v>
      </c>
      <c r="G755" s="16">
        <v>18</v>
      </c>
      <c r="H755" s="16">
        <v>12</v>
      </c>
      <c r="I755" s="16">
        <f t="shared" ref="I755:I759" si="108">SUM(B755:H755)</f>
        <v>63</v>
      </c>
    </row>
    <row r="756" spans="1:10" x14ac:dyDescent="0.3">
      <c r="A756" s="15" t="s">
        <v>13</v>
      </c>
      <c r="B756" s="16">
        <v>0</v>
      </c>
      <c r="C756" s="16">
        <v>1</v>
      </c>
      <c r="D756" s="16">
        <v>3</v>
      </c>
      <c r="E756" s="16">
        <v>0</v>
      </c>
      <c r="F756" s="16">
        <v>5</v>
      </c>
      <c r="G756" s="16">
        <v>0</v>
      </c>
      <c r="H756" s="16">
        <v>0</v>
      </c>
      <c r="I756" s="16">
        <f t="shared" si="108"/>
        <v>9</v>
      </c>
    </row>
    <row r="757" spans="1:10" x14ac:dyDescent="0.3">
      <c r="A757" s="15" t="s">
        <v>14</v>
      </c>
      <c r="B757" s="16">
        <v>0</v>
      </c>
      <c r="C757" s="16">
        <v>0</v>
      </c>
      <c r="D757" s="16">
        <v>0</v>
      </c>
      <c r="E757" s="16">
        <v>0</v>
      </c>
      <c r="F757" s="16">
        <v>0</v>
      </c>
      <c r="G757" s="16">
        <v>0</v>
      </c>
      <c r="H757" s="16">
        <v>0</v>
      </c>
      <c r="I757" s="16">
        <f t="shared" si="108"/>
        <v>0</v>
      </c>
    </row>
    <row r="758" spans="1:10" x14ac:dyDescent="0.3">
      <c r="A758" s="15" t="s">
        <v>32</v>
      </c>
      <c r="B758" s="16">
        <v>0</v>
      </c>
      <c r="C758" s="16">
        <v>0</v>
      </c>
      <c r="D758" s="16">
        <v>0</v>
      </c>
      <c r="E758" s="16">
        <v>0</v>
      </c>
      <c r="F758" s="16">
        <v>0</v>
      </c>
      <c r="G758" s="16">
        <v>0</v>
      </c>
      <c r="H758" s="16">
        <v>0</v>
      </c>
      <c r="I758" s="16">
        <f t="shared" si="108"/>
        <v>0</v>
      </c>
    </row>
    <row r="759" spans="1:10" x14ac:dyDescent="0.3">
      <c r="A759" s="15" t="s">
        <v>33</v>
      </c>
      <c r="B759" s="16">
        <v>0</v>
      </c>
      <c r="C759" s="16">
        <v>0</v>
      </c>
      <c r="D759" s="16">
        <v>0</v>
      </c>
      <c r="E759" s="16">
        <v>0</v>
      </c>
      <c r="F759" s="16">
        <v>0</v>
      </c>
      <c r="G759" s="16">
        <v>0</v>
      </c>
      <c r="H759" s="16">
        <v>0</v>
      </c>
      <c r="I759" s="16">
        <f t="shared" si="108"/>
        <v>0</v>
      </c>
    </row>
    <row r="760" spans="1:10" ht="19.5" thickBot="1" x14ac:dyDescent="0.35">
      <c r="A760" s="30" t="s">
        <v>15</v>
      </c>
      <c r="B760" s="31">
        <f t="shared" ref="B760:H760" si="109">(B751+B750)/B749*100%</f>
        <v>0.33962264150943394</v>
      </c>
      <c r="C760" s="31">
        <f t="shared" si="109"/>
        <v>0.69811320754716977</v>
      </c>
      <c r="D760" s="31">
        <f t="shared" si="109"/>
        <v>0.86792452830188682</v>
      </c>
      <c r="E760" s="31">
        <f t="shared" si="109"/>
        <v>0.84905660377358494</v>
      </c>
      <c r="F760" s="31">
        <f t="shared" si="109"/>
        <v>0.83018867924528306</v>
      </c>
      <c r="G760" s="31">
        <f t="shared" si="109"/>
        <v>0.67924528301886788</v>
      </c>
      <c r="H760" s="31">
        <f t="shared" si="109"/>
        <v>0.66666666666666663</v>
      </c>
      <c r="I760" s="32">
        <f>(B760+C760+D760+E760+F760+G760+H760)/7</f>
        <v>0.70440251572327039</v>
      </c>
    </row>
    <row r="761" spans="1:10" x14ac:dyDescent="0.3">
      <c r="A761" s="67" t="s">
        <v>16</v>
      </c>
      <c r="B761" s="16"/>
      <c r="C761" s="17"/>
      <c r="D761" s="16"/>
      <c r="E761" s="18"/>
      <c r="F761" s="16"/>
      <c r="G761" s="16"/>
      <c r="H761" s="16"/>
      <c r="I761" s="16"/>
      <c r="J761" s="29"/>
    </row>
    <row r="762" spans="1:10" x14ac:dyDescent="0.3">
      <c r="A762" s="15" t="s">
        <v>34</v>
      </c>
      <c r="B762" s="28">
        <v>2441.0549999999998</v>
      </c>
      <c r="C762" s="28">
        <v>3014.703</v>
      </c>
      <c r="D762" s="28">
        <v>6839.0210000000006</v>
      </c>
      <c r="E762" s="28">
        <v>5817.8470000000007</v>
      </c>
      <c r="F762" s="28">
        <v>5435.4150000000009</v>
      </c>
      <c r="G762" s="28">
        <v>8852.880000000001</v>
      </c>
      <c r="H762" s="71">
        <v>3336.1080000000002</v>
      </c>
      <c r="I762" s="19">
        <f>SUM(B762:H762)</f>
        <v>35737.029000000002</v>
      </c>
    </row>
    <row r="763" spans="1:10" x14ac:dyDescent="0.3">
      <c r="A763" s="15" t="s">
        <v>35</v>
      </c>
      <c r="B763" s="28">
        <v>4792.5990000000002</v>
      </c>
      <c r="C763" s="28">
        <v>11522.549000000001</v>
      </c>
      <c r="D763" s="28">
        <v>12710.232000000002</v>
      </c>
      <c r="E763" s="28">
        <v>12295.257</v>
      </c>
      <c r="F763" s="28">
        <v>12224.284</v>
      </c>
      <c r="G763" s="28">
        <v>8956.9829999999984</v>
      </c>
      <c r="H763" s="71">
        <v>8550.1589999999997</v>
      </c>
      <c r="I763" s="19">
        <f>SUM(B763:H763)</f>
        <v>71052.062999999995</v>
      </c>
    </row>
    <row r="764" spans="1:10" ht="19.5" thickBot="1" x14ac:dyDescent="0.35">
      <c r="A764" s="15" t="s">
        <v>20</v>
      </c>
      <c r="B764" s="28">
        <v>11710.552000000001</v>
      </c>
      <c r="C764" s="28">
        <v>11739.844000000001</v>
      </c>
      <c r="D764" s="28">
        <v>16403.888000000003</v>
      </c>
      <c r="E764" s="28">
        <v>17152.476000000002</v>
      </c>
      <c r="F764" s="28">
        <v>31396.844000000001</v>
      </c>
      <c r="G764" s="28">
        <v>33819.196000000004</v>
      </c>
      <c r="H764" s="71">
        <v>16534.072</v>
      </c>
      <c r="I764" s="19">
        <f>SUM(B764:H764)</f>
        <v>138756.87200000003</v>
      </c>
    </row>
    <row r="765" spans="1:10" x14ac:dyDescent="0.3">
      <c r="A765" s="55" t="s">
        <v>7</v>
      </c>
      <c r="B765" s="56">
        <f t="shared" ref="B765:I765" si="110">SUM(B762:B764)</f>
        <v>18944.206000000002</v>
      </c>
      <c r="C765" s="56">
        <f t="shared" si="110"/>
        <v>26277.096000000001</v>
      </c>
      <c r="D765" s="56">
        <f t="shared" si="110"/>
        <v>35953.141000000003</v>
      </c>
      <c r="E765" s="56">
        <f t="shared" si="110"/>
        <v>35265.58</v>
      </c>
      <c r="F765" s="56">
        <f t="shared" si="110"/>
        <v>49056.543000000005</v>
      </c>
      <c r="G765" s="56">
        <f t="shared" si="110"/>
        <v>51629.059000000001</v>
      </c>
      <c r="H765" s="56">
        <f t="shared" si="110"/>
        <v>28420.339</v>
      </c>
      <c r="I765" s="56">
        <f t="shared" si="110"/>
        <v>245545.96400000004</v>
      </c>
    </row>
    <row r="767" spans="1:10" x14ac:dyDescent="0.3">
      <c r="A767" s="4" t="s">
        <v>82</v>
      </c>
      <c r="B767" s="5" t="s">
        <v>0</v>
      </c>
      <c r="C767" s="5" t="s">
        <v>1</v>
      </c>
      <c r="D767" s="5" t="s">
        <v>2</v>
      </c>
      <c r="E767" s="6" t="s">
        <v>3</v>
      </c>
      <c r="F767" s="5" t="s">
        <v>4</v>
      </c>
      <c r="G767" s="5" t="s">
        <v>5</v>
      </c>
      <c r="H767" s="5" t="s">
        <v>6</v>
      </c>
      <c r="I767" s="5" t="s">
        <v>7</v>
      </c>
    </row>
    <row r="768" spans="1:10" x14ac:dyDescent="0.3">
      <c r="A768" s="7"/>
      <c r="B768" s="8">
        <v>45530</v>
      </c>
      <c r="C768" s="8">
        <v>45531</v>
      </c>
      <c r="D768" s="8">
        <v>45532</v>
      </c>
      <c r="E768" s="8">
        <v>45533</v>
      </c>
      <c r="F768" s="8">
        <v>45534</v>
      </c>
      <c r="G768" s="8">
        <v>45535</v>
      </c>
      <c r="H768" s="8">
        <v>45536</v>
      </c>
      <c r="I768" s="9"/>
    </row>
    <row r="769" spans="1:10" ht="19.5" thickBot="1" x14ac:dyDescent="0.35">
      <c r="A769" s="10" t="s">
        <v>8</v>
      </c>
      <c r="B769" s="11" t="s">
        <v>9</v>
      </c>
      <c r="C769" s="11" t="s">
        <v>9</v>
      </c>
      <c r="D769" s="11" t="s">
        <v>9</v>
      </c>
      <c r="E769" s="11" t="s">
        <v>9</v>
      </c>
      <c r="F769" s="11" t="s">
        <v>9</v>
      </c>
      <c r="G769" s="11" t="s">
        <v>9</v>
      </c>
      <c r="H769" s="43" t="s">
        <v>9</v>
      </c>
      <c r="I769" s="44" t="s">
        <v>9</v>
      </c>
    </row>
    <row r="770" spans="1:10" x14ac:dyDescent="0.3">
      <c r="A770" s="13" t="s">
        <v>10</v>
      </c>
      <c r="B770" s="14">
        <v>54</v>
      </c>
      <c r="C770" s="14">
        <v>54</v>
      </c>
      <c r="D770" s="14">
        <v>54</v>
      </c>
      <c r="E770" s="14">
        <v>53</v>
      </c>
      <c r="F770" s="14">
        <v>53</v>
      </c>
      <c r="G770" s="14">
        <v>53</v>
      </c>
      <c r="H770" s="14">
        <v>53</v>
      </c>
      <c r="I770" s="16"/>
    </row>
    <row r="771" spans="1:10" x14ac:dyDescent="0.3">
      <c r="A771" s="15" t="s">
        <v>11</v>
      </c>
      <c r="B771" s="16">
        <v>2</v>
      </c>
      <c r="C771" s="16">
        <v>0</v>
      </c>
      <c r="D771" s="16">
        <v>0</v>
      </c>
      <c r="E771" s="16">
        <v>2</v>
      </c>
      <c r="F771" s="16">
        <v>6</v>
      </c>
      <c r="G771" s="16">
        <v>1</v>
      </c>
      <c r="H771" s="16">
        <v>4</v>
      </c>
      <c r="I771" s="16">
        <f>SUM(B771:H771)</f>
        <v>15</v>
      </c>
    </row>
    <row r="772" spans="1:10" x14ac:dyDescent="0.3">
      <c r="A772" s="15" t="s">
        <v>12</v>
      </c>
      <c r="B772" s="16">
        <v>30</v>
      </c>
      <c r="C772" s="16">
        <v>33</v>
      </c>
      <c r="D772" s="16">
        <v>53</v>
      </c>
      <c r="E772" s="16">
        <v>34</v>
      </c>
      <c r="F772" s="16">
        <v>46</v>
      </c>
      <c r="G772" s="16">
        <v>51</v>
      </c>
      <c r="H772" s="16">
        <v>13</v>
      </c>
      <c r="I772" s="16">
        <f>SUM(B772:H772)</f>
        <v>260</v>
      </c>
    </row>
    <row r="773" spans="1:10" x14ac:dyDescent="0.3">
      <c r="A773" s="15" t="s">
        <v>30</v>
      </c>
      <c r="B773" s="16">
        <v>0</v>
      </c>
      <c r="C773" s="16">
        <v>0</v>
      </c>
      <c r="D773" s="16">
        <v>0</v>
      </c>
      <c r="E773" s="16">
        <v>0</v>
      </c>
      <c r="F773" s="16">
        <v>0</v>
      </c>
      <c r="G773" s="16">
        <v>0</v>
      </c>
      <c r="H773" s="16">
        <v>0</v>
      </c>
      <c r="I773" s="16">
        <f>SUM(B773:H773)</f>
        <v>0</v>
      </c>
    </row>
    <row r="774" spans="1:10" x14ac:dyDescent="0.3">
      <c r="A774" s="15" t="s">
        <v>28</v>
      </c>
      <c r="B774" s="16">
        <v>21</v>
      </c>
      <c r="C774" s="16">
        <v>22</v>
      </c>
      <c r="D774" s="16">
        <v>34</v>
      </c>
      <c r="E774" s="16">
        <v>49</v>
      </c>
      <c r="F774" s="16">
        <v>48</v>
      </c>
      <c r="G774" s="16">
        <v>213</v>
      </c>
      <c r="H774" s="16">
        <v>172</v>
      </c>
      <c r="I774" s="16">
        <f>SUM(B774:H774)</f>
        <v>559</v>
      </c>
    </row>
    <row r="775" spans="1:10" x14ac:dyDescent="0.3">
      <c r="A775" s="15" t="s">
        <v>29</v>
      </c>
      <c r="B775" s="16">
        <v>8</v>
      </c>
      <c r="C775" s="16">
        <v>2</v>
      </c>
      <c r="D775" s="16">
        <v>18</v>
      </c>
      <c r="E775" s="16">
        <v>18</v>
      </c>
      <c r="F775" s="16">
        <v>115</v>
      </c>
      <c r="G775" s="16">
        <v>103</v>
      </c>
      <c r="H775" s="16">
        <v>21</v>
      </c>
      <c r="I775" s="16">
        <f>SUM(B775:H775)</f>
        <v>285</v>
      </c>
    </row>
    <row r="776" spans="1:10" x14ac:dyDescent="0.3">
      <c r="A776" s="15" t="s">
        <v>31</v>
      </c>
      <c r="B776" s="16">
        <v>5</v>
      </c>
      <c r="C776" s="16">
        <v>1</v>
      </c>
      <c r="D776" s="16">
        <v>2</v>
      </c>
      <c r="E776" s="16">
        <v>7</v>
      </c>
      <c r="F776" s="16">
        <v>47</v>
      </c>
      <c r="G776" s="16">
        <v>72</v>
      </c>
      <c r="H776" s="16">
        <v>7</v>
      </c>
      <c r="I776" s="16">
        <f t="shared" ref="I776:I780" si="111">SUM(B776:H776)</f>
        <v>141</v>
      </c>
    </row>
    <row r="777" spans="1:10" x14ac:dyDescent="0.3">
      <c r="A777" s="15" t="s">
        <v>13</v>
      </c>
      <c r="B777" s="16">
        <v>0</v>
      </c>
      <c r="C777" s="16">
        <v>0</v>
      </c>
      <c r="D777" s="16">
        <v>0</v>
      </c>
      <c r="E777" s="16">
        <v>0</v>
      </c>
      <c r="F777" s="16">
        <v>0</v>
      </c>
      <c r="G777" s="16">
        <v>4</v>
      </c>
      <c r="H777" s="16">
        <v>0</v>
      </c>
      <c r="I777" s="16">
        <f t="shared" si="111"/>
        <v>4</v>
      </c>
    </row>
    <row r="778" spans="1:10" x14ac:dyDescent="0.3">
      <c r="A778" s="15" t="s">
        <v>14</v>
      </c>
      <c r="B778" s="16">
        <v>0</v>
      </c>
      <c r="C778" s="16">
        <v>0</v>
      </c>
      <c r="D778" s="16">
        <v>0</v>
      </c>
      <c r="E778" s="16">
        <v>0</v>
      </c>
      <c r="F778" s="16">
        <v>0</v>
      </c>
      <c r="G778" s="16">
        <v>0</v>
      </c>
      <c r="H778" s="16">
        <v>0</v>
      </c>
      <c r="I778" s="16">
        <f t="shared" si="111"/>
        <v>0</v>
      </c>
    </row>
    <row r="779" spans="1:10" x14ac:dyDescent="0.3">
      <c r="A779" s="15" t="s">
        <v>32</v>
      </c>
      <c r="B779" s="16">
        <v>0</v>
      </c>
      <c r="C779" s="16">
        <v>0</v>
      </c>
      <c r="D779" s="16">
        <v>0</v>
      </c>
      <c r="E779" s="16">
        <v>0</v>
      </c>
      <c r="F779" s="16">
        <v>0</v>
      </c>
      <c r="G779" s="16">
        <v>0</v>
      </c>
      <c r="H779" s="16">
        <v>0</v>
      </c>
      <c r="I779" s="16">
        <f t="shared" si="111"/>
        <v>0</v>
      </c>
    </row>
    <row r="780" spans="1:10" x14ac:dyDescent="0.3">
      <c r="A780" s="15" t="s">
        <v>33</v>
      </c>
      <c r="B780" s="16">
        <v>0</v>
      </c>
      <c r="C780" s="16">
        <v>0</v>
      </c>
      <c r="D780" s="16">
        <v>0</v>
      </c>
      <c r="E780" s="16">
        <v>0</v>
      </c>
      <c r="F780" s="16">
        <v>0</v>
      </c>
      <c r="G780" s="16">
        <v>0</v>
      </c>
      <c r="H780" s="16">
        <v>0</v>
      </c>
      <c r="I780" s="16">
        <f t="shared" si="111"/>
        <v>0</v>
      </c>
    </row>
    <row r="781" spans="1:10" ht="19.5" thickBot="1" x14ac:dyDescent="0.35">
      <c r="A781" s="30" t="s">
        <v>15</v>
      </c>
      <c r="B781" s="31">
        <f t="shared" ref="B781:H781" si="112">(B772+B771)/B770*100%</f>
        <v>0.59259259259259256</v>
      </c>
      <c r="C781" s="31">
        <f t="shared" si="112"/>
        <v>0.61111111111111116</v>
      </c>
      <c r="D781" s="31">
        <f t="shared" si="112"/>
        <v>0.98148148148148151</v>
      </c>
      <c r="E781" s="31">
        <f t="shared" si="112"/>
        <v>0.67924528301886788</v>
      </c>
      <c r="F781" s="31">
        <f t="shared" si="112"/>
        <v>0.98113207547169812</v>
      </c>
      <c r="G781" s="31">
        <f t="shared" si="112"/>
        <v>0.98113207547169812</v>
      </c>
      <c r="H781" s="31">
        <f t="shared" si="112"/>
        <v>0.32075471698113206</v>
      </c>
      <c r="I781" s="32">
        <f>(B781+C781+D781+E781+F781+G781+H781)/7</f>
        <v>0.73534990516122589</v>
      </c>
    </row>
    <row r="782" spans="1:10" x14ac:dyDescent="0.3">
      <c r="A782" s="67" t="s">
        <v>16</v>
      </c>
      <c r="B782" s="16"/>
      <c r="C782" s="17"/>
      <c r="D782" s="16"/>
      <c r="E782" s="18"/>
      <c r="F782" s="16"/>
      <c r="G782" s="16"/>
      <c r="H782" s="16"/>
      <c r="I782" s="16"/>
      <c r="J782" s="29">
        <f t="shared" ref="J782:J785" si="113">I782+I761+I739+I718+I696-D696-C696-B696</f>
        <v>0</v>
      </c>
    </row>
    <row r="783" spans="1:10" x14ac:dyDescent="0.3">
      <c r="A783" s="15" t="s">
        <v>34</v>
      </c>
      <c r="B783" s="28">
        <v>1301.896</v>
      </c>
      <c r="C783" s="28">
        <v>1546.0010000000002</v>
      </c>
      <c r="D783" s="28">
        <v>0</v>
      </c>
      <c r="E783" s="28">
        <v>7079.0580000000009</v>
      </c>
      <c r="F783" s="28">
        <v>14304.578000000001</v>
      </c>
      <c r="G783" s="28">
        <v>17572.829999999998</v>
      </c>
      <c r="H783" s="28">
        <v>7306.8890000000001</v>
      </c>
      <c r="I783" s="19">
        <f>SUM(B783:H783)</f>
        <v>49111.252</v>
      </c>
      <c r="J783" s="29">
        <f t="shared" si="113"/>
        <v>315478.61950000003</v>
      </c>
    </row>
    <row r="784" spans="1:10" x14ac:dyDescent="0.3">
      <c r="A784" s="15" t="s">
        <v>35</v>
      </c>
      <c r="B784" s="28">
        <v>8840.1630000000005</v>
      </c>
      <c r="C784" s="28">
        <v>10650.195</v>
      </c>
      <c r="D784" s="28">
        <v>25036.399000000001</v>
      </c>
      <c r="E784" s="28">
        <v>9519.6830000000009</v>
      </c>
      <c r="F784" s="28">
        <v>8608.36</v>
      </c>
      <c r="G784" s="28">
        <v>9206.3179999999993</v>
      </c>
      <c r="H784" s="28">
        <v>9283.8449999999993</v>
      </c>
      <c r="I784" s="19">
        <f>SUM(B784:H784)</f>
        <v>81144.963000000003</v>
      </c>
      <c r="J784" s="29">
        <f t="shared" si="113"/>
        <v>210353.06399999998</v>
      </c>
    </row>
    <row r="785" spans="1:10" ht="19.5" thickBot="1" x14ac:dyDescent="0.35">
      <c r="A785" s="15" t="s">
        <v>20</v>
      </c>
      <c r="B785" s="28">
        <v>5188.0519999999997</v>
      </c>
      <c r="C785" s="28">
        <v>4930.9320000000007</v>
      </c>
      <c r="D785" s="28">
        <v>9796.764000000001</v>
      </c>
      <c r="E785" s="28">
        <v>12628.392</v>
      </c>
      <c r="F785" s="28">
        <v>21399.912</v>
      </c>
      <c r="G785" s="28">
        <v>56814.731999999996</v>
      </c>
      <c r="H785" s="28">
        <v>22034.584000000003</v>
      </c>
      <c r="I785" s="19">
        <f>SUM(B785:H785)</f>
        <v>132793.36799999999</v>
      </c>
      <c r="J785" s="29">
        <f t="shared" si="113"/>
        <v>744631.20239999995</v>
      </c>
    </row>
    <row r="786" spans="1:10" x14ac:dyDescent="0.3">
      <c r="A786" s="55" t="s">
        <v>7</v>
      </c>
      <c r="B786" s="56">
        <f t="shared" ref="B786:I786" si="114">SUM(B783:B785)</f>
        <v>15330.111000000001</v>
      </c>
      <c r="C786" s="56">
        <f t="shared" si="114"/>
        <v>17127.128000000001</v>
      </c>
      <c r="D786" s="56">
        <f t="shared" si="114"/>
        <v>34833.163</v>
      </c>
      <c r="E786" s="56">
        <f t="shared" si="114"/>
        <v>29227.133000000002</v>
      </c>
      <c r="F786" s="56">
        <f t="shared" si="114"/>
        <v>44312.850000000006</v>
      </c>
      <c r="G786" s="56">
        <f t="shared" si="114"/>
        <v>83593.87999999999</v>
      </c>
      <c r="H786" s="56">
        <f t="shared" si="114"/>
        <v>38625.317999999999</v>
      </c>
      <c r="I786" s="56">
        <f t="shared" si="114"/>
        <v>263049.58299999998</v>
      </c>
      <c r="J786" s="46">
        <f>I786+I765+I743+I722+I700-D700-C700-B700</f>
        <v>1270462.8859000001</v>
      </c>
    </row>
    <row r="788" spans="1:10" x14ac:dyDescent="0.3">
      <c r="A788" s="4" t="s">
        <v>84</v>
      </c>
      <c r="B788" s="5" t="s">
        <v>0</v>
      </c>
      <c r="C788" s="5" t="s">
        <v>1</v>
      </c>
      <c r="D788" s="5" t="s">
        <v>2</v>
      </c>
      <c r="E788" s="6" t="s">
        <v>3</v>
      </c>
      <c r="F788" s="5" t="s">
        <v>4</v>
      </c>
      <c r="G788" s="5" t="s">
        <v>5</v>
      </c>
      <c r="H788" s="5" t="s">
        <v>6</v>
      </c>
      <c r="I788" s="5" t="s">
        <v>7</v>
      </c>
    </row>
    <row r="789" spans="1:10" x14ac:dyDescent="0.3">
      <c r="A789" s="7"/>
      <c r="B789" s="8">
        <v>45537</v>
      </c>
      <c r="C789" s="8">
        <v>45538</v>
      </c>
      <c r="D789" s="8">
        <v>45539</v>
      </c>
      <c r="E789" s="8">
        <v>45540</v>
      </c>
      <c r="F789" s="8">
        <v>45541</v>
      </c>
      <c r="G789" s="8">
        <v>45542</v>
      </c>
      <c r="H789" s="8">
        <v>45543</v>
      </c>
      <c r="I789" s="9"/>
    </row>
    <row r="790" spans="1:10" ht="19.5" thickBot="1" x14ac:dyDescent="0.35">
      <c r="A790" s="10" t="s">
        <v>8</v>
      </c>
      <c r="B790" s="11" t="s">
        <v>9</v>
      </c>
      <c r="C790" s="11" t="s">
        <v>9</v>
      </c>
      <c r="D790" s="11" t="s">
        <v>9</v>
      </c>
      <c r="E790" s="11" t="s">
        <v>9</v>
      </c>
      <c r="F790" s="11" t="s">
        <v>9</v>
      </c>
      <c r="G790" s="11" t="s">
        <v>9</v>
      </c>
      <c r="H790" s="43" t="s">
        <v>9</v>
      </c>
      <c r="I790" s="44" t="s">
        <v>9</v>
      </c>
    </row>
    <row r="791" spans="1:10" x14ac:dyDescent="0.3">
      <c r="A791" s="13" t="s">
        <v>10</v>
      </c>
      <c r="B791" s="14">
        <v>53</v>
      </c>
      <c r="C791" s="14">
        <v>53</v>
      </c>
      <c r="D791" s="14">
        <v>53</v>
      </c>
      <c r="E791" s="14">
        <v>53</v>
      </c>
      <c r="F791" s="14">
        <v>53</v>
      </c>
      <c r="G791" s="14">
        <v>53</v>
      </c>
      <c r="H791" s="14">
        <v>53</v>
      </c>
      <c r="I791" s="16"/>
    </row>
    <row r="792" spans="1:10" x14ac:dyDescent="0.3">
      <c r="A792" s="15" t="s">
        <v>11</v>
      </c>
      <c r="B792" s="16">
        <v>1</v>
      </c>
      <c r="C792" s="16">
        <v>2</v>
      </c>
      <c r="D792" s="16">
        <v>2</v>
      </c>
      <c r="E792" s="16">
        <v>2</v>
      </c>
      <c r="F792" s="16">
        <v>4</v>
      </c>
      <c r="G792" s="16">
        <v>2</v>
      </c>
      <c r="H792" s="16">
        <v>1</v>
      </c>
      <c r="I792" s="16">
        <f>SUM(B792:H792)</f>
        <v>14</v>
      </c>
    </row>
    <row r="793" spans="1:10" x14ac:dyDescent="0.3">
      <c r="A793" s="15" t="s">
        <v>12</v>
      </c>
      <c r="B793" s="16">
        <v>43</v>
      </c>
      <c r="C793" s="16">
        <v>19</v>
      </c>
      <c r="D793" s="16">
        <v>15</v>
      </c>
      <c r="E793" s="16">
        <v>29</v>
      </c>
      <c r="F793" s="16">
        <v>20</v>
      </c>
      <c r="G793" s="16">
        <v>11</v>
      </c>
      <c r="H793" s="16">
        <v>5</v>
      </c>
      <c r="I793" s="16">
        <f>SUM(B793:H793)</f>
        <v>142</v>
      </c>
    </row>
    <row r="794" spans="1:10" x14ac:dyDescent="0.3">
      <c r="A794" s="15" t="s">
        <v>30</v>
      </c>
      <c r="B794" s="16">
        <v>0</v>
      </c>
      <c r="C794" s="16">
        <v>0</v>
      </c>
      <c r="D794" s="16">
        <v>0</v>
      </c>
      <c r="E794" s="16">
        <v>0</v>
      </c>
      <c r="F794" s="16">
        <v>0</v>
      </c>
      <c r="G794" s="16">
        <v>0</v>
      </c>
      <c r="H794" s="16">
        <v>0</v>
      </c>
      <c r="I794" s="16">
        <f>SUM(B794:H794)</f>
        <v>0</v>
      </c>
    </row>
    <row r="795" spans="1:10" x14ac:dyDescent="0.3">
      <c r="A795" s="15" t="s">
        <v>28</v>
      </c>
      <c r="B795" s="16">
        <v>41</v>
      </c>
      <c r="C795" s="16">
        <v>25</v>
      </c>
      <c r="D795" s="16">
        <v>29</v>
      </c>
      <c r="E795" s="16">
        <v>51</v>
      </c>
      <c r="F795" s="16">
        <v>28</v>
      </c>
      <c r="G795" s="16">
        <v>408</v>
      </c>
      <c r="H795" s="16">
        <v>30</v>
      </c>
      <c r="I795" s="16">
        <f>SUM(B795:H795)</f>
        <v>612</v>
      </c>
    </row>
    <row r="796" spans="1:10" x14ac:dyDescent="0.3">
      <c r="A796" s="15" t="s">
        <v>29</v>
      </c>
      <c r="B796" s="16">
        <v>4</v>
      </c>
      <c r="C796" s="16">
        <v>7</v>
      </c>
      <c r="D796" s="16">
        <v>10</v>
      </c>
      <c r="E796" s="16">
        <v>8</v>
      </c>
      <c r="F796" s="16">
        <v>9</v>
      </c>
      <c r="G796" s="16">
        <v>152</v>
      </c>
      <c r="H796" s="16">
        <v>5</v>
      </c>
      <c r="I796" s="16">
        <f>SUM(B796:H796)</f>
        <v>195</v>
      </c>
    </row>
    <row r="797" spans="1:10" x14ac:dyDescent="0.3">
      <c r="A797" s="15" t="s">
        <v>31</v>
      </c>
      <c r="B797" s="16">
        <v>2</v>
      </c>
      <c r="C797" s="16">
        <v>1</v>
      </c>
      <c r="D797" s="16">
        <v>2</v>
      </c>
      <c r="E797" s="16">
        <v>4</v>
      </c>
      <c r="F797" s="16">
        <v>1</v>
      </c>
      <c r="G797" s="16">
        <v>16</v>
      </c>
      <c r="H797" s="16">
        <v>5</v>
      </c>
      <c r="I797" s="16">
        <f t="shared" ref="I797:I801" si="115">SUM(B797:H797)</f>
        <v>31</v>
      </c>
    </row>
    <row r="798" spans="1:10" x14ac:dyDescent="0.3">
      <c r="A798" s="15" t="s">
        <v>13</v>
      </c>
      <c r="B798" s="16">
        <v>0</v>
      </c>
      <c r="C798" s="16">
        <v>1</v>
      </c>
      <c r="D798" s="16">
        <v>0</v>
      </c>
      <c r="E798" s="16">
        <v>13</v>
      </c>
      <c r="F798" s="16">
        <v>1</v>
      </c>
      <c r="G798" s="16">
        <v>3</v>
      </c>
      <c r="H798" s="16">
        <v>0</v>
      </c>
      <c r="I798" s="16">
        <f t="shared" si="115"/>
        <v>18</v>
      </c>
    </row>
    <row r="799" spans="1:10" x14ac:dyDescent="0.3">
      <c r="A799" s="15" t="s">
        <v>14</v>
      </c>
      <c r="B799" s="16">
        <v>0</v>
      </c>
      <c r="C799" s="16">
        <v>0</v>
      </c>
      <c r="D799" s="16">
        <v>0</v>
      </c>
      <c r="E799" s="16">
        <v>2</v>
      </c>
      <c r="F799" s="16">
        <v>0</v>
      </c>
      <c r="G799" s="16">
        <v>0</v>
      </c>
      <c r="H799" s="16">
        <v>0</v>
      </c>
      <c r="I799" s="16">
        <f t="shared" si="115"/>
        <v>2</v>
      </c>
    </row>
    <row r="800" spans="1:10" x14ac:dyDescent="0.3">
      <c r="A800" s="15" t="s">
        <v>32</v>
      </c>
      <c r="B800" s="16">
        <v>0</v>
      </c>
      <c r="C800" s="16">
        <v>0</v>
      </c>
      <c r="D800" s="16">
        <v>0</v>
      </c>
      <c r="E800" s="16">
        <v>0</v>
      </c>
      <c r="F800" s="16">
        <v>0</v>
      </c>
      <c r="G800" s="16">
        <v>0</v>
      </c>
      <c r="H800" s="16">
        <v>0</v>
      </c>
      <c r="I800" s="16">
        <f t="shared" si="115"/>
        <v>0</v>
      </c>
    </row>
    <row r="801" spans="1:9" x14ac:dyDescent="0.3">
      <c r="A801" s="15" t="s">
        <v>33</v>
      </c>
      <c r="B801" s="16">
        <v>0</v>
      </c>
      <c r="C801" s="16">
        <v>0</v>
      </c>
      <c r="D801" s="16">
        <v>0</v>
      </c>
      <c r="E801" s="16">
        <v>1</v>
      </c>
      <c r="F801" s="16">
        <v>0</v>
      </c>
      <c r="G801" s="16">
        <v>0</v>
      </c>
      <c r="H801" s="16">
        <v>0</v>
      </c>
      <c r="I801" s="16">
        <f t="shared" si="115"/>
        <v>1</v>
      </c>
    </row>
    <row r="802" spans="1:9" ht="19.5" thickBot="1" x14ac:dyDescent="0.35">
      <c r="A802" s="30" t="s">
        <v>15</v>
      </c>
      <c r="B802" s="31">
        <f t="shared" ref="B802:H802" si="116">(B793+B792)/B791*100%</f>
        <v>0.83018867924528306</v>
      </c>
      <c r="C802" s="31">
        <f t="shared" si="116"/>
        <v>0.39622641509433965</v>
      </c>
      <c r="D802" s="31">
        <f t="shared" si="116"/>
        <v>0.32075471698113206</v>
      </c>
      <c r="E802" s="31">
        <f t="shared" si="116"/>
        <v>0.58490566037735847</v>
      </c>
      <c r="F802" s="31">
        <f t="shared" si="116"/>
        <v>0.45283018867924529</v>
      </c>
      <c r="G802" s="31">
        <f t="shared" si="116"/>
        <v>0.24528301886792453</v>
      </c>
      <c r="H802" s="31">
        <f t="shared" si="116"/>
        <v>0.11320754716981132</v>
      </c>
      <c r="I802" s="32">
        <f>(B802+C802+D802+E802+F802+G802+H802)/7</f>
        <v>0.42048517520215628</v>
      </c>
    </row>
    <row r="803" spans="1:9" x14ac:dyDescent="0.3">
      <c r="A803" s="67" t="s">
        <v>16</v>
      </c>
      <c r="B803" s="16"/>
      <c r="C803" s="17"/>
      <c r="D803" s="16"/>
      <c r="E803" s="18"/>
      <c r="F803" s="16"/>
      <c r="G803" s="16"/>
      <c r="H803" s="16"/>
      <c r="I803" s="16"/>
    </row>
    <row r="804" spans="1:9" x14ac:dyDescent="0.3">
      <c r="A804" s="15" t="s">
        <v>34</v>
      </c>
      <c r="B804" s="28">
        <v>3620.8980000000006</v>
      </c>
      <c r="C804" s="28">
        <v>2766.5310000000004</v>
      </c>
      <c r="D804" s="28">
        <v>0</v>
      </c>
      <c r="E804" s="28">
        <v>2441.0549999999998</v>
      </c>
      <c r="F804" s="28">
        <v>6542.0260000000007</v>
      </c>
      <c r="G804" s="28">
        <v>6948.8690000000006</v>
      </c>
      <c r="H804" s="28">
        <v>3580.2139999999999</v>
      </c>
      <c r="I804" s="19">
        <f>SUM(B804:H804)</f>
        <v>25899.593000000001</v>
      </c>
    </row>
    <row r="805" spans="1:9" x14ac:dyDescent="0.3">
      <c r="A805" s="15" t="s">
        <v>35</v>
      </c>
      <c r="B805" s="28">
        <v>13894.513000000001</v>
      </c>
      <c r="C805" s="28">
        <v>6651.0540000000001</v>
      </c>
      <c r="D805" s="28">
        <v>6000.1100000000006</v>
      </c>
      <c r="E805" s="28">
        <v>14750.270000000002</v>
      </c>
      <c r="F805" s="28">
        <v>8429.005000000001</v>
      </c>
      <c r="G805" s="28">
        <v>0</v>
      </c>
      <c r="H805" s="28">
        <v>0</v>
      </c>
      <c r="I805" s="19">
        <f>SUM(B805:H805)</f>
        <v>49724.952000000005</v>
      </c>
    </row>
    <row r="806" spans="1:9" ht="19.5" thickBot="1" x14ac:dyDescent="0.35">
      <c r="A806" s="15" t="s">
        <v>20</v>
      </c>
      <c r="B806" s="28">
        <v>8267.0439999999999</v>
      </c>
      <c r="C806" s="28">
        <v>6021.268</v>
      </c>
      <c r="D806" s="28">
        <v>7176.7000000000007</v>
      </c>
      <c r="E806" s="28">
        <v>13949.816000000001</v>
      </c>
      <c r="F806" s="28">
        <v>6883.7720000000008</v>
      </c>
      <c r="G806" s="28">
        <v>84113.528000000006</v>
      </c>
      <c r="H806" s="28">
        <v>7323.1679999999997</v>
      </c>
      <c r="I806" s="19">
        <f>SUM(B806:H806)</f>
        <v>133735.296</v>
      </c>
    </row>
    <row r="807" spans="1:9" x14ac:dyDescent="0.3">
      <c r="A807" s="55" t="s">
        <v>7</v>
      </c>
      <c r="B807" s="56">
        <f t="shared" ref="B807:I807" si="117">SUM(B804:B806)</f>
        <v>25782.455000000002</v>
      </c>
      <c r="C807" s="56">
        <f t="shared" si="117"/>
        <v>15438.853000000001</v>
      </c>
      <c r="D807" s="56">
        <f t="shared" si="117"/>
        <v>13176.810000000001</v>
      </c>
      <c r="E807" s="56">
        <f t="shared" si="117"/>
        <v>31141.141000000003</v>
      </c>
      <c r="F807" s="56">
        <f t="shared" si="117"/>
        <v>21854.803000000004</v>
      </c>
      <c r="G807" s="56">
        <f t="shared" si="117"/>
        <v>91062.397000000012</v>
      </c>
      <c r="H807" s="56">
        <f t="shared" si="117"/>
        <v>10903.382</v>
      </c>
      <c r="I807" s="56">
        <f t="shared" si="117"/>
        <v>209359.84100000001</v>
      </c>
    </row>
    <row r="810" spans="1:9" x14ac:dyDescent="0.3">
      <c r="A810" s="4" t="s">
        <v>85</v>
      </c>
      <c r="B810" s="5" t="s">
        <v>0</v>
      </c>
      <c r="C810" s="5" t="s">
        <v>1</v>
      </c>
      <c r="D810" s="5" t="s">
        <v>2</v>
      </c>
      <c r="E810" s="6" t="s">
        <v>3</v>
      </c>
      <c r="F810" s="5" t="s">
        <v>4</v>
      </c>
      <c r="G810" s="5" t="s">
        <v>5</v>
      </c>
      <c r="H810" s="5" t="s">
        <v>6</v>
      </c>
      <c r="I810" s="5" t="s">
        <v>7</v>
      </c>
    </row>
    <row r="811" spans="1:9" x14ac:dyDescent="0.3">
      <c r="A811" s="7"/>
      <c r="B811" s="8">
        <v>45544</v>
      </c>
      <c r="C811" s="8">
        <v>45545</v>
      </c>
      <c r="D811" s="8">
        <v>45546</v>
      </c>
      <c r="E811" s="8">
        <v>45547</v>
      </c>
      <c r="F811" s="8">
        <v>45548</v>
      </c>
      <c r="G811" s="8">
        <v>45549</v>
      </c>
      <c r="H811" s="8">
        <v>45550</v>
      </c>
      <c r="I811" s="9"/>
    </row>
    <row r="812" spans="1:9" ht="19.5" thickBot="1" x14ac:dyDescent="0.35">
      <c r="A812" s="10" t="s">
        <v>8</v>
      </c>
      <c r="B812" s="11" t="s">
        <v>9</v>
      </c>
      <c r="C812" s="11" t="s">
        <v>9</v>
      </c>
      <c r="D812" s="11" t="s">
        <v>9</v>
      </c>
      <c r="E812" s="11" t="s">
        <v>9</v>
      </c>
      <c r="F812" s="11" t="s">
        <v>9</v>
      </c>
      <c r="G812" s="11" t="s">
        <v>9</v>
      </c>
      <c r="H812" s="43" t="s">
        <v>9</v>
      </c>
      <c r="I812" s="44" t="s">
        <v>9</v>
      </c>
    </row>
    <row r="813" spans="1:9" x14ac:dyDescent="0.3">
      <c r="A813" s="13" t="s">
        <v>10</v>
      </c>
      <c r="B813" s="14">
        <v>53</v>
      </c>
      <c r="C813" s="14">
        <v>53</v>
      </c>
      <c r="D813" s="14">
        <v>52</v>
      </c>
      <c r="E813" s="14">
        <v>51</v>
      </c>
      <c r="F813" s="14">
        <v>51</v>
      </c>
      <c r="G813" s="14">
        <v>50</v>
      </c>
      <c r="H813" s="14">
        <v>52</v>
      </c>
      <c r="I813" s="16"/>
    </row>
    <row r="814" spans="1:9" x14ac:dyDescent="0.3">
      <c r="A814" s="15" t="s">
        <v>11</v>
      </c>
      <c r="B814" s="16">
        <v>0</v>
      </c>
      <c r="C814" s="16">
        <v>0</v>
      </c>
      <c r="D814" s="16">
        <v>1</v>
      </c>
      <c r="E814" s="16">
        <v>2</v>
      </c>
      <c r="F814" s="16">
        <v>3</v>
      </c>
      <c r="G814" s="16">
        <v>2</v>
      </c>
      <c r="H814" s="16">
        <v>0</v>
      </c>
      <c r="I814" s="16">
        <f>SUM(B814:H814)</f>
        <v>8</v>
      </c>
    </row>
    <row r="815" spans="1:9" x14ac:dyDescent="0.3">
      <c r="A815" s="15" t="s">
        <v>12</v>
      </c>
      <c r="B815" s="16">
        <v>3</v>
      </c>
      <c r="C815" s="16">
        <v>2</v>
      </c>
      <c r="D815" s="16">
        <v>11</v>
      </c>
      <c r="E815" s="16">
        <v>8</v>
      </c>
      <c r="F815" s="16">
        <v>16</v>
      </c>
      <c r="G815" s="16">
        <v>18</v>
      </c>
      <c r="H815" s="16">
        <v>9</v>
      </c>
      <c r="I815" s="16">
        <f>SUM(B815:H815)</f>
        <v>67</v>
      </c>
    </row>
    <row r="816" spans="1:9" x14ac:dyDescent="0.3">
      <c r="A816" s="15" t="s">
        <v>30</v>
      </c>
      <c r="B816" s="16">
        <v>0</v>
      </c>
      <c r="C816" s="16">
        <v>0</v>
      </c>
      <c r="D816" s="16">
        <v>0</v>
      </c>
      <c r="E816" s="16">
        <v>0</v>
      </c>
      <c r="F816" s="16">
        <v>0</v>
      </c>
      <c r="G816" s="16">
        <v>0</v>
      </c>
      <c r="H816" s="16">
        <v>0</v>
      </c>
      <c r="I816" s="16">
        <f>SUM(B816:H816)</f>
        <v>0</v>
      </c>
    </row>
    <row r="817" spans="1:9" x14ac:dyDescent="0.3">
      <c r="A817" s="15" t="s">
        <v>28</v>
      </c>
      <c r="B817" s="16">
        <v>11</v>
      </c>
      <c r="C817" s="16">
        <v>26</v>
      </c>
      <c r="D817" s="16">
        <v>27</v>
      </c>
      <c r="E817" s="16">
        <v>20</v>
      </c>
      <c r="F817" s="16">
        <v>39</v>
      </c>
      <c r="G817" s="16">
        <v>92</v>
      </c>
      <c r="H817" s="16">
        <v>44</v>
      </c>
      <c r="I817" s="16">
        <f>SUM(B817:H817)</f>
        <v>259</v>
      </c>
    </row>
    <row r="818" spans="1:9" x14ac:dyDescent="0.3">
      <c r="A818" s="15" t="s">
        <v>29</v>
      </c>
      <c r="B818" s="16">
        <v>0</v>
      </c>
      <c r="C818" s="16">
        <v>6</v>
      </c>
      <c r="D818" s="16">
        <v>3</v>
      </c>
      <c r="E818" s="16">
        <v>0</v>
      </c>
      <c r="F818" s="16">
        <v>1</v>
      </c>
      <c r="G818" s="16">
        <v>12</v>
      </c>
      <c r="H818" s="16">
        <v>5</v>
      </c>
      <c r="I818" s="16">
        <f>SUM(B818:H818)</f>
        <v>27</v>
      </c>
    </row>
    <row r="819" spans="1:9" x14ac:dyDescent="0.3">
      <c r="A819" s="15" t="s">
        <v>31</v>
      </c>
      <c r="B819" s="16">
        <v>0</v>
      </c>
      <c r="C819" s="16">
        <v>0</v>
      </c>
      <c r="D819" s="16">
        <v>1</v>
      </c>
      <c r="E819" s="16">
        <v>0</v>
      </c>
      <c r="F819" s="16">
        <v>2</v>
      </c>
      <c r="G819" s="16">
        <v>2</v>
      </c>
      <c r="H819" s="16">
        <v>2</v>
      </c>
      <c r="I819" s="16">
        <f t="shared" ref="I819:I823" si="118">SUM(B819:H819)</f>
        <v>7</v>
      </c>
    </row>
    <row r="820" spans="1:9" x14ac:dyDescent="0.3">
      <c r="A820" s="15" t="s">
        <v>13</v>
      </c>
      <c r="B820" s="16">
        <v>0</v>
      </c>
      <c r="C820" s="16">
        <v>0</v>
      </c>
      <c r="D820" s="16">
        <v>0</v>
      </c>
      <c r="E820" s="16">
        <v>0</v>
      </c>
      <c r="F820" s="16">
        <v>0</v>
      </c>
      <c r="G820" s="16">
        <v>1</v>
      </c>
      <c r="H820" s="16">
        <v>0</v>
      </c>
      <c r="I820" s="16">
        <f t="shared" si="118"/>
        <v>1</v>
      </c>
    </row>
    <row r="821" spans="1:9" x14ac:dyDescent="0.3">
      <c r="A821" s="15" t="s">
        <v>14</v>
      </c>
      <c r="B821" s="16">
        <v>0</v>
      </c>
      <c r="C821" s="16">
        <v>0</v>
      </c>
      <c r="D821" s="16">
        <v>0</v>
      </c>
      <c r="E821" s="16">
        <v>0</v>
      </c>
      <c r="F821" s="16">
        <v>0</v>
      </c>
      <c r="G821" s="16">
        <v>0</v>
      </c>
      <c r="H821" s="16">
        <v>0</v>
      </c>
      <c r="I821" s="16">
        <f t="shared" si="118"/>
        <v>0</v>
      </c>
    </row>
    <row r="822" spans="1:9" x14ac:dyDescent="0.3">
      <c r="A822" s="15" t="s">
        <v>32</v>
      </c>
      <c r="B822" s="16">
        <v>0</v>
      </c>
      <c r="C822" s="16">
        <v>0</v>
      </c>
      <c r="D822" s="16">
        <v>0</v>
      </c>
      <c r="E822" s="16">
        <v>0</v>
      </c>
      <c r="F822" s="16">
        <v>0</v>
      </c>
      <c r="G822" s="16">
        <v>0</v>
      </c>
      <c r="H822" s="16">
        <v>0</v>
      </c>
      <c r="I822" s="16">
        <f t="shared" si="118"/>
        <v>0</v>
      </c>
    </row>
    <row r="823" spans="1:9" x14ac:dyDescent="0.3">
      <c r="A823" s="15" t="s">
        <v>33</v>
      </c>
      <c r="B823" s="16">
        <v>0</v>
      </c>
      <c r="C823" s="16">
        <v>0</v>
      </c>
      <c r="D823" s="16">
        <v>0</v>
      </c>
      <c r="E823" s="16">
        <v>0</v>
      </c>
      <c r="F823" s="16">
        <v>0</v>
      </c>
      <c r="G823" s="16">
        <v>0</v>
      </c>
      <c r="H823" s="16">
        <v>0</v>
      </c>
      <c r="I823" s="16">
        <f t="shared" si="118"/>
        <v>0</v>
      </c>
    </row>
    <row r="824" spans="1:9" ht="19.5" thickBot="1" x14ac:dyDescent="0.35">
      <c r="A824" s="30" t="s">
        <v>15</v>
      </c>
      <c r="B824" s="31">
        <f t="shared" ref="B824:H824" si="119">(B815+B814)/B813*100%</f>
        <v>5.6603773584905662E-2</v>
      </c>
      <c r="C824" s="31">
        <f t="shared" si="119"/>
        <v>3.7735849056603772E-2</v>
      </c>
      <c r="D824" s="31">
        <f t="shared" si="119"/>
        <v>0.23076923076923078</v>
      </c>
      <c r="E824" s="31">
        <f t="shared" si="119"/>
        <v>0.19607843137254902</v>
      </c>
      <c r="F824" s="31">
        <f t="shared" si="119"/>
        <v>0.37254901960784315</v>
      </c>
      <c r="G824" s="31">
        <f t="shared" si="119"/>
        <v>0.4</v>
      </c>
      <c r="H824" s="31">
        <f t="shared" si="119"/>
        <v>0.17307692307692307</v>
      </c>
      <c r="I824" s="32">
        <f>(B824+C824+D824+E824+F824+G824+H824)/7</f>
        <v>0.20954474678115079</v>
      </c>
    </row>
    <row r="825" spans="1:9" x14ac:dyDescent="0.3">
      <c r="A825" s="67" t="s">
        <v>16</v>
      </c>
      <c r="B825" s="16"/>
      <c r="C825" s="17"/>
      <c r="D825" s="16"/>
      <c r="E825" s="18"/>
      <c r="F825" s="16"/>
      <c r="G825" s="16"/>
      <c r="H825" s="16"/>
      <c r="I825" s="16"/>
    </row>
    <row r="826" spans="1:9" x14ac:dyDescent="0.3">
      <c r="A826" s="15" t="s">
        <v>34</v>
      </c>
      <c r="B826" s="28">
        <v>2441.0570000000002</v>
      </c>
      <c r="C826" s="28">
        <v>1308.4090000000001</v>
      </c>
      <c r="D826" s="28">
        <v>3092.0020000000004</v>
      </c>
      <c r="E826" s="28">
        <v>976.42200000000003</v>
      </c>
      <c r="F826" s="28">
        <v>9560.7970000000005</v>
      </c>
      <c r="G826" s="28">
        <v>12056.097000000002</v>
      </c>
      <c r="H826" s="28">
        <v>6997.69</v>
      </c>
      <c r="I826" s="19">
        <f>SUM(B826:H826)</f>
        <v>36432.474000000002</v>
      </c>
    </row>
    <row r="827" spans="1:9" x14ac:dyDescent="0.3">
      <c r="A827" s="15" t="s">
        <v>35</v>
      </c>
      <c r="B827" s="28">
        <v>0</v>
      </c>
      <c r="C827" s="28">
        <v>0</v>
      </c>
      <c r="D827" s="28">
        <v>3900</v>
      </c>
      <c r="E827" s="28">
        <v>3900</v>
      </c>
      <c r="F827" s="28">
        <v>1400</v>
      </c>
      <c r="G827" s="28">
        <v>0</v>
      </c>
      <c r="H827" s="28">
        <v>0</v>
      </c>
      <c r="I827" s="19">
        <f>SUM(B827:H827)</f>
        <v>9200</v>
      </c>
    </row>
    <row r="828" spans="1:9" ht="19.5" thickBot="1" x14ac:dyDescent="0.35">
      <c r="A828" s="15" t="s">
        <v>20</v>
      </c>
      <c r="B828" s="28">
        <v>2327.1400000000003</v>
      </c>
      <c r="C828" s="28">
        <v>5354.0480000000007</v>
      </c>
      <c r="D828" s="28">
        <v>6070.0879999999997</v>
      </c>
      <c r="E828" s="28">
        <v>4019.6040000000003</v>
      </c>
      <c r="F828" s="28">
        <v>8559.9639999999999</v>
      </c>
      <c r="G828" s="28">
        <v>20081.740000000002</v>
      </c>
      <c r="H828" s="28">
        <v>9943.228000000001</v>
      </c>
      <c r="I828" s="19">
        <f>SUM(B828:H828)</f>
        <v>56355.812000000005</v>
      </c>
    </row>
    <row r="829" spans="1:9" x14ac:dyDescent="0.3">
      <c r="A829" s="55" t="s">
        <v>7</v>
      </c>
      <c r="B829" s="56">
        <f t="shared" ref="B829:I829" si="120">SUM(B826:B828)</f>
        <v>4768.1970000000001</v>
      </c>
      <c r="C829" s="56">
        <f t="shared" si="120"/>
        <v>6662.4570000000003</v>
      </c>
      <c r="D829" s="56">
        <f t="shared" si="120"/>
        <v>13062.09</v>
      </c>
      <c r="E829" s="56">
        <f t="shared" si="120"/>
        <v>8896.0260000000017</v>
      </c>
      <c r="F829" s="56">
        <f t="shared" si="120"/>
        <v>19520.760999999999</v>
      </c>
      <c r="G829" s="56">
        <f t="shared" si="120"/>
        <v>32137.837000000003</v>
      </c>
      <c r="H829" s="56">
        <f t="shared" si="120"/>
        <v>16940.918000000001</v>
      </c>
      <c r="I829" s="56">
        <f t="shared" si="120"/>
        <v>101988.28600000001</v>
      </c>
    </row>
    <row r="831" spans="1:9" x14ac:dyDescent="0.3">
      <c r="A831" s="4" t="s">
        <v>86</v>
      </c>
      <c r="B831" s="5" t="s">
        <v>0</v>
      </c>
      <c r="C831" s="5" t="s">
        <v>1</v>
      </c>
      <c r="D831" s="5" t="s">
        <v>2</v>
      </c>
      <c r="E831" s="6" t="s">
        <v>3</v>
      </c>
      <c r="F831" s="5" t="s">
        <v>4</v>
      </c>
      <c r="G831" s="5" t="s">
        <v>5</v>
      </c>
      <c r="H831" s="5" t="s">
        <v>6</v>
      </c>
      <c r="I831" s="5" t="s">
        <v>7</v>
      </c>
    </row>
    <row r="832" spans="1:9" x14ac:dyDescent="0.3">
      <c r="A832" s="7"/>
      <c r="B832" s="8">
        <v>45551</v>
      </c>
      <c r="C832" s="8">
        <v>45552</v>
      </c>
      <c r="D832" s="8">
        <v>45553</v>
      </c>
      <c r="E832" s="8">
        <v>45554</v>
      </c>
      <c r="F832" s="8">
        <v>45555</v>
      </c>
      <c r="G832" s="8">
        <v>45556</v>
      </c>
      <c r="H832" s="8">
        <v>45557</v>
      </c>
      <c r="I832" s="9"/>
    </row>
    <row r="833" spans="1:9" ht="19.5" thickBot="1" x14ac:dyDescent="0.35">
      <c r="A833" s="10" t="s">
        <v>8</v>
      </c>
      <c r="B833" s="11" t="s">
        <v>9</v>
      </c>
      <c r="C833" s="11" t="s">
        <v>9</v>
      </c>
      <c r="D833" s="11" t="s">
        <v>9</v>
      </c>
      <c r="E833" s="11" t="s">
        <v>9</v>
      </c>
      <c r="F833" s="11" t="s">
        <v>9</v>
      </c>
      <c r="G833" s="11" t="s">
        <v>9</v>
      </c>
      <c r="H833" s="43" t="s">
        <v>9</v>
      </c>
      <c r="I833" s="44" t="s">
        <v>9</v>
      </c>
    </row>
    <row r="834" spans="1:9" x14ac:dyDescent="0.3">
      <c r="A834" s="13" t="s">
        <v>10</v>
      </c>
      <c r="B834" s="14">
        <v>52</v>
      </c>
      <c r="C834" s="14">
        <v>46</v>
      </c>
      <c r="D834" s="14">
        <v>48</v>
      </c>
      <c r="E834" s="14">
        <v>47</v>
      </c>
      <c r="F834" s="14">
        <v>47</v>
      </c>
      <c r="G834" s="14">
        <v>47</v>
      </c>
      <c r="H834" s="14">
        <v>47</v>
      </c>
      <c r="I834" s="16"/>
    </row>
    <row r="835" spans="1:9" x14ac:dyDescent="0.3">
      <c r="A835" s="15" t="s">
        <v>11</v>
      </c>
      <c r="B835" s="16">
        <v>1</v>
      </c>
      <c r="C835" s="16">
        <v>2</v>
      </c>
      <c r="D835" s="16">
        <v>2</v>
      </c>
      <c r="E835" s="16">
        <v>1</v>
      </c>
      <c r="F835" s="16">
        <v>1</v>
      </c>
      <c r="G835" s="16">
        <v>1</v>
      </c>
      <c r="H835" s="16">
        <v>2</v>
      </c>
      <c r="I835" s="16">
        <f>SUM(B835:H835)</f>
        <v>10</v>
      </c>
    </row>
    <row r="836" spans="1:9" x14ac:dyDescent="0.3">
      <c r="A836" s="15" t="s">
        <v>12</v>
      </c>
      <c r="B836" s="16">
        <v>21</v>
      </c>
      <c r="C836" s="16">
        <v>26</v>
      </c>
      <c r="D836" s="16">
        <v>22</v>
      </c>
      <c r="E836" s="16">
        <v>21</v>
      </c>
      <c r="F836" s="16">
        <v>28</v>
      </c>
      <c r="G836" s="16">
        <v>22</v>
      </c>
      <c r="H836" s="16">
        <v>24</v>
      </c>
      <c r="I836" s="16">
        <f>SUM(B836:H836)</f>
        <v>164</v>
      </c>
    </row>
    <row r="837" spans="1:9" x14ac:dyDescent="0.3">
      <c r="A837" s="15" t="s">
        <v>30</v>
      </c>
      <c r="B837" s="16">
        <v>0</v>
      </c>
      <c r="C837" s="16">
        <v>0</v>
      </c>
      <c r="D837" s="16">
        <v>0</v>
      </c>
      <c r="E837" s="16">
        <v>0</v>
      </c>
      <c r="F837" s="16">
        <v>0</v>
      </c>
      <c r="G837" s="16">
        <v>0</v>
      </c>
      <c r="H837" s="16">
        <v>0</v>
      </c>
      <c r="I837" s="16">
        <f>SUM(B837:H837)</f>
        <v>0</v>
      </c>
    </row>
    <row r="838" spans="1:9" x14ac:dyDescent="0.3">
      <c r="A838" s="15" t="s">
        <v>28</v>
      </c>
      <c r="B838" s="16">
        <v>22</v>
      </c>
      <c r="C838" s="16">
        <v>16</v>
      </c>
      <c r="D838" s="16">
        <v>18</v>
      </c>
      <c r="E838" s="16">
        <v>33</v>
      </c>
      <c r="F838" s="16">
        <v>118</v>
      </c>
      <c r="G838" s="16">
        <v>321</v>
      </c>
      <c r="H838" s="16">
        <v>70</v>
      </c>
      <c r="I838" s="16">
        <f>SUM(B838:H838)</f>
        <v>598</v>
      </c>
    </row>
    <row r="839" spans="1:9" x14ac:dyDescent="0.3">
      <c r="A839" s="15" t="s">
        <v>29</v>
      </c>
      <c r="B839" s="16">
        <v>0</v>
      </c>
      <c r="C839" s="16">
        <v>0</v>
      </c>
      <c r="D839" s="16">
        <v>0</v>
      </c>
      <c r="E839" s="16">
        <v>0</v>
      </c>
      <c r="F839" s="16">
        <v>2</v>
      </c>
      <c r="G839" s="16">
        <v>27</v>
      </c>
      <c r="H839" s="16">
        <v>22</v>
      </c>
      <c r="I839" s="16">
        <f>SUM(B839:H839)</f>
        <v>51</v>
      </c>
    </row>
    <row r="840" spans="1:9" x14ac:dyDescent="0.3">
      <c r="A840" s="15" t="s">
        <v>31</v>
      </c>
      <c r="B840" s="16">
        <v>1</v>
      </c>
      <c r="C840" s="16">
        <v>0</v>
      </c>
      <c r="D840" s="16">
        <v>0</v>
      </c>
      <c r="E840" s="16">
        <v>2</v>
      </c>
      <c r="F840" s="16">
        <v>0</v>
      </c>
      <c r="G840" s="16">
        <v>17</v>
      </c>
      <c r="H840" s="16">
        <v>16</v>
      </c>
      <c r="I840" s="16">
        <f t="shared" ref="I840:I844" si="121">SUM(B840:H840)</f>
        <v>36</v>
      </c>
    </row>
    <row r="841" spans="1:9" x14ac:dyDescent="0.3">
      <c r="A841" s="15" t="s">
        <v>13</v>
      </c>
      <c r="B841" s="16">
        <v>0</v>
      </c>
      <c r="C841" s="16">
        <v>0</v>
      </c>
      <c r="D841" s="16">
        <v>0</v>
      </c>
      <c r="E841" s="16">
        <v>0</v>
      </c>
      <c r="F841" s="16">
        <v>5</v>
      </c>
      <c r="G841" s="16">
        <v>3</v>
      </c>
      <c r="H841" s="16">
        <v>2</v>
      </c>
      <c r="I841" s="16">
        <f t="shared" si="121"/>
        <v>10</v>
      </c>
    </row>
    <row r="842" spans="1:9" x14ac:dyDescent="0.3">
      <c r="A842" s="15" t="s">
        <v>14</v>
      </c>
      <c r="B842" s="16">
        <v>0</v>
      </c>
      <c r="C842" s="16">
        <v>0</v>
      </c>
      <c r="D842" s="16">
        <v>0</v>
      </c>
      <c r="E842" s="16">
        <v>0</v>
      </c>
      <c r="F842" s="16">
        <v>2</v>
      </c>
      <c r="G842" s="16">
        <v>0</v>
      </c>
      <c r="H842" s="16">
        <v>0</v>
      </c>
      <c r="I842" s="16">
        <f t="shared" si="121"/>
        <v>2</v>
      </c>
    </row>
    <row r="843" spans="1:9" x14ac:dyDescent="0.3">
      <c r="A843" s="15" t="s">
        <v>32</v>
      </c>
      <c r="B843" s="16">
        <v>0</v>
      </c>
      <c r="C843" s="16">
        <v>0</v>
      </c>
      <c r="D843" s="16">
        <v>0</v>
      </c>
      <c r="E843" s="16">
        <v>0</v>
      </c>
      <c r="F843" s="16">
        <v>0</v>
      </c>
      <c r="G843" s="16">
        <v>0</v>
      </c>
      <c r="H843" s="16">
        <v>0</v>
      </c>
      <c r="I843" s="16">
        <f t="shared" si="121"/>
        <v>0</v>
      </c>
    </row>
    <row r="844" spans="1:9" x14ac:dyDescent="0.3">
      <c r="A844" s="15" t="s">
        <v>33</v>
      </c>
      <c r="B844" s="16">
        <v>0</v>
      </c>
      <c r="C844" s="16">
        <v>0</v>
      </c>
      <c r="D844" s="16">
        <v>0</v>
      </c>
      <c r="E844" s="16">
        <v>0</v>
      </c>
      <c r="F844" s="16">
        <v>0</v>
      </c>
      <c r="G844" s="16">
        <v>0</v>
      </c>
      <c r="H844" s="16">
        <v>0</v>
      </c>
      <c r="I844" s="16">
        <f t="shared" si="121"/>
        <v>0</v>
      </c>
    </row>
    <row r="845" spans="1:9" ht="19.5" thickBot="1" x14ac:dyDescent="0.35">
      <c r="A845" s="30" t="s">
        <v>15</v>
      </c>
      <c r="B845" s="31">
        <f t="shared" ref="B845:H845" si="122">(B836+B835)/B834*100%</f>
        <v>0.42307692307692307</v>
      </c>
      <c r="C845" s="31">
        <f t="shared" si="122"/>
        <v>0.60869565217391308</v>
      </c>
      <c r="D845" s="31">
        <f t="shared" si="122"/>
        <v>0.5</v>
      </c>
      <c r="E845" s="31">
        <f t="shared" si="122"/>
        <v>0.46808510638297873</v>
      </c>
      <c r="F845" s="31">
        <f t="shared" si="122"/>
        <v>0.61702127659574468</v>
      </c>
      <c r="G845" s="31">
        <f t="shared" si="122"/>
        <v>0.48936170212765956</v>
      </c>
      <c r="H845" s="31">
        <f t="shared" si="122"/>
        <v>0.55319148936170215</v>
      </c>
      <c r="I845" s="32">
        <f>(B845+C845+D845+E845+F845+G845+H845)/7</f>
        <v>0.52277602138841739</v>
      </c>
    </row>
    <row r="846" spans="1:9" x14ac:dyDescent="0.3">
      <c r="A846" s="67" t="s">
        <v>16</v>
      </c>
      <c r="B846" s="16"/>
      <c r="C846" s="17"/>
      <c r="D846" s="16"/>
      <c r="E846" s="18"/>
      <c r="F846" s="16"/>
      <c r="G846" s="16"/>
      <c r="H846" s="16"/>
      <c r="I846" s="16"/>
    </row>
    <row r="847" spans="1:9" x14ac:dyDescent="0.3">
      <c r="A847" s="15" t="s">
        <v>34</v>
      </c>
      <c r="B847" s="28">
        <v>1505.3440000000001</v>
      </c>
      <c r="C847" s="28">
        <v>7607.9532000000008</v>
      </c>
      <c r="D847" s="28">
        <v>4760.0550000000003</v>
      </c>
      <c r="E847" s="28">
        <v>1830.7909</v>
      </c>
      <c r="F847" s="28">
        <v>9235.3230000000003</v>
      </c>
      <c r="G847" s="28">
        <v>16436.434000000001</v>
      </c>
      <c r="H847" s="28">
        <v>17595.935000000001</v>
      </c>
      <c r="I847" s="19">
        <f>SUM(B847:H847)</f>
        <v>58971.835099999997</v>
      </c>
    </row>
    <row r="848" spans="1:9" x14ac:dyDescent="0.3">
      <c r="A848" s="15" t="s">
        <v>35</v>
      </c>
      <c r="B848" s="28">
        <v>6160.0889999999999</v>
      </c>
      <c r="C848" s="28">
        <v>5880.1090000000004</v>
      </c>
      <c r="D848" s="28">
        <v>5880.1100000000006</v>
      </c>
      <c r="E848" s="28">
        <v>6160.1143000000002</v>
      </c>
      <c r="F848" s="28">
        <v>6160.1142</v>
      </c>
      <c r="G848" s="28">
        <v>0</v>
      </c>
      <c r="H848" s="28">
        <v>0</v>
      </c>
      <c r="I848" s="19">
        <f>SUM(B848:H848)</f>
        <v>30240.536500000002</v>
      </c>
    </row>
    <row r="849" spans="1:9" ht="19.5" thickBot="1" x14ac:dyDescent="0.35">
      <c r="A849" s="15" t="s">
        <v>20</v>
      </c>
      <c r="B849" s="28">
        <v>4768.192</v>
      </c>
      <c r="C849" s="28">
        <v>3384.9308000000001</v>
      </c>
      <c r="D849" s="28">
        <v>3808.0447999999997</v>
      </c>
      <c r="E849" s="28">
        <v>7209.2479999999996</v>
      </c>
      <c r="F849" s="28">
        <v>23658.976800000004</v>
      </c>
      <c r="G849" s="28">
        <v>60925.343999999997</v>
      </c>
      <c r="H849" s="28">
        <v>18503.192000000003</v>
      </c>
      <c r="I849" s="19">
        <f>SUM(B849:H849)</f>
        <v>122257.9284</v>
      </c>
    </row>
    <row r="850" spans="1:9" x14ac:dyDescent="0.3">
      <c r="A850" s="55" t="s">
        <v>7</v>
      </c>
      <c r="B850" s="56">
        <f t="shared" ref="B850:I850" si="123">SUM(B847:B849)</f>
        <v>12433.625</v>
      </c>
      <c r="C850" s="56">
        <f t="shared" si="123"/>
        <v>16872.993000000002</v>
      </c>
      <c r="D850" s="56">
        <f t="shared" si="123"/>
        <v>14448.209800000001</v>
      </c>
      <c r="E850" s="56">
        <f t="shared" si="123"/>
        <v>15200.153200000001</v>
      </c>
      <c r="F850" s="56">
        <f t="shared" si="123"/>
        <v>39054.414000000004</v>
      </c>
      <c r="G850" s="56">
        <f t="shared" si="123"/>
        <v>77361.777999999991</v>
      </c>
      <c r="H850" s="56">
        <f t="shared" si="123"/>
        <v>36099.127000000008</v>
      </c>
      <c r="I850" s="56">
        <f t="shared" si="123"/>
        <v>211470.3</v>
      </c>
    </row>
    <row r="853" spans="1:9" x14ac:dyDescent="0.3">
      <c r="A853" s="4" t="s">
        <v>87</v>
      </c>
      <c r="B853" s="5" t="s">
        <v>0</v>
      </c>
      <c r="C853" s="5" t="s">
        <v>1</v>
      </c>
      <c r="D853" s="5" t="s">
        <v>2</v>
      </c>
      <c r="E853" s="6" t="s">
        <v>3</v>
      </c>
      <c r="F853" s="5" t="s">
        <v>4</v>
      </c>
      <c r="G853" s="5" t="s">
        <v>5</v>
      </c>
      <c r="H853" s="5" t="s">
        <v>6</v>
      </c>
      <c r="I853" s="5" t="s">
        <v>7</v>
      </c>
    </row>
    <row r="854" spans="1:9" x14ac:dyDescent="0.3">
      <c r="A854" s="7"/>
      <c r="B854" s="8">
        <v>45558</v>
      </c>
      <c r="C854" s="8">
        <v>45559</v>
      </c>
      <c r="D854" s="8">
        <v>45560</v>
      </c>
      <c r="E854" s="8">
        <v>45561</v>
      </c>
      <c r="F854" s="8">
        <v>45562</v>
      </c>
      <c r="G854" s="8">
        <v>45563</v>
      </c>
      <c r="H854" s="8">
        <v>45564</v>
      </c>
      <c r="I854" s="9"/>
    </row>
    <row r="855" spans="1:9" ht="19.5" thickBot="1" x14ac:dyDescent="0.35">
      <c r="A855" s="10" t="s">
        <v>8</v>
      </c>
      <c r="B855" s="11" t="s">
        <v>9</v>
      </c>
      <c r="C855" s="11" t="s">
        <v>9</v>
      </c>
      <c r="D855" s="11" t="s">
        <v>9</v>
      </c>
      <c r="E855" s="11" t="s">
        <v>9</v>
      </c>
      <c r="F855" s="11" t="s">
        <v>9</v>
      </c>
      <c r="G855" s="11" t="s">
        <v>9</v>
      </c>
      <c r="H855" s="43" t="s">
        <v>9</v>
      </c>
      <c r="I855" s="44" t="s">
        <v>9</v>
      </c>
    </row>
    <row r="856" spans="1:9" x14ac:dyDescent="0.3">
      <c r="A856" s="13" t="s">
        <v>10</v>
      </c>
      <c r="B856" s="14">
        <v>48</v>
      </c>
      <c r="C856" s="14">
        <v>51</v>
      </c>
      <c r="D856" s="14">
        <v>51</v>
      </c>
      <c r="E856" s="14">
        <v>50</v>
      </c>
      <c r="F856" s="14">
        <v>53</v>
      </c>
      <c r="G856" s="14">
        <v>49</v>
      </c>
      <c r="H856" s="14">
        <v>48</v>
      </c>
      <c r="I856" s="16"/>
    </row>
    <row r="857" spans="1:9" x14ac:dyDescent="0.3">
      <c r="A857" s="15" t="s">
        <v>11</v>
      </c>
      <c r="B857" s="16">
        <v>2</v>
      </c>
      <c r="C857" s="16">
        <v>2</v>
      </c>
      <c r="D857" s="16">
        <v>2</v>
      </c>
      <c r="E857" s="16">
        <v>2</v>
      </c>
      <c r="F857" s="16">
        <v>0</v>
      </c>
      <c r="G857" s="16">
        <v>0</v>
      </c>
      <c r="H857" s="16">
        <v>0</v>
      </c>
      <c r="I857" s="16">
        <f>SUM(B857:H857)</f>
        <v>8</v>
      </c>
    </row>
    <row r="858" spans="1:9" x14ac:dyDescent="0.3">
      <c r="A858" s="15" t="s">
        <v>12</v>
      </c>
      <c r="B858" s="16">
        <v>18</v>
      </c>
      <c r="C858" s="16">
        <v>15</v>
      </c>
      <c r="D858" s="16">
        <v>23</v>
      </c>
      <c r="E858" s="16">
        <v>11</v>
      </c>
      <c r="F858" s="16">
        <v>13</v>
      </c>
      <c r="G858" s="16">
        <v>17</v>
      </c>
      <c r="H858" s="16">
        <v>1</v>
      </c>
      <c r="I858" s="16">
        <f>SUM(B858:H858)</f>
        <v>98</v>
      </c>
    </row>
    <row r="859" spans="1:9" x14ac:dyDescent="0.3">
      <c r="A859" s="15" t="s">
        <v>30</v>
      </c>
      <c r="B859" s="16">
        <v>0</v>
      </c>
      <c r="C859" s="16">
        <v>0</v>
      </c>
      <c r="D859" s="16">
        <v>0</v>
      </c>
      <c r="E859" s="16">
        <v>0</v>
      </c>
      <c r="F859" s="16">
        <v>0</v>
      </c>
      <c r="G859" s="16">
        <v>0</v>
      </c>
      <c r="H859" s="16">
        <v>0</v>
      </c>
      <c r="I859" s="16">
        <f>SUM(B859:H859)</f>
        <v>0</v>
      </c>
    </row>
    <row r="860" spans="1:9" x14ac:dyDescent="0.3">
      <c r="A860" s="15" t="s">
        <v>28</v>
      </c>
      <c r="B860" s="16">
        <v>145</v>
      </c>
      <c r="C860" s="16">
        <v>68</v>
      </c>
      <c r="D860" s="16">
        <v>80</v>
      </c>
      <c r="E860" s="16">
        <v>8</v>
      </c>
      <c r="F860" s="16">
        <v>52</v>
      </c>
      <c r="G860" s="16">
        <v>225</v>
      </c>
      <c r="H860" s="16">
        <v>20</v>
      </c>
      <c r="I860" s="16">
        <f>SUM(B860:H860)</f>
        <v>598</v>
      </c>
    </row>
    <row r="861" spans="1:9" x14ac:dyDescent="0.3">
      <c r="A861" s="15" t="s">
        <v>29</v>
      </c>
      <c r="B861" s="16">
        <v>39</v>
      </c>
      <c r="C861" s="16">
        <v>0</v>
      </c>
      <c r="D861" s="16">
        <v>0</v>
      </c>
      <c r="E861" s="16">
        <v>1</v>
      </c>
      <c r="F861" s="16">
        <v>0</v>
      </c>
      <c r="G861" s="16">
        <v>45</v>
      </c>
      <c r="H861" s="16">
        <v>3</v>
      </c>
      <c r="I861" s="16">
        <f>SUM(B861:H861)</f>
        <v>88</v>
      </c>
    </row>
    <row r="862" spans="1:9" x14ac:dyDescent="0.3">
      <c r="A862" s="15" t="s">
        <v>31</v>
      </c>
      <c r="B862" s="16">
        <v>22</v>
      </c>
      <c r="C862" s="16">
        <v>0</v>
      </c>
      <c r="D862" s="16">
        <v>0</v>
      </c>
      <c r="E862" s="16">
        <v>1</v>
      </c>
      <c r="F862" s="16">
        <v>1</v>
      </c>
      <c r="G862" s="16">
        <v>28</v>
      </c>
      <c r="H862" s="16">
        <v>0</v>
      </c>
      <c r="I862" s="16">
        <f t="shared" ref="I862:I866" si="124">SUM(B862:H862)</f>
        <v>52</v>
      </c>
    </row>
    <row r="863" spans="1:9" x14ac:dyDescent="0.3">
      <c r="A863" s="15" t="s">
        <v>13</v>
      </c>
      <c r="B863" s="16">
        <v>0</v>
      </c>
      <c r="C863" s="16">
        <v>0</v>
      </c>
      <c r="D863" s="16">
        <v>0</v>
      </c>
      <c r="E863" s="16">
        <v>1</v>
      </c>
      <c r="F863" s="16">
        <v>0</v>
      </c>
      <c r="G863" s="16">
        <v>0</v>
      </c>
      <c r="H863" s="16">
        <v>0</v>
      </c>
      <c r="I863" s="16">
        <f t="shared" si="124"/>
        <v>1</v>
      </c>
    </row>
    <row r="864" spans="1:9" x14ac:dyDescent="0.3">
      <c r="A864" s="15" t="s">
        <v>14</v>
      </c>
      <c r="B864" s="16">
        <v>0</v>
      </c>
      <c r="C864" s="16">
        <v>0</v>
      </c>
      <c r="D864" s="16">
        <v>0</v>
      </c>
      <c r="E864" s="16">
        <v>0</v>
      </c>
      <c r="F864" s="16">
        <v>0</v>
      </c>
      <c r="G864" s="16">
        <v>0</v>
      </c>
      <c r="H864" s="16">
        <v>0</v>
      </c>
      <c r="I864" s="16">
        <f t="shared" si="124"/>
        <v>0</v>
      </c>
    </row>
    <row r="865" spans="1:9" x14ac:dyDescent="0.3">
      <c r="A865" s="15" t="s">
        <v>32</v>
      </c>
      <c r="B865" s="16">
        <v>0</v>
      </c>
      <c r="C865" s="16">
        <v>0</v>
      </c>
      <c r="D865" s="16">
        <v>0</v>
      </c>
      <c r="E865" s="16">
        <v>0</v>
      </c>
      <c r="F865" s="16">
        <v>0</v>
      </c>
      <c r="G865" s="16">
        <v>0</v>
      </c>
      <c r="H865" s="16">
        <v>0</v>
      </c>
      <c r="I865" s="16">
        <f t="shared" si="124"/>
        <v>0</v>
      </c>
    </row>
    <row r="866" spans="1:9" x14ac:dyDescent="0.3">
      <c r="A866" s="15" t="s">
        <v>33</v>
      </c>
      <c r="B866" s="16">
        <v>0</v>
      </c>
      <c r="C866" s="16">
        <v>0</v>
      </c>
      <c r="D866" s="16">
        <v>0</v>
      </c>
      <c r="E866" s="16">
        <v>0</v>
      </c>
      <c r="F866" s="16">
        <v>0</v>
      </c>
      <c r="G866" s="16">
        <v>0</v>
      </c>
      <c r="H866" s="16">
        <v>0</v>
      </c>
      <c r="I866" s="16">
        <f t="shared" si="124"/>
        <v>0</v>
      </c>
    </row>
    <row r="867" spans="1:9" ht="19.5" thickBot="1" x14ac:dyDescent="0.35">
      <c r="A867" s="30" t="s">
        <v>15</v>
      </c>
      <c r="B867" s="31">
        <f t="shared" ref="B867:H867" si="125">(B858+B857)/B856*100%</f>
        <v>0.41666666666666669</v>
      </c>
      <c r="C867" s="31">
        <f t="shared" si="125"/>
        <v>0.33333333333333331</v>
      </c>
      <c r="D867" s="31">
        <f t="shared" si="125"/>
        <v>0.49019607843137253</v>
      </c>
      <c r="E867" s="31">
        <f t="shared" si="125"/>
        <v>0.26</v>
      </c>
      <c r="F867" s="31">
        <f t="shared" si="125"/>
        <v>0.24528301886792453</v>
      </c>
      <c r="G867" s="31">
        <f t="shared" si="125"/>
        <v>0.34693877551020408</v>
      </c>
      <c r="H867" s="31">
        <f t="shared" si="125"/>
        <v>2.0833333333333332E-2</v>
      </c>
      <c r="I867" s="32">
        <f>(B867+C867+D867+E867+F867+G867+H867)/7</f>
        <v>0.30189302944897639</v>
      </c>
    </row>
    <row r="868" spans="1:9" x14ac:dyDescent="0.3">
      <c r="A868" s="67" t="s">
        <v>16</v>
      </c>
      <c r="B868" s="16"/>
      <c r="C868" s="17"/>
      <c r="D868" s="16"/>
      <c r="E868" s="18"/>
      <c r="F868" s="16"/>
      <c r="G868" s="16"/>
      <c r="H868" s="16"/>
      <c r="I868" s="16"/>
    </row>
    <row r="869" spans="1:9" x14ac:dyDescent="0.3">
      <c r="A869" s="15" t="s">
        <v>34</v>
      </c>
      <c r="B869" s="28">
        <v>3580.1658000000007</v>
      </c>
      <c r="C869" s="28">
        <v>3092.0026000000003</v>
      </c>
      <c r="D869" s="28">
        <v>1847.0709999999999</v>
      </c>
      <c r="E869" s="28">
        <v>1301.8958000000002</v>
      </c>
      <c r="F869" s="28">
        <v>3987.0558000000001</v>
      </c>
      <c r="G869" s="28">
        <v>5752.7520000000004</v>
      </c>
      <c r="H869" s="28">
        <v>2441.0614</v>
      </c>
      <c r="I869" s="19">
        <f>SUM(B869:H869)</f>
        <v>22002.004399999998</v>
      </c>
    </row>
    <row r="870" spans="1:9" x14ac:dyDescent="0.3">
      <c r="A870" s="15" t="s">
        <v>35</v>
      </c>
      <c r="B870" s="28">
        <v>3929.3148000000001</v>
      </c>
      <c r="C870" s="28">
        <v>6840.1266000000005</v>
      </c>
      <c r="D870" s="28">
        <v>13690.2163</v>
      </c>
      <c r="E870" s="28">
        <v>4400.0807000000004</v>
      </c>
      <c r="F870" s="28">
        <v>4400.0807000000004</v>
      </c>
      <c r="G870" s="28">
        <v>4400.0807000000004</v>
      </c>
      <c r="H870" s="28">
        <v>0</v>
      </c>
      <c r="I870" s="19">
        <f>SUM(B870:H870)</f>
        <v>37659.899799999999</v>
      </c>
    </row>
    <row r="871" spans="1:9" ht="19.5" thickBot="1" x14ac:dyDescent="0.35">
      <c r="A871" s="15" t="s">
        <v>20</v>
      </c>
      <c r="B871" s="28">
        <v>34300.071600000003</v>
      </c>
      <c r="C871" s="28">
        <v>10675.5452</v>
      </c>
      <c r="D871" s="28">
        <v>16215.596</v>
      </c>
      <c r="E871" s="28">
        <v>2001.6635999999999</v>
      </c>
      <c r="F871" s="28">
        <v>9943.2296000000006</v>
      </c>
      <c r="G871" s="28">
        <v>42603.146399999998</v>
      </c>
      <c r="H871" s="28">
        <v>4475.2668000000003</v>
      </c>
      <c r="I871" s="19">
        <f>SUM(B871:H871)</f>
        <v>120214.5192</v>
      </c>
    </row>
    <row r="872" spans="1:9" x14ac:dyDescent="0.3">
      <c r="A872" s="55" t="s">
        <v>7</v>
      </c>
      <c r="B872" s="56">
        <f t="shared" ref="B872:I872" si="126">SUM(B869:B871)</f>
        <v>41809.552200000006</v>
      </c>
      <c r="C872" s="56">
        <f t="shared" si="126"/>
        <v>20607.674400000004</v>
      </c>
      <c r="D872" s="56">
        <f t="shared" si="126"/>
        <v>31752.883300000001</v>
      </c>
      <c r="E872" s="56">
        <f t="shared" si="126"/>
        <v>7703.6401000000005</v>
      </c>
      <c r="F872" s="56">
        <f t="shared" si="126"/>
        <v>18330.366099999999</v>
      </c>
      <c r="G872" s="56">
        <f t="shared" si="126"/>
        <v>52755.979099999997</v>
      </c>
      <c r="H872" s="56">
        <f t="shared" si="126"/>
        <v>6916.3281999999999</v>
      </c>
      <c r="I872" s="56">
        <f t="shared" si="126"/>
        <v>179876.4234</v>
      </c>
    </row>
    <row r="876" spans="1:9" x14ac:dyDescent="0.3">
      <c r="A876" s="4" t="s">
        <v>88</v>
      </c>
      <c r="B876" s="5" t="s">
        <v>0</v>
      </c>
      <c r="C876" s="5" t="s">
        <v>1</v>
      </c>
      <c r="D876" s="5" t="s">
        <v>2</v>
      </c>
      <c r="E876" s="6" t="s">
        <v>3</v>
      </c>
      <c r="F876" s="5" t="s">
        <v>4</v>
      </c>
      <c r="G876" s="5" t="s">
        <v>5</v>
      </c>
      <c r="H876" s="5" t="s">
        <v>6</v>
      </c>
      <c r="I876" s="5" t="s">
        <v>7</v>
      </c>
    </row>
    <row r="877" spans="1:9" x14ac:dyDescent="0.3">
      <c r="A877" s="7"/>
      <c r="B877" s="8">
        <v>45565</v>
      </c>
      <c r="C877" s="8">
        <v>45566</v>
      </c>
      <c r="D877" s="8">
        <v>45567</v>
      </c>
      <c r="E877" s="8">
        <v>45568</v>
      </c>
      <c r="F877" s="8">
        <v>45569</v>
      </c>
      <c r="G877" s="8">
        <v>45570</v>
      </c>
      <c r="H877" s="8">
        <v>45571</v>
      </c>
      <c r="I877" s="9"/>
    </row>
    <row r="878" spans="1:9" ht="19.5" thickBot="1" x14ac:dyDescent="0.35">
      <c r="A878" s="10" t="s">
        <v>8</v>
      </c>
      <c r="B878" s="11" t="s">
        <v>9</v>
      </c>
      <c r="C878" s="11" t="s">
        <v>9</v>
      </c>
      <c r="D878" s="11" t="s">
        <v>9</v>
      </c>
      <c r="E878" s="11" t="s">
        <v>9</v>
      </c>
      <c r="F878" s="11" t="s">
        <v>9</v>
      </c>
      <c r="G878" s="11" t="s">
        <v>9</v>
      </c>
      <c r="H878" s="43" t="s">
        <v>9</v>
      </c>
      <c r="I878" s="44" t="s">
        <v>9</v>
      </c>
    </row>
    <row r="879" spans="1:9" x14ac:dyDescent="0.3">
      <c r="A879" s="13" t="s">
        <v>10</v>
      </c>
      <c r="B879" s="14">
        <v>49</v>
      </c>
      <c r="C879" s="14">
        <v>50</v>
      </c>
      <c r="D879" s="14">
        <v>50</v>
      </c>
      <c r="E879" s="14">
        <v>49</v>
      </c>
      <c r="F879" s="14">
        <v>45</v>
      </c>
      <c r="G879" s="14">
        <v>45</v>
      </c>
      <c r="H879" s="14">
        <v>50</v>
      </c>
      <c r="I879" s="16"/>
    </row>
    <row r="880" spans="1:9" x14ac:dyDescent="0.3">
      <c r="A880" s="15" t="s">
        <v>11</v>
      </c>
      <c r="B880" s="16">
        <v>0</v>
      </c>
      <c r="C880" s="16">
        <v>0</v>
      </c>
      <c r="D880" s="16">
        <v>0</v>
      </c>
      <c r="E880" s="16">
        <v>0</v>
      </c>
      <c r="F880" s="16">
        <v>0</v>
      </c>
      <c r="G880" s="16">
        <v>1</v>
      </c>
      <c r="H880" s="16">
        <v>1</v>
      </c>
      <c r="I880" s="16">
        <f>SUM(B880:H880)</f>
        <v>2</v>
      </c>
    </row>
    <row r="881" spans="1:9" x14ac:dyDescent="0.3">
      <c r="A881" s="15" t="s">
        <v>12</v>
      </c>
      <c r="B881" s="16">
        <v>0</v>
      </c>
      <c r="C881" s="16">
        <v>0</v>
      </c>
      <c r="D881" s="16">
        <v>11</v>
      </c>
      <c r="E881" s="16">
        <v>14</v>
      </c>
      <c r="F881" s="16">
        <v>27</v>
      </c>
      <c r="G881" s="16">
        <v>29</v>
      </c>
      <c r="H881" s="16">
        <v>4</v>
      </c>
      <c r="I881" s="16">
        <f>SUM(B881:H881)</f>
        <v>85</v>
      </c>
    </row>
    <row r="882" spans="1:9" x14ac:dyDescent="0.3">
      <c r="A882" s="15" t="s">
        <v>30</v>
      </c>
      <c r="B882" s="16">
        <v>0</v>
      </c>
      <c r="C882" s="16">
        <v>0</v>
      </c>
      <c r="D882" s="16">
        <v>0</v>
      </c>
      <c r="E882" s="16">
        <v>0</v>
      </c>
      <c r="F882" s="16">
        <v>0</v>
      </c>
      <c r="G882" s="16">
        <v>0</v>
      </c>
      <c r="H882" s="16">
        <v>0</v>
      </c>
      <c r="I882" s="16">
        <f>SUM(B882:H882)</f>
        <v>0</v>
      </c>
    </row>
    <row r="883" spans="1:9" x14ac:dyDescent="0.3">
      <c r="A883" s="15" t="s">
        <v>28</v>
      </c>
      <c r="B883" s="16">
        <v>9</v>
      </c>
      <c r="C883" s="16">
        <v>13</v>
      </c>
      <c r="D883" s="16">
        <v>11</v>
      </c>
      <c r="E883" s="16">
        <v>34</v>
      </c>
      <c r="F883" s="16">
        <v>30</v>
      </c>
      <c r="G883" s="16">
        <v>206</v>
      </c>
      <c r="H883" s="16">
        <v>56</v>
      </c>
      <c r="I883" s="16">
        <f>SUM(B883:H883)</f>
        <v>359</v>
      </c>
    </row>
    <row r="884" spans="1:9" x14ac:dyDescent="0.3">
      <c r="A884" s="15" t="s">
        <v>29</v>
      </c>
      <c r="B884" s="16">
        <v>0</v>
      </c>
      <c r="C884" s="16">
        <v>1</v>
      </c>
      <c r="D884" s="16">
        <v>1</v>
      </c>
      <c r="E884" s="16">
        <v>0</v>
      </c>
      <c r="F884" s="16">
        <v>0</v>
      </c>
      <c r="G884" s="16">
        <v>31</v>
      </c>
      <c r="H884" s="16">
        <v>8</v>
      </c>
      <c r="I884" s="16">
        <f>SUM(B884:H884)</f>
        <v>41</v>
      </c>
    </row>
    <row r="885" spans="1:9" x14ac:dyDescent="0.3">
      <c r="A885" s="15" t="s">
        <v>31</v>
      </c>
      <c r="B885" s="16">
        <v>0</v>
      </c>
      <c r="C885" s="16">
        <v>1</v>
      </c>
      <c r="D885" s="16">
        <v>0</v>
      </c>
      <c r="E885" s="16">
        <v>1</v>
      </c>
      <c r="F885" s="16">
        <v>2</v>
      </c>
      <c r="G885" s="16">
        <v>5</v>
      </c>
      <c r="H885" s="16">
        <v>2</v>
      </c>
      <c r="I885" s="16">
        <f t="shared" ref="I885:I889" si="127">SUM(B885:H885)</f>
        <v>11</v>
      </c>
    </row>
    <row r="886" spans="1:9" x14ac:dyDescent="0.3">
      <c r="A886" s="15" t="s">
        <v>13</v>
      </c>
      <c r="B886" s="16">
        <v>0</v>
      </c>
      <c r="C886" s="16">
        <v>1</v>
      </c>
      <c r="D886" s="16">
        <v>0</v>
      </c>
      <c r="E886" s="16">
        <v>0</v>
      </c>
      <c r="F886" s="16">
        <v>4</v>
      </c>
      <c r="G886" s="16">
        <v>3</v>
      </c>
      <c r="H886" s="16">
        <v>0</v>
      </c>
      <c r="I886" s="16">
        <f t="shared" si="127"/>
        <v>8</v>
      </c>
    </row>
    <row r="887" spans="1:9" x14ac:dyDescent="0.3">
      <c r="A887" s="15" t="s">
        <v>14</v>
      </c>
      <c r="B887" s="16">
        <v>0</v>
      </c>
      <c r="C887" s="16">
        <v>0</v>
      </c>
      <c r="D887" s="16">
        <v>0</v>
      </c>
      <c r="E887" s="16">
        <v>0</v>
      </c>
      <c r="F887" s="16">
        <v>0</v>
      </c>
      <c r="G887" s="16">
        <v>0</v>
      </c>
      <c r="H887" s="16">
        <v>0</v>
      </c>
      <c r="I887" s="16">
        <f t="shared" si="127"/>
        <v>0</v>
      </c>
    </row>
    <row r="888" spans="1:9" x14ac:dyDescent="0.3">
      <c r="A888" s="15" t="s">
        <v>32</v>
      </c>
      <c r="B888" s="16">
        <v>0</v>
      </c>
      <c r="C888" s="16">
        <v>0</v>
      </c>
      <c r="D888" s="16">
        <v>0</v>
      </c>
      <c r="E888" s="16">
        <v>0</v>
      </c>
      <c r="F888" s="16">
        <v>0</v>
      </c>
      <c r="G888" s="16">
        <v>0</v>
      </c>
      <c r="H888" s="16">
        <v>0</v>
      </c>
      <c r="I888" s="16">
        <f t="shared" si="127"/>
        <v>0</v>
      </c>
    </row>
    <row r="889" spans="1:9" x14ac:dyDescent="0.3">
      <c r="A889" s="15" t="s">
        <v>33</v>
      </c>
      <c r="B889" s="16">
        <v>0</v>
      </c>
      <c r="C889" s="16">
        <v>0</v>
      </c>
      <c r="D889" s="16">
        <v>0</v>
      </c>
      <c r="E889" s="16">
        <v>0</v>
      </c>
      <c r="F889" s="16">
        <v>0</v>
      </c>
      <c r="G889" s="16">
        <v>0</v>
      </c>
      <c r="H889" s="16">
        <v>0</v>
      </c>
      <c r="I889" s="16">
        <f t="shared" si="127"/>
        <v>0</v>
      </c>
    </row>
    <row r="890" spans="1:9" ht="19.5" thickBot="1" x14ac:dyDescent="0.35">
      <c r="A890" s="30" t="s">
        <v>15</v>
      </c>
      <c r="B890" s="31">
        <f t="shared" ref="B890:H890" si="128">(B881+B880)/B879*100%</f>
        <v>0</v>
      </c>
      <c r="C890" s="31">
        <f t="shared" si="128"/>
        <v>0</v>
      </c>
      <c r="D890" s="31">
        <f t="shared" si="128"/>
        <v>0.22</v>
      </c>
      <c r="E890" s="31">
        <f t="shared" si="128"/>
        <v>0.2857142857142857</v>
      </c>
      <c r="F890" s="31">
        <f t="shared" si="128"/>
        <v>0.6</v>
      </c>
      <c r="G890" s="31">
        <f t="shared" si="128"/>
        <v>0.66666666666666663</v>
      </c>
      <c r="H890" s="31">
        <f t="shared" si="128"/>
        <v>0.1</v>
      </c>
      <c r="I890" s="32">
        <f>(B890+C890+D890+E890+F890+G890+H890)/7</f>
        <v>0.26748299319727892</v>
      </c>
    </row>
    <row r="891" spans="1:9" x14ac:dyDescent="0.3">
      <c r="A891" s="67" t="s">
        <v>16</v>
      </c>
      <c r="B891" s="16"/>
      <c r="C891" s="17"/>
      <c r="D891" s="16"/>
      <c r="E891" s="18"/>
      <c r="F891" s="16"/>
      <c r="G891" s="16"/>
      <c r="H891" s="16"/>
      <c r="I891" s="16"/>
    </row>
    <row r="892" spans="1:9" x14ac:dyDescent="0.3">
      <c r="A892" s="15" t="s">
        <v>34</v>
      </c>
      <c r="B892" s="28">
        <v>0</v>
      </c>
      <c r="C892" s="28">
        <v>0</v>
      </c>
      <c r="D892" s="28">
        <v>0</v>
      </c>
      <c r="E892" s="28">
        <v>0</v>
      </c>
      <c r="F892" s="28">
        <v>4312.5300000000007</v>
      </c>
      <c r="G892" s="28">
        <v>5614.4260000000004</v>
      </c>
      <c r="H892" s="28">
        <v>3254.7400000000002</v>
      </c>
      <c r="I892" s="19">
        <f>SUM(B892:H892)</f>
        <v>13181.696000000002</v>
      </c>
    </row>
    <row r="893" spans="1:9" x14ac:dyDescent="0.3">
      <c r="A893" s="15" t="s">
        <v>35</v>
      </c>
      <c r="B893" s="28">
        <v>0</v>
      </c>
      <c r="C893" s="28">
        <v>0</v>
      </c>
      <c r="D893" s="28">
        <v>4200.0715</v>
      </c>
      <c r="E893" s="28">
        <v>4990.3242</v>
      </c>
      <c r="F893" s="28">
        <v>10954.048000000001</v>
      </c>
      <c r="G893" s="28">
        <v>12467.763000000001</v>
      </c>
      <c r="H893" s="28">
        <v>0</v>
      </c>
      <c r="I893" s="19">
        <f>SUM(B893:H893)</f>
        <v>32612.206700000002</v>
      </c>
    </row>
    <row r="894" spans="1:9" ht="19.5" thickBot="1" x14ac:dyDescent="0.35">
      <c r="A894" s="15" t="s">
        <v>20</v>
      </c>
      <c r="B894" s="28">
        <v>1904.0228</v>
      </c>
      <c r="C894" s="28">
        <v>3059.4540000000002</v>
      </c>
      <c r="D894" s="28">
        <v>2238.8824</v>
      </c>
      <c r="E894" s="28">
        <v>7306.8899999999994</v>
      </c>
      <c r="F894" s="28">
        <v>5175.0360000000001</v>
      </c>
      <c r="G894" s="28">
        <v>38863.22</v>
      </c>
      <c r="H894" s="28">
        <v>11847.252</v>
      </c>
      <c r="I894" s="19">
        <f>SUM(B894:H894)</f>
        <v>70394.757199999993</v>
      </c>
    </row>
    <row r="895" spans="1:9" x14ac:dyDescent="0.3">
      <c r="A895" s="55" t="s">
        <v>7</v>
      </c>
      <c r="B895" s="56">
        <f t="shared" ref="B895:I895" si="129">SUM(B892:B894)</f>
        <v>1904.0228</v>
      </c>
      <c r="C895" s="56">
        <f t="shared" si="129"/>
        <v>3059.4540000000002</v>
      </c>
      <c r="D895" s="56">
        <f t="shared" si="129"/>
        <v>6438.9539000000004</v>
      </c>
      <c r="E895" s="56">
        <f t="shared" si="129"/>
        <v>12297.214199999999</v>
      </c>
      <c r="F895" s="56">
        <f t="shared" si="129"/>
        <v>20441.614000000001</v>
      </c>
      <c r="G895" s="56">
        <f t="shared" si="129"/>
        <v>56945.409</v>
      </c>
      <c r="H895" s="56">
        <f t="shared" si="129"/>
        <v>15101.992</v>
      </c>
      <c r="I895" s="56">
        <f t="shared" si="129"/>
        <v>116188.6599</v>
      </c>
    </row>
    <row r="898" spans="1:9" x14ac:dyDescent="0.3">
      <c r="A898" s="4" t="s">
        <v>89</v>
      </c>
      <c r="B898" s="5" t="s">
        <v>0</v>
      </c>
      <c r="C898" s="5" t="s">
        <v>1</v>
      </c>
      <c r="D898" s="5" t="s">
        <v>2</v>
      </c>
      <c r="E898" s="6" t="s">
        <v>3</v>
      </c>
      <c r="F898" s="5" t="s">
        <v>4</v>
      </c>
      <c r="G898" s="5" t="s">
        <v>5</v>
      </c>
      <c r="H898" s="5" t="s">
        <v>6</v>
      </c>
      <c r="I898" s="5" t="s">
        <v>7</v>
      </c>
    </row>
    <row r="899" spans="1:9" x14ac:dyDescent="0.3">
      <c r="A899" s="7"/>
      <c r="B899" s="8">
        <v>45572</v>
      </c>
      <c r="C899" s="8">
        <v>45573</v>
      </c>
      <c r="D899" s="8">
        <v>45574</v>
      </c>
      <c r="E899" s="8">
        <v>45575</v>
      </c>
      <c r="F899" s="8">
        <v>45576</v>
      </c>
      <c r="G899" s="8">
        <v>45577</v>
      </c>
      <c r="H899" s="8">
        <v>45578</v>
      </c>
      <c r="I899" s="9"/>
    </row>
    <row r="900" spans="1:9" ht="19.5" thickBot="1" x14ac:dyDescent="0.35">
      <c r="A900" s="10" t="s">
        <v>8</v>
      </c>
      <c r="B900" s="11" t="s">
        <v>9</v>
      </c>
      <c r="C900" s="11" t="s">
        <v>9</v>
      </c>
      <c r="D900" s="11" t="s">
        <v>9</v>
      </c>
      <c r="E900" s="11" t="s">
        <v>9</v>
      </c>
      <c r="F900" s="11" t="s">
        <v>9</v>
      </c>
      <c r="G900" s="11" t="s">
        <v>9</v>
      </c>
      <c r="H900" s="43" t="s">
        <v>9</v>
      </c>
      <c r="I900" s="44" t="s">
        <v>9</v>
      </c>
    </row>
    <row r="901" spans="1:9" x14ac:dyDescent="0.3">
      <c r="A901" s="13" t="s">
        <v>10</v>
      </c>
      <c r="B901" s="14">
        <v>50</v>
      </c>
      <c r="C901" s="14">
        <v>50</v>
      </c>
      <c r="D901" s="14">
        <v>54</v>
      </c>
      <c r="E901" s="14">
        <v>54</v>
      </c>
      <c r="F901" s="14">
        <v>50</v>
      </c>
      <c r="G901" s="14">
        <v>51</v>
      </c>
      <c r="H901" s="14">
        <v>51</v>
      </c>
      <c r="I901" s="16"/>
    </row>
    <row r="902" spans="1:9" x14ac:dyDescent="0.3">
      <c r="A902" s="15" t="s">
        <v>11</v>
      </c>
      <c r="B902" s="16">
        <v>0</v>
      </c>
      <c r="C902" s="16">
        <v>0</v>
      </c>
      <c r="D902" s="16">
        <v>6</v>
      </c>
      <c r="E902" s="16">
        <v>6</v>
      </c>
      <c r="F902" s="16">
        <v>6</v>
      </c>
      <c r="G902" s="16">
        <v>7</v>
      </c>
      <c r="H902" s="16">
        <v>1</v>
      </c>
      <c r="I902" s="16">
        <f>SUM(B902:H902)</f>
        <v>26</v>
      </c>
    </row>
    <row r="903" spans="1:9" x14ac:dyDescent="0.3">
      <c r="A903" s="15" t="s">
        <v>12</v>
      </c>
      <c r="B903" s="16">
        <v>14</v>
      </c>
      <c r="C903" s="16">
        <v>15</v>
      </c>
      <c r="D903" s="16">
        <v>15</v>
      </c>
      <c r="E903" s="16">
        <v>4</v>
      </c>
      <c r="F903" s="16">
        <v>31</v>
      </c>
      <c r="G903" s="16">
        <v>29</v>
      </c>
      <c r="H903" s="16">
        <v>4</v>
      </c>
      <c r="I903" s="16">
        <f>SUM(B903:H903)</f>
        <v>112</v>
      </c>
    </row>
    <row r="904" spans="1:9" x14ac:dyDescent="0.3">
      <c r="A904" s="15" t="s">
        <v>30</v>
      </c>
      <c r="B904" s="16">
        <v>0</v>
      </c>
      <c r="C904" s="16">
        <v>2</v>
      </c>
      <c r="D904" s="16">
        <v>0</v>
      </c>
      <c r="E904" s="16">
        <v>0</v>
      </c>
      <c r="F904" s="16">
        <v>0</v>
      </c>
      <c r="G904" s="16">
        <v>0</v>
      </c>
      <c r="H904" s="16">
        <v>0</v>
      </c>
      <c r="I904" s="16">
        <f>SUM(B904:H904)</f>
        <v>2</v>
      </c>
    </row>
    <row r="905" spans="1:9" x14ac:dyDescent="0.3">
      <c r="A905" s="15" t="s">
        <v>28</v>
      </c>
      <c r="B905" s="16">
        <v>10</v>
      </c>
      <c r="C905" s="16">
        <v>17</v>
      </c>
      <c r="D905" s="16">
        <v>10</v>
      </c>
      <c r="E905" s="16">
        <v>27</v>
      </c>
      <c r="F905" s="16">
        <v>34</v>
      </c>
      <c r="G905" s="16">
        <v>221</v>
      </c>
      <c r="H905" s="16">
        <v>27</v>
      </c>
      <c r="I905" s="16">
        <f>SUM(B905:H905)</f>
        <v>346</v>
      </c>
    </row>
    <row r="906" spans="1:9" x14ac:dyDescent="0.3">
      <c r="A906" s="15" t="s">
        <v>29</v>
      </c>
      <c r="B906" s="16">
        <v>0</v>
      </c>
      <c r="C906" s="16">
        <v>0</v>
      </c>
      <c r="D906" s="16">
        <v>3</v>
      </c>
      <c r="E906" s="16">
        <v>0</v>
      </c>
      <c r="F906" s="16">
        <v>2</v>
      </c>
      <c r="G906" s="16">
        <v>45</v>
      </c>
      <c r="H906" s="16">
        <v>9</v>
      </c>
      <c r="I906" s="16">
        <f>SUM(B906:H906)</f>
        <v>59</v>
      </c>
    </row>
    <row r="907" spans="1:9" x14ac:dyDescent="0.3">
      <c r="A907" s="15" t="s">
        <v>31</v>
      </c>
      <c r="B907" s="16">
        <v>0</v>
      </c>
      <c r="C907" s="16">
        <v>0</v>
      </c>
      <c r="D907" s="16">
        <v>1</v>
      </c>
      <c r="E907" s="16">
        <v>0</v>
      </c>
      <c r="F907" s="16">
        <v>1</v>
      </c>
      <c r="G907" s="16">
        <v>7</v>
      </c>
      <c r="H907" s="16">
        <v>6</v>
      </c>
      <c r="I907" s="16">
        <f t="shared" ref="I907:I911" si="130">SUM(B907:H907)</f>
        <v>15</v>
      </c>
    </row>
    <row r="908" spans="1:9" x14ac:dyDescent="0.3">
      <c r="A908" s="15" t="s">
        <v>13</v>
      </c>
      <c r="B908" s="16">
        <v>3</v>
      </c>
      <c r="C908" s="16">
        <v>7</v>
      </c>
      <c r="D908" s="16">
        <v>2</v>
      </c>
      <c r="E908" s="16">
        <v>0</v>
      </c>
      <c r="F908" s="16">
        <v>0</v>
      </c>
      <c r="G908" s="16">
        <v>3</v>
      </c>
      <c r="H908" s="16">
        <v>0</v>
      </c>
      <c r="I908" s="16">
        <f t="shared" si="130"/>
        <v>15</v>
      </c>
    </row>
    <row r="909" spans="1:9" x14ac:dyDescent="0.3">
      <c r="A909" s="15" t="s">
        <v>14</v>
      </c>
      <c r="B909" s="16">
        <v>0</v>
      </c>
      <c r="C909" s="16">
        <v>0</v>
      </c>
      <c r="D909" s="16">
        <v>0</v>
      </c>
      <c r="E909" s="16">
        <v>0</v>
      </c>
      <c r="F909" s="16">
        <v>0</v>
      </c>
      <c r="G909" s="16">
        <v>4</v>
      </c>
      <c r="H909" s="16">
        <v>0</v>
      </c>
      <c r="I909" s="16">
        <f t="shared" si="130"/>
        <v>4</v>
      </c>
    </row>
    <row r="910" spans="1:9" x14ac:dyDescent="0.3">
      <c r="A910" s="15" t="s">
        <v>32</v>
      </c>
      <c r="B910" s="16">
        <v>0</v>
      </c>
      <c r="C910" s="16">
        <v>0</v>
      </c>
      <c r="D910" s="16">
        <v>0</v>
      </c>
      <c r="E910" s="16">
        <v>0</v>
      </c>
      <c r="F910" s="16">
        <v>0</v>
      </c>
      <c r="G910" s="16">
        <v>0</v>
      </c>
      <c r="H910" s="16">
        <v>0</v>
      </c>
      <c r="I910" s="16">
        <f t="shared" si="130"/>
        <v>0</v>
      </c>
    </row>
    <row r="911" spans="1:9" x14ac:dyDescent="0.3">
      <c r="A911" s="15" t="s">
        <v>33</v>
      </c>
      <c r="B911" s="16">
        <v>0</v>
      </c>
      <c r="C911" s="16">
        <v>0</v>
      </c>
      <c r="D911" s="16">
        <v>0</v>
      </c>
      <c r="E911" s="16">
        <v>0</v>
      </c>
      <c r="F911" s="16">
        <v>0</v>
      </c>
      <c r="G911" s="16">
        <v>1</v>
      </c>
      <c r="H911" s="16">
        <v>0</v>
      </c>
      <c r="I911" s="16">
        <f t="shared" si="130"/>
        <v>1</v>
      </c>
    </row>
    <row r="912" spans="1:9" ht="19.5" thickBot="1" x14ac:dyDescent="0.35">
      <c r="A912" s="30" t="s">
        <v>15</v>
      </c>
      <c r="B912" s="31">
        <f t="shared" ref="B912:H912" si="131">(B903+B902)/B901*100%</f>
        <v>0.28000000000000003</v>
      </c>
      <c r="C912" s="31">
        <f t="shared" si="131"/>
        <v>0.3</v>
      </c>
      <c r="D912" s="31">
        <f t="shared" si="131"/>
        <v>0.3888888888888889</v>
      </c>
      <c r="E912" s="31">
        <f t="shared" si="131"/>
        <v>0.18518518518518517</v>
      </c>
      <c r="F912" s="31">
        <f t="shared" si="131"/>
        <v>0.74</v>
      </c>
      <c r="G912" s="31">
        <f t="shared" si="131"/>
        <v>0.70588235294117652</v>
      </c>
      <c r="H912" s="31">
        <f t="shared" si="131"/>
        <v>9.8039215686274508E-2</v>
      </c>
      <c r="I912" s="32">
        <f>(B912+C912+D912+E912+F912+G912+H912)/7</f>
        <v>0.38542794895736071</v>
      </c>
    </row>
    <row r="913" spans="1:9" x14ac:dyDescent="0.3">
      <c r="A913" s="67" t="s">
        <v>16</v>
      </c>
      <c r="B913" s="16"/>
      <c r="C913" s="17"/>
      <c r="D913" s="16"/>
      <c r="E913" s="18"/>
      <c r="F913" s="16"/>
      <c r="G913" s="16"/>
      <c r="H913" s="16"/>
      <c r="I913" s="16"/>
    </row>
    <row r="914" spans="1:9" x14ac:dyDescent="0.3">
      <c r="A914" s="15" t="s">
        <v>34</v>
      </c>
      <c r="B914" s="28">
        <v>1263.6932000000002</v>
      </c>
      <c r="C914" s="28">
        <v>2891.0631000000003</v>
      </c>
      <c r="D914" s="28">
        <v>813.68490000000008</v>
      </c>
      <c r="E914" s="28">
        <v>1546.0011999999999</v>
      </c>
      <c r="F914" s="28">
        <v>9357.3760000000002</v>
      </c>
      <c r="G914" s="28">
        <v>11472.960000000001</v>
      </c>
      <c r="H914" s="28">
        <v>4556.6350000000002</v>
      </c>
      <c r="I914" s="19">
        <f>SUM(B914:H914)</f>
        <v>31901.413400000005</v>
      </c>
    </row>
    <row r="915" spans="1:9" x14ac:dyDescent="0.3">
      <c r="A915" s="15" t="s">
        <v>35</v>
      </c>
      <c r="B915" s="28">
        <v>6590.1252999999997</v>
      </c>
      <c r="C915" s="28">
        <v>4950.0924000000005</v>
      </c>
      <c r="D915" s="28">
        <v>6300.1176000000005</v>
      </c>
      <c r="E915" s="28">
        <v>1301.8958000000002</v>
      </c>
      <c r="F915" s="28">
        <v>6900.1280000000006</v>
      </c>
      <c r="G915" s="28">
        <v>6199.7800000000007</v>
      </c>
      <c r="H915" s="28">
        <v>300</v>
      </c>
      <c r="I915" s="19">
        <f>SUM(B915:H915)</f>
        <v>32542.139100000008</v>
      </c>
    </row>
    <row r="916" spans="1:9" ht="19.5" thickBot="1" x14ac:dyDescent="0.35">
      <c r="A916" s="15" t="s">
        <v>20</v>
      </c>
      <c r="B916" s="28">
        <v>2457.3284000000003</v>
      </c>
      <c r="C916" s="28">
        <v>4279.9828000000007</v>
      </c>
      <c r="D916" s="28">
        <v>2701.4351999999999</v>
      </c>
      <c r="E916" s="28">
        <v>5712.0668000000005</v>
      </c>
      <c r="F916" s="28">
        <v>7502.1759999999995</v>
      </c>
      <c r="G916" s="28">
        <v>44927.700000000004</v>
      </c>
      <c r="H916" s="28">
        <v>6896.576</v>
      </c>
      <c r="I916" s="19">
        <f>SUM(B916:H916)</f>
        <v>74477.265200000009</v>
      </c>
    </row>
    <row r="917" spans="1:9" x14ac:dyDescent="0.3">
      <c r="A917" s="55" t="s">
        <v>7</v>
      </c>
      <c r="B917" s="56">
        <f t="shared" ref="B917:I917" si="132">SUM(B914:B916)</f>
        <v>10311.1469</v>
      </c>
      <c r="C917" s="56">
        <f t="shared" si="132"/>
        <v>12121.138300000002</v>
      </c>
      <c r="D917" s="56">
        <f t="shared" si="132"/>
        <v>9815.2377000000015</v>
      </c>
      <c r="E917" s="56">
        <f t="shared" si="132"/>
        <v>8559.9638000000014</v>
      </c>
      <c r="F917" s="56">
        <f t="shared" si="132"/>
        <v>23759.68</v>
      </c>
      <c r="G917" s="56">
        <f t="shared" si="132"/>
        <v>62600.44</v>
      </c>
      <c r="H917" s="56">
        <f t="shared" si="132"/>
        <v>11753.210999999999</v>
      </c>
      <c r="I917" s="56">
        <f t="shared" si="132"/>
        <v>138920.81770000001</v>
      </c>
    </row>
    <row r="920" spans="1:9" x14ac:dyDescent="0.3">
      <c r="A920" s="4" t="s">
        <v>90</v>
      </c>
      <c r="B920" s="5" t="s">
        <v>0</v>
      </c>
      <c r="C920" s="5" t="s">
        <v>1</v>
      </c>
      <c r="D920" s="5" t="s">
        <v>2</v>
      </c>
      <c r="E920" s="6" t="s">
        <v>3</v>
      </c>
      <c r="F920" s="5" t="s">
        <v>4</v>
      </c>
      <c r="G920" s="5" t="s">
        <v>5</v>
      </c>
      <c r="H920" s="5" t="s">
        <v>6</v>
      </c>
      <c r="I920" s="5" t="s">
        <v>7</v>
      </c>
    </row>
    <row r="921" spans="1:9" x14ac:dyDescent="0.3">
      <c r="A921" s="7"/>
      <c r="B921" s="8">
        <v>45579</v>
      </c>
      <c r="C921" s="8">
        <v>45580</v>
      </c>
      <c r="D921" s="8">
        <v>45581</v>
      </c>
      <c r="E921" s="8">
        <v>45582</v>
      </c>
      <c r="F921" s="8">
        <v>45583</v>
      </c>
      <c r="G921" s="8">
        <v>45584</v>
      </c>
      <c r="H921" s="8">
        <v>45585</v>
      </c>
      <c r="I921" s="9"/>
    </row>
    <row r="922" spans="1:9" ht="19.5" thickBot="1" x14ac:dyDescent="0.35">
      <c r="A922" s="10" t="s">
        <v>8</v>
      </c>
      <c r="B922" s="11" t="s">
        <v>9</v>
      </c>
      <c r="C922" s="11" t="s">
        <v>9</v>
      </c>
      <c r="D922" s="11" t="s">
        <v>9</v>
      </c>
      <c r="E922" s="11" t="s">
        <v>9</v>
      </c>
      <c r="F922" s="11" t="s">
        <v>9</v>
      </c>
      <c r="G922" s="11" t="s">
        <v>9</v>
      </c>
      <c r="H922" s="43" t="s">
        <v>9</v>
      </c>
      <c r="I922" s="44" t="s">
        <v>9</v>
      </c>
    </row>
    <row r="923" spans="1:9" x14ac:dyDescent="0.3">
      <c r="A923" s="13" t="s">
        <v>10</v>
      </c>
      <c r="B923" s="14">
        <v>51</v>
      </c>
      <c r="C923" s="14">
        <v>52</v>
      </c>
      <c r="D923" s="14">
        <v>51</v>
      </c>
      <c r="E923" s="14">
        <v>51</v>
      </c>
      <c r="F923" s="14">
        <v>50</v>
      </c>
      <c r="G923" s="14">
        <v>50</v>
      </c>
      <c r="H923" s="14">
        <v>53</v>
      </c>
      <c r="I923" s="16"/>
    </row>
    <row r="924" spans="1:9" x14ac:dyDescent="0.3">
      <c r="A924" s="15" t="s">
        <v>11</v>
      </c>
      <c r="B924" s="16">
        <v>1</v>
      </c>
      <c r="C924" s="16">
        <v>0</v>
      </c>
      <c r="D924" s="16">
        <v>1</v>
      </c>
      <c r="E924" s="16">
        <v>1</v>
      </c>
      <c r="F924" s="16">
        <v>2</v>
      </c>
      <c r="G924" s="16">
        <v>3</v>
      </c>
      <c r="H924" s="16">
        <v>0</v>
      </c>
      <c r="I924" s="16">
        <f>SUM(B924:H924)</f>
        <v>8</v>
      </c>
    </row>
    <row r="925" spans="1:9" x14ac:dyDescent="0.3">
      <c r="A925" s="15" t="s">
        <v>12</v>
      </c>
      <c r="B925" s="16">
        <v>1</v>
      </c>
      <c r="C925" s="16">
        <v>27</v>
      </c>
      <c r="D925" s="16">
        <v>28</v>
      </c>
      <c r="E925" s="16">
        <v>23</v>
      </c>
      <c r="F925" s="16">
        <v>17</v>
      </c>
      <c r="G925" s="16">
        <v>38</v>
      </c>
      <c r="H925" s="16">
        <v>34</v>
      </c>
      <c r="I925" s="16">
        <f>SUM(B925:H925)</f>
        <v>168</v>
      </c>
    </row>
    <row r="926" spans="1:9" x14ac:dyDescent="0.3">
      <c r="A926" s="15" t="s">
        <v>30</v>
      </c>
      <c r="B926" s="16">
        <v>0</v>
      </c>
      <c r="C926" s="16">
        <v>0</v>
      </c>
      <c r="D926" s="16">
        <v>0</v>
      </c>
      <c r="E926" s="16">
        <v>0</v>
      </c>
      <c r="F926" s="16">
        <v>0</v>
      </c>
      <c r="G926" s="16">
        <v>0</v>
      </c>
      <c r="H926" s="16">
        <v>0</v>
      </c>
      <c r="I926" s="16">
        <f>SUM(B926:H926)</f>
        <v>0</v>
      </c>
    </row>
    <row r="927" spans="1:9" x14ac:dyDescent="0.3">
      <c r="A927" s="15" t="s">
        <v>28</v>
      </c>
      <c r="B927" s="16">
        <v>14</v>
      </c>
      <c r="C927" s="16">
        <v>24</v>
      </c>
      <c r="D927" s="16">
        <v>10</v>
      </c>
      <c r="E927" s="16">
        <v>8</v>
      </c>
      <c r="F927" s="16">
        <v>18</v>
      </c>
      <c r="G927" s="16">
        <v>199</v>
      </c>
      <c r="H927" s="16">
        <v>82</v>
      </c>
      <c r="I927" s="16">
        <f>SUM(B927:H927)</f>
        <v>355</v>
      </c>
    </row>
    <row r="928" spans="1:9" x14ac:dyDescent="0.3">
      <c r="A928" s="15" t="s">
        <v>29</v>
      </c>
      <c r="B928" s="16">
        <v>0</v>
      </c>
      <c r="C928" s="16">
        <v>1</v>
      </c>
      <c r="D928" s="16">
        <v>0</v>
      </c>
      <c r="E928" s="16">
        <v>0</v>
      </c>
      <c r="F928" s="16">
        <v>0</v>
      </c>
      <c r="G928" s="16">
        <v>22</v>
      </c>
      <c r="H928" s="16">
        <v>8</v>
      </c>
      <c r="I928" s="16">
        <f>SUM(B928:H928)</f>
        <v>31</v>
      </c>
    </row>
    <row r="929" spans="1:9" x14ac:dyDescent="0.3">
      <c r="A929" s="15" t="s">
        <v>31</v>
      </c>
      <c r="B929" s="16">
        <v>0</v>
      </c>
      <c r="C929" s="16">
        <v>0</v>
      </c>
      <c r="D929" s="16">
        <v>0</v>
      </c>
      <c r="E929" s="16">
        <v>0</v>
      </c>
      <c r="F929" s="16">
        <v>0</v>
      </c>
      <c r="G929" s="16">
        <v>4</v>
      </c>
      <c r="H929" s="16">
        <v>8</v>
      </c>
      <c r="I929" s="16">
        <f t="shared" ref="I929:I933" si="133">SUM(B929:H929)</f>
        <v>12</v>
      </c>
    </row>
    <row r="930" spans="1:9" x14ac:dyDescent="0.3">
      <c r="A930" s="15" t="s">
        <v>13</v>
      </c>
      <c r="B930" s="16">
        <v>0</v>
      </c>
      <c r="C930" s="16">
        <v>4</v>
      </c>
      <c r="D930" s="16">
        <v>0</v>
      </c>
      <c r="E930" s="16">
        <v>0</v>
      </c>
      <c r="F930" s="16">
        <v>0</v>
      </c>
      <c r="G930" s="16">
        <v>0</v>
      </c>
      <c r="H930" s="16">
        <v>0</v>
      </c>
      <c r="I930" s="16">
        <f t="shared" si="133"/>
        <v>4</v>
      </c>
    </row>
    <row r="931" spans="1:9" x14ac:dyDescent="0.3">
      <c r="A931" s="15" t="s">
        <v>14</v>
      </c>
      <c r="B931" s="16">
        <v>0</v>
      </c>
      <c r="C931" s="16">
        <v>0</v>
      </c>
      <c r="D931" s="16">
        <v>0</v>
      </c>
      <c r="E931" s="16">
        <v>0</v>
      </c>
      <c r="F931" s="16">
        <v>0</v>
      </c>
      <c r="G931" s="16">
        <v>0</v>
      </c>
      <c r="H931" s="16">
        <v>0</v>
      </c>
      <c r="I931" s="16">
        <f t="shared" si="133"/>
        <v>0</v>
      </c>
    </row>
    <row r="932" spans="1:9" x14ac:dyDescent="0.3">
      <c r="A932" s="15" t="s">
        <v>32</v>
      </c>
      <c r="B932" s="16">
        <v>0</v>
      </c>
      <c r="C932" s="16">
        <v>0</v>
      </c>
      <c r="D932" s="16">
        <v>0</v>
      </c>
      <c r="E932" s="16">
        <v>0</v>
      </c>
      <c r="F932" s="16">
        <v>0</v>
      </c>
      <c r="G932" s="16">
        <v>0</v>
      </c>
      <c r="H932" s="16">
        <v>0</v>
      </c>
      <c r="I932" s="16">
        <f t="shared" si="133"/>
        <v>0</v>
      </c>
    </row>
    <row r="933" spans="1:9" x14ac:dyDescent="0.3">
      <c r="A933" s="15" t="s">
        <v>33</v>
      </c>
      <c r="B933" s="16">
        <v>0</v>
      </c>
      <c r="C933" s="16">
        <v>0</v>
      </c>
      <c r="D933" s="16">
        <v>0</v>
      </c>
      <c r="E933" s="16">
        <v>0</v>
      </c>
      <c r="F933" s="16">
        <v>0</v>
      </c>
      <c r="G933" s="16">
        <v>0</v>
      </c>
      <c r="H933" s="16">
        <v>0</v>
      </c>
      <c r="I933" s="16">
        <f t="shared" si="133"/>
        <v>0</v>
      </c>
    </row>
    <row r="934" spans="1:9" ht="19.5" thickBot="1" x14ac:dyDescent="0.35">
      <c r="A934" s="30" t="s">
        <v>15</v>
      </c>
      <c r="B934" s="31">
        <f t="shared" ref="B934:H934" si="134">(B925+B924)/B923*100%</f>
        <v>3.9215686274509803E-2</v>
      </c>
      <c r="C934" s="31">
        <f t="shared" si="134"/>
        <v>0.51923076923076927</v>
      </c>
      <c r="D934" s="31">
        <f t="shared" si="134"/>
        <v>0.56862745098039214</v>
      </c>
      <c r="E934" s="31">
        <f t="shared" si="134"/>
        <v>0.47058823529411764</v>
      </c>
      <c r="F934" s="31">
        <f t="shared" si="134"/>
        <v>0.38</v>
      </c>
      <c r="G934" s="31">
        <f t="shared" si="134"/>
        <v>0.82</v>
      </c>
      <c r="H934" s="31">
        <f t="shared" si="134"/>
        <v>0.64150943396226412</v>
      </c>
      <c r="I934" s="32">
        <f>(B934+C934+D934+E934+F934+G934+H934)/7</f>
        <v>0.49131022510600753</v>
      </c>
    </row>
    <row r="935" spans="1:9" x14ac:dyDescent="0.3">
      <c r="A935" s="67" t="s">
        <v>16</v>
      </c>
      <c r="B935" s="16"/>
      <c r="C935" s="17"/>
      <c r="D935" s="16"/>
      <c r="E935" s="18"/>
      <c r="F935" s="16"/>
      <c r="G935" s="16"/>
      <c r="H935" s="16"/>
      <c r="I935" s="16"/>
    </row>
    <row r="936" spans="1:9" x14ac:dyDescent="0.3">
      <c r="A936" s="15" t="s">
        <v>34</v>
      </c>
      <c r="B936" s="28">
        <v>431.25780000000009</v>
      </c>
      <c r="C936" s="28">
        <v>3764.2121000000002</v>
      </c>
      <c r="D936" s="28">
        <v>1627.37583</v>
      </c>
      <c r="E936" s="28">
        <v>2563.1097000000004</v>
      </c>
      <c r="F936" s="28">
        <v>4257.4025000000001</v>
      </c>
      <c r="G936" s="28">
        <v>10625.980000000001</v>
      </c>
      <c r="H936" s="28">
        <v>3694.1298999999999</v>
      </c>
      <c r="I936" s="19">
        <f>SUM(B936:H936)</f>
        <v>26963.467830000001</v>
      </c>
    </row>
    <row r="937" spans="1:9" x14ac:dyDescent="0.3">
      <c r="A937" s="15" t="s">
        <v>35</v>
      </c>
      <c r="B937" s="28">
        <v>0</v>
      </c>
      <c r="C937" s="28">
        <v>5730.1072000000004</v>
      </c>
      <c r="D937" s="28">
        <v>10255.65227</v>
      </c>
      <c r="E937" s="28">
        <v>6521.5789000000004</v>
      </c>
      <c r="F937" s="28">
        <v>3375.0639000000006</v>
      </c>
      <c r="G937" s="28">
        <v>7875.1490000000013</v>
      </c>
      <c r="H937" s="28">
        <v>15045.698870000002</v>
      </c>
      <c r="I937" s="19">
        <f>SUM(B937:H937)</f>
        <v>48803.250140000004</v>
      </c>
    </row>
    <row r="938" spans="1:9" ht="19.5" thickBot="1" x14ac:dyDescent="0.35">
      <c r="A938" s="15" t="s">
        <v>20</v>
      </c>
      <c r="B938" s="28">
        <v>2961.8136</v>
      </c>
      <c r="C938" s="28">
        <v>5424.0228000000006</v>
      </c>
      <c r="D938" s="28">
        <v>2115.5832</v>
      </c>
      <c r="E938" s="28">
        <v>1692.4656</v>
      </c>
      <c r="F938" s="28">
        <v>3808.0455999999999</v>
      </c>
      <c r="G938" s="28">
        <v>37413.224800000004</v>
      </c>
      <c r="H938" s="28">
        <v>18883.539199999999</v>
      </c>
      <c r="I938" s="19">
        <f>SUM(B938:H938)</f>
        <v>72298.694799999997</v>
      </c>
    </row>
    <row r="939" spans="1:9" x14ac:dyDescent="0.3">
      <c r="A939" s="55" t="s">
        <v>7</v>
      </c>
      <c r="B939" s="56">
        <f t="shared" ref="B939:I939" si="135">SUM(B936:B938)</f>
        <v>3393.0713999999998</v>
      </c>
      <c r="C939" s="56">
        <f t="shared" si="135"/>
        <v>14918.342100000002</v>
      </c>
      <c r="D939" s="56">
        <f t="shared" si="135"/>
        <v>13998.6113</v>
      </c>
      <c r="E939" s="56">
        <f t="shared" si="135"/>
        <v>10777.154200000001</v>
      </c>
      <c r="F939" s="56">
        <f t="shared" si="135"/>
        <v>11440.512000000001</v>
      </c>
      <c r="G939" s="56">
        <f t="shared" si="135"/>
        <v>55914.353800000004</v>
      </c>
      <c r="H939" s="56">
        <f t="shared" si="135"/>
        <v>37623.367969999999</v>
      </c>
      <c r="I939" s="56">
        <f t="shared" si="135"/>
        <v>148065.41277</v>
      </c>
    </row>
    <row r="942" spans="1:9" x14ac:dyDescent="0.3">
      <c r="A942" s="4" t="s">
        <v>91</v>
      </c>
      <c r="B942" s="5" t="s">
        <v>0</v>
      </c>
      <c r="C942" s="5" t="s">
        <v>1</v>
      </c>
      <c r="D942" s="5" t="s">
        <v>2</v>
      </c>
      <c r="E942" s="6" t="s">
        <v>3</v>
      </c>
      <c r="F942" s="5" t="s">
        <v>4</v>
      </c>
      <c r="G942" s="5" t="s">
        <v>5</v>
      </c>
      <c r="H942" s="5" t="s">
        <v>6</v>
      </c>
      <c r="I942" s="5" t="s">
        <v>7</v>
      </c>
    </row>
    <row r="943" spans="1:9" x14ac:dyDescent="0.3">
      <c r="A943" s="7"/>
      <c r="B943" s="8">
        <v>45586</v>
      </c>
      <c r="C943" s="8">
        <v>45587</v>
      </c>
      <c r="D943" s="8">
        <v>45588</v>
      </c>
      <c r="E943" s="8">
        <v>45589</v>
      </c>
      <c r="F943" s="8">
        <v>45590</v>
      </c>
      <c r="G943" s="8">
        <v>45591</v>
      </c>
      <c r="H943" s="8">
        <v>45592</v>
      </c>
      <c r="I943" s="9"/>
    </row>
    <row r="944" spans="1:9" ht="19.5" thickBot="1" x14ac:dyDescent="0.35">
      <c r="A944" s="10" t="s">
        <v>8</v>
      </c>
      <c r="B944" s="11" t="s">
        <v>9</v>
      </c>
      <c r="C944" s="11" t="s">
        <v>9</v>
      </c>
      <c r="D944" s="11" t="s">
        <v>9</v>
      </c>
      <c r="E944" s="11" t="s">
        <v>9</v>
      </c>
      <c r="F944" s="11" t="s">
        <v>9</v>
      </c>
      <c r="G944" s="11" t="s">
        <v>9</v>
      </c>
      <c r="H944" s="43" t="s">
        <v>9</v>
      </c>
      <c r="I944" s="44" t="s">
        <v>9</v>
      </c>
    </row>
    <row r="945" spans="1:9" x14ac:dyDescent="0.3">
      <c r="A945" s="13" t="s">
        <v>10</v>
      </c>
      <c r="B945" s="14">
        <v>54</v>
      </c>
      <c r="C945" s="14">
        <v>53</v>
      </c>
      <c r="D945" s="14">
        <v>52</v>
      </c>
      <c r="E945" s="14">
        <v>51</v>
      </c>
      <c r="F945" s="14">
        <v>51</v>
      </c>
      <c r="G945" s="14">
        <v>50</v>
      </c>
      <c r="H945" s="14">
        <v>52</v>
      </c>
      <c r="I945" s="16"/>
    </row>
    <row r="946" spans="1:9" x14ac:dyDescent="0.3">
      <c r="A946" s="15" t="s">
        <v>11</v>
      </c>
      <c r="B946" s="16">
        <v>0</v>
      </c>
      <c r="C946" s="16">
        <v>1</v>
      </c>
      <c r="D946" s="16">
        <v>2</v>
      </c>
      <c r="E946" s="16">
        <v>3</v>
      </c>
      <c r="F946" s="16">
        <v>3</v>
      </c>
      <c r="G946" s="16">
        <v>4</v>
      </c>
      <c r="H946" s="16">
        <v>2</v>
      </c>
      <c r="I946" s="16">
        <f>SUM(B946:H946)</f>
        <v>15</v>
      </c>
    </row>
    <row r="947" spans="1:9" x14ac:dyDescent="0.3">
      <c r="A947" s="15" t="s">
        <v>12</v>
      </c>
      <c r="B947" s="16">
        <v>33</v>
      </c>
      <c r="C947" s="16">
        <v>34</v>
      </c>
      <c r="D947" s="16">
        <v>2</v>
      </c>
      <c r="E947" s="16">
        <v>17</v>
      </c>
      <c r="F947" s="16">
        <v>24</v>
      </c>
      <c r="G947" s="16">
        <v>22</v>
      </c>
      <c r="H947" s="16">
        <v>7</v>
      </c>
      <c r="I947" s="16">
        <f>SUM(B947:H947)</f>
        <v>139</v>
      </c>
    </row>
    <row r="948" spans="1:9" x14ac:dyDescent="0.3">
      <c r="A948" s="15" t="s">
        <v>30</v>
      </c>
      <c r="B948" s="16">
        <v>0</v>
      </c>
      <c r="C948" s="16">
        <v>0</v>
      </c>
      <c r="D948" s="16">
        <v>0</v>
      </c>
      <c r="E948" s="16">
        <v>0</v>
      </c>
      <c r="F948" s="16">
        <v>0</v>
      </c>
      <c r="G948" s="16">
        <v>0</v>
      </c>
      <c r="H948" s="16">
        <v>0</v>
      </c>
      <c r="I948" s="16">
        <f>SUM(B948:H948)</f>
        <v>0</v>
      </c>
    </row>
    <row r="949" spans="1:9" x14ac:dyDescent="0.3">
      <c r="A949" s="15" t="s">
        <v>28</v>
      </c>
      <c r="B949" s="16">
        <v>20</v>
      </c>
      <c r="C949" s="16">
        <v>23</v>
      </c>
      <c r="D949" s="16">
        <v>29</v>
      </c>
      <c r="E949" s="16">
        <v>26</v>
      </c>
      <c r="F949" s="16">
        <v>52</v>
      </c>
      <c r="G949" s="16">
        <v>466</v>
      </c>
      <c r="H949" s="16">
        <v>53</v>
      </c>
      <c r="I949" s="16">
        <f>SUM(B949:H949)</f>
        <v>669</v>
      </c>
    </row>
    <row r="950" spans="1:9" x14ac:dyDescent="0.3">
      <c r="A950" s="15" t="s">
        <v>29</v>
      </c>
      <c r="B950" s="16">
        <v>0</v>
      </c>
      <c r="C950" s="16">
        <v>4</v>
      </c>
      <c r="D950" s="16">
        <v>6</v>
      </c>
      <c r="E950" s="16">
        <v>5</v>
      </c>
      <c r="F950" s="16">
        <v>10</v>
      </c>
      <c r="G950" s="16">
        <v>146</v>
      </c>
      <c r="H950" s="16">
        <v>7</v>
      </c>
      <c r="I950" s="16">
        <f>SUM(B950:H950)</f>
        <v>178</v>
      </c>
    </row>
    <row r="951" spans="1:9" x14ac:dyDescent="0.3">
      <c r="A951" s="15" t="s">
        <v>31</v>
      </c>
      <c r="B951" s="16">
        <v>0</v>
      </c>
      <c r="C951" s="16">
        <v>0</v>
      </c>
      <c r="D951" s="16">
        <v>5</v>
      </c>
      <c r="E951" s="16">
        <v>5</v>
      </c>
      <c r="F951" s="16">
        <v>6</v>
      </c>
      <c r="G951" s="16">
        <v>138</v>
      </c>
      <c r="H951" s="16">
        <v>2</v>
      </c>
      <c r="I951" s="16">
        <f t="shared" ref="I951:I955" si="136">SUM(B951:H951)</f>
        <v>156</v>
      </c>
    </row>
    <row r="952" spans="1:9" x14ac:dyDescent="0.3">
      <c r="A952" s="15" t="s">
        <v>13</v>
      </c>
      <c r="B952" s="16">
        <v>0</v>
      </c>
      <c r="C952" s="16">
        <v>0</v>
      </c>
      <c r="D952" s="16">
        <v>0</v>
      </c>
      <c r="E952" s="16">
        <v>0</v>
      </c>
      <c r="F952" s="16">
        <v>0</v>
      </c>
      <c r="G952" s="16">
        <v>1</v>
      </c>
      <c r="H952" s="16">
        <v>1</v>
      </c>
      <c r="I952" s="16">
        <f t="shared" si="136"/>
        <v>2</v>
      </c>
    </row>
    <row r="953" spans="1:9" x14ac:dyDescent="0.3">
      <c r="A953" s="15" t="s">
        <v>14</v>
      </c>
      <c r="B953" s="16">
        <v>0</v>
      </c>
      <c r="C953" s="16">
        <v>0</v>
      </c>
      <c r="D953" s="16">
        <v>0</v>
      </c>
      <c r="E953" s="16">
        <v>0</v>
      </c>
      <c r="F953" s="16">
        <v>0</v>
      </c>
      <c r="G953" s="16">
        <v>0</v>
      </c>
      <c r="H953" s="16">
        <v>0</v>
      </c>
      <c r="I953" s="16">
        <f t="shared" si="136"/>
        <v>0</v>
      </c>
    </row>
    <row r="954" spans="1:9" x14ac:dyDescent="0.3">
      <c r="A954" s="15" t="s">
        <v>32</v>
      </c>
      <c r="B954" s="16">
        <v>0</v>
      </c>
      <c r="C954" s="16">
        <v>0</v>
      </c>
      <c r="D954" s="16">
        <v>0</v>
      </c>
      <c r="E954" s="16">
        <v>15</v>
      </c>
      <c r="F954" s="16">
        <v>0</v>
      </c>
      <c r="G954" s="16">
        <v>0</v>
      </c>
      <c r="H954" s="16">
        <v>0</v>
      </c>
      <c r="I954" s="16">
        <f t="shared" si="136"/>
        <v>15</v>
      </c>
    </row>
    <row r="955" spans="1:9" x14ac:dyDescent="0.3">
      <c r="A955" s="15" t="s">
        <v>33</v>
      </c>
      <c r="B955" s="16">
        <v>0</v>
      </c>
      <c r="C955" s="16">
        <v>0</v>
      </c>
      <c r="D955" s="16">
        <v>0</v>
      </c>
      <c r="E955" s="16">
        <v>0</v>
      </c>
      <c r="F955" s="16">
        <v>0</v>
      </c>
      <c r="G955" s="16">
        <v>0</v>
      </c>
      <c r="H955" s="16">
        <v>0</v>
      </c>
      <c r="I955" s="16">
        <f t="shared" si="136"/>
        <v>0</v>
      </c>
    </row>
    <row r="956" spans="1:9" ht="19.5" thickBot="1" x14ac:dyDescent="0.35">
      <c r="A956" s="30" t="s">
        <v>15</v>
      </c>
      <c r="B956" s="31">
        <f t="shared" ref="B956:H956" si="137">(B947+B946)/B945*100%</f>
        <v>0.61111111111111116</v>
      </c>
      <c r="C956" s="31">
        <f t="shared" si="137"/>
        <v>0.660377358490566</v>
      </c>
      <c r="D956" s="31">
        <f t="shared" si="137"/>
        <v>7.6923076923076927E-2</v>
      </c>
      <c r="E956" s="31">
        <f t="shared" si="137"/>
        <v>0.39215686274509803</v>
      </c>
      <c r="F956" s="31">
        <f t="shared" si="137"/>
        <v>0.52941176470588236</v>
      </c>
      <c r="G956" s="31">
        <f t="shared" si="137"/>
        <v>0.52</v>
      </c>
      <c r="H956" s="31">
        <f t="shared" si="137"/>
        <v>0.17307692307692307</v>
      </c>
      <c r="I956" s="32">
        <f>(B956+C956+D956+E956+F956+G956+H956)/7</f>
        <v>0.42329387100752253</v>
      </c>
    </row>
    <row r="957" spans="1:9" x14ac:dyDescent="0.3">
      <c r="A957" s="67" t="s">
        <v>16</v>
      </c>
      <c r="B957" s="16"/>
      <c r="C957" s="17"/>
      <c r="D957" s="16"/>
      <c r="E957" s="18"/>
      <c r="F957" s="16"/>
      <c r="G957" s="16"/>
      <c r="H957" s="16"/>
      <c r="I957" s="16"/>
    </row>
    <row r="958" spans="1:9" x14ac:dyDescent="0.3">
      <c r="A958" s="15" t="s">
        <v>34</v>
      </c>
      <c r="B958" s="28">
        <v>813.68490000000008</v>
      </c>
      <c r="C958" s="28">
        <v>4393.9016000000001</v>
      </c>
      <c r="D958" s="28">
        <v>895.07009999999991</v>
      </c>
      <c r="E958" s="28">
        <v>3824.3183000000008</v>
      </c>
      <c r="F958" s="28">
        <v>7974.1114000000007</v>
      </c>
      <c r="G958" s="28">
        <v>8136.8341</v>
      </c>
      <c r="H958" s="28">
        <v>4475.2690000000002</v>
      </c>
      <c r="I958" s="19">
        <f>SUM(B958:H958)</f>
        <v>30513.189400000003</v>
      </c>
    </row>
    <row r="959" spans="1:9" x14ac:dyDescent="0.3">
      <c r="A959" s="15" t="s">
        <v>35</v>
      </c>
      <c r="B959" s="28">
        <v>14500.254400000003</v>
      </c>
      <c r="C959" s="28">
        <v>12619.335599999999</v>
      </c>
      <c r="D959" s="28">
        <v>0</v>
      </c>
      <c r="E959" s="28">
        <v>5468.6109999999999</v>
      </c>
      <c r="F959" s="28">
        <v>5346.5582000000004</v>
      </c>
      <c r="G959" s="28">
        <v>4000.0730000000003</v>
      </c>
      <c r="H959" s="28">
        <v>0</v>
      </c>
      <c r="I959" s="19">
        <f>SUM(B959:H959)</f>
        <v>41934.832200000004</v>
      </c>
    </row>
    <row r="960" spans="1:9" ht="19.5" thickBot="1" x14ac:dyDescent="0.35">
      <c r="A960" s="15" t="s">
        <v>20</v>
      </c>
      <c r="B960" s="28">
        <v>4231.16</v>
      </c>
      <c r="C960" s="28">
        <v>5191.3112000000001</v>
      </c>
      <c r="D960" s="28">
        <v>7192.9740000000011</v>
      </c>
      <c r="E960" s="28">
        <v>7899.2543999999998</v>
      </c>
      <c r="F960" s="28">
        <v>12019.752800000002</v>
      </c>
      <c r="G960" s="28">
        <v>87977.556400000001</v>
      </c>
      <c r="H960" s="28">
        <v>12123.900800000001</v>
      </c>
      <c r="I960" s="19">
        <f>SUM(B960:H960)</f>
        <v>136635.90960000001</v>
      </c>
    </row>
    <row r="961" spans="1:9" x14ac:dyDescent="0.3">
      <c r="A961" s="55" t="s">
        <v>7</v>
      </c>
      <c r="B961" s="56">
        <f t="shared" ref="B961:I961" si="138">SUM(B958:B960)</f>
        <v>19545.099300000002</v>
      </c>
      <c r="C961" s="56">
        <f t="shared" si="138"/>
        <v>22204.5484</v>
      </c>
      <c r="D961" s="56">
        <f t="shared" si="138"/>
        <v>8088.044100000001</v>
      </c>
      <c r="E961" s="56">
        <f t="shared" si="138"/>
        <v>17192.183700000001</v>
      </c>
      <c r="F961" s="56">
        <f t="shared" si="138"/>
        <v>25340.422400000003</v>
      </c>
      <c r="G961" s="56">
        <f t="shared" si="138"/>
        <v>100114.4635</v>
      </c>
      <c r="H961" s="56">
        <f t="shared" si="138"/>
        <v>16599.169800000003</v>
      </c>
      <c r="I961" s="56">
        <f t="shared" si="138"/>
        <v>209083.93120000002</v>
      </c>
    </row>
    <row r="964" spans="1:9" x14ac:dyDescent="0.3">
      <c r="A964" s="4" t="s">
        <v>92</v>
      </c>
      <c r="B964" s="5" t="s">
        <v>0</v>
      </c>
      <c r="C964" s="5" t="s">
        <v>1</v>
      </c>
      <c r="D964" s="5" t="s">
        <v>2</v>
      </c>
      <c r="E964" s="6" t="s">
        <v>3</v>
      </c>
      <c r="F964" s="5" t="s">
        <v>4</v>
      </c>
      <c r="G964" s="5" t="s">
        <v>5</v>
      </c>
      <c r="H964" s="5" t="s">
        <v>6</v>
      </c>
      <c r="I964" s="5" t="s">
        <v>7</v>
      </c>
    </row>
    <row r="965" spans="1:9" x14ac:dyDescent="0.3">
      <c r="A965" s="7"/>
      <c r="B965" s="8">
        <v>45593</v>
      </c>
      <c r="C965" s="8">
        <v>45594</v>
      </c>
      <c r="D965" s="8">
        <v>45595</v>
      </c>
      <c r="E965" s="8">
        <v>45596</v>
      </c>
      <c r="F965" s="8">
        <v>45597</v>
      </c>
      <c r="G965" s="8">
        <v>45598</v>
      </c>
      <c r="H965" s="8">
        <v>45599</v>
      </c>
      <c r="I965" s="9"/>
    </row>
    <row r="966" spans="1:9" ht="19.5" thickBot="1" x14ac:dyDescent="0.35">
      <c r="A966" s="10" t="s">
        <v>8</v>
      </c>
      <c r="B966" s="11" t="s">
        <v>9</v>
      </c>
      <c r="C966" s="11" t="s">
        <v>9</v>
      </c>
      <c r="D966" s="11" t="s">
        <v>9</v>
      </c>
      <c r="E966" s="11" t="s">
        <v>9</v>
      </c>
      <c r="F966" s="11" t="s">
        <v>9</v>
      </c>
      <c r="G966" s="11" t="s">
        <v>9</v>
      </c>
      <c r="H966" s="43" t="s">
        <v>9</v>
      </c>
      <c r="I966" s="44" t="s">
        <v>9</v>
      </c>
    </row>
    <row r="967" spans="1:9" x14ac:dyDescent="0.3">
      <c r="A967" s="13" t="s">
        <v>10</v>
      </c>
      <c r="B967" s="14">
        <v>51</v>
      </c>
      <c r="C967" s="14">
        <v>51</v>
      </c>
      <c r="D967" s="14">
        <v>52</v>
      </c>
      <c r="E967" s="14">
        <v>52</v>
      </c>
      <c r="F967" s="14">
        <v>50</v>
      </c>
      <c r="G967" s="14">
        <v>52</v>
      </c>
      <c r="H967" s="14">
        <v>53</v>
      </c>
      <c r="I967" s="16"/>
    </row>
    <row r="968" spans="1:9" x14ac:dyDescent="0.3">
      <c r="A968" s="15" t="s">
        <v>11</v>
      </c>
      <c r="B968" s="16">
        <v>3</v>
      </c>
      <c r="C968" s="16">
        <v>3</v>
      </c>
      <c r="D968" s="16">
        <v>2</v>
      </c>
      <c r="E968" s="16">
        <v>2</v>
      </c>
      <c r="F968" s="16">
        <v>4</v>
      </c>
      <c r="G968" s="16">
        <v>2</v>
      </c>
      <c r="H968" s="16">
        <v>1</v>
      </c>
      <c r="I968" s="16">
        <f>SUM(B968:H968)</f>
        <v>17</v>
      </c>
    </row>
    <row r="969" spans="1:9" x14ac:dyDescent="0.3">
      <c r="A969" s="15" t="s">
        <v>12</v>
      </c>
      <c r="B969" s="16">
        <v>5</v>
      </c>
      <c r="C969" s="16">
        <v>11</v>
      </c>
      <c r="D969" s="16">
        <v>23</v>
      </c>
      <c r="E969" s="16">
        <v>32</v>
      </c>
      <c r="F969" s="16">
        <v>25</v>
      </c>
      <c r="G969" s="16">
        <v>37</v>
      </c>
      <c r="H969" s="16">
        <v>25</v>
      </c>
      <c r="I969" s="16">
        <f>SUM(B969:H969)</f>
        <v>158</v>
      </c>
    </row>
    <row r="970" spans="1:9" x14ac:dyDescent="0.3">
      <c r="A970" s="15" t="s">
        <v>30</v>
      </c>
      <c r="B970" s="16">
        <v>0</v>
      </c>
      <c r="C970" s="16">
        <v>0</v>
      </c>
      <c r="D970" s="16">
        <v>0</v>
      </c>
      <c r="E970" s="16">
        <v>0</v>
      </c>
      <c r="F970" s="16">
        <v>0</v>
      </c>
      <c r="G970" s="16">
        <v>0</v>
      </c>
      <c r="H970" s="16">
        <v>0</v>
      </c>
      <c r="I970" s="16">
        <f>SUM(B970:H970)</f>
        <v>0</v>
      </c>
    </row>
    <row r="971" spans="1:9" x14ac:dyDescent="0.3">
      <c r="A971" s="15" t="s">
        <v>28</v>
      </c>
      <c r="B971" s="16">
        <v>32</v>
      </c>
      <c r="C971" s="16">
        <v>155</v>
      </c>
      <c r="D971" s="16">
        <v>45</v>
      </c>
      <c r="E971" s="16">
        <v>54</v>
      </c>
      <c r="F971" s="16">
        <f>87+31</f>
        <v>118</v>
      </c>
      <c r="G971" s="16">
        <v>101</v>
      </c>
      <c r="H971" s="16">
        <v>46</v>
      </c>
      <c r="I971" s="16">
        <f>SUM(B971:H971)</f>
        <v>551</v>
      </c>
    </row>
    <row r="972" spans="1:9" x14ac:dyDescent="0.3">
      <c r="A972" s="15" t="s">
        <v>29</v>
      </c>
      <c r="B972" s="16">
        <v>0</v>
      </c>
      <c r="C972" s="16">
        <v>3</v>
      </c>
      <c r="D972" s="16">
        <v>7</v>
      </c>
      <c r="E972" s="16">
        <v>10</v>
      </c>
      <c r="F972" s="16">
        <v>13</v>
      </c>
      <c r="G972" s="16">
        <v>30</v>
      </c>
      <c r="H972" s="16">
        <v>5</v>
      </c>
      <c r="I972" s="16">
        <f>SUM(B972:H972)</f>
        <v>68</v>
      </c>
    </row>
    <row r="973" spans="1:9" x14ac:dyDescent="0.3">
      <c r="A973" s="15" t="s">
        <v>31</v>
      </c>
      <c r="B973" s="16">
        <v>1</v>
      </c>
      <c r="C973" s="16">
        <v>5</v>
      </c>
      <c r="D973" s="16">
        <v>5</v>
      </c>
      <c r="E973" s="16">
        <v>2</v>
      </c>
      <c r="F973" s="16">
        <v>6</v>
      </c>
      <c r="G973" s="16">
        <v>7</v>
      </c>
      <c r="H973" s="16">
        <v>4</v>
      </c>
      <c r="I973" s="16">
        <f t="shared" ref="I973:I977" si="139">SUM(B973:H973)</f>
        <v>30</v>
      </c>
    </row>
    <row r="974" spans="1:9" x14ac:dyDescent="0.3">
      <c r="A974" s="15" t="s">
        <v>13</v>
      </c>
      <c r="B974" s="16">
        <v>0</v>
      </c>
      <c r="C974" s="16">
        <v>0</v>
      </c>
      <c r="D974" s="16">
        <v>1</v>
      </c>
      <c r="E974" s="16">
        <v>1</v>
      </c>
      <c r="F974" s="16">
        <v>6</v>
      </c>
      <c r="G974" s="16">
        <v>3</v>
      </c>
      <c r="H974" s="16">
        <v>2</v>
      </c>
      <c r="I974" s="16">
        <f t="shared" si="139"/>
        <v>13</v>
      </c>
    </row>
    <row r="975" spans="1:9" x14ac:dyDescent="0.3">
      <c r="A975" s="15" t="s">
        <v>14</v>
      </c>
      <c r="B975" s="16">
        <v>0</v>
      </c>
      <c r="C975" s="16">
        <v>0</v>
      </c>
      <c r="D975" s="16">
        <v>0</v>
      </c>
      <c r="E975" s="16">
        <v>0</v>
      </c>
      <c r="F975" s="16">
        <v>0</v>
      </c>
      <c r="G975" s="16">
        <v>0</v>
      </c>
      <c r="H975" s="16">
        <v>0</v>
      </c>
      <c r="I975" s="16">
        <f t="shared" si="139"/>
        <v>0</v>
      </c>
    </row>
    <row r="976" spans="1:9" x14ac:dyDescent="0.3">
      <c r="A976" s="15" t="s">
        <v>32</v>
      </c>
      <c r="B976" s="16">
        <v>0</v>
      </c>
      <c r="C976" s="16">
        <v>0</v>
      </c>
      <c r="D976" s="16">
        <v>0</v>
      </c>
      <c r="E976" s="16">
        <v>0</v>
      </c>
      <c r="F976" s="16">
        <v>0</v>
      </c>
      <c r="G976" s="16">
        <v>0</v>
      </c>
      <c r="H976" s="16">
        <v>0</v>
      </c>
      <c r="I976" s="16">
        <f t="shared" si="139"/>
        <v>0</v>
      </c>
    </row>
    <row r="977" spans="1:9" x14ac:dyDescent="0.3">
      <c r="A977" s="15" t="s">
        <v>33</v>
      </c>
      <c r="B977" s="16">
        <v>0</v>
      </c>
      <c r="C977" s="16">
        <v>0</v>
      </c>
      <c r="D977" s="16">
        <v>0</v>
      </c>
      <c r="E977" s="16">
        <v>0</v>
      </c>
      <c r="F977" s="16">
        <v>0</v>
      </c>
      <c r="G977" s="16">
        <v>0</v>
      </c>
      <c r="H977" s="16">
        <v>0</v>
      </c>
      <c r="I977" s="16">
        <f t="shared" si="139"/>
        <v>0</v>
      </c>
    </row>
    <row r="978" spans="1:9" ht="19.5" thickBot="1" x14ac:dyDescent="0.35">
      <c r="A978" s="30" t="s">
        <v>15</v>
      </c>
      <c r="B978" s="31">
        <f t="shared" ref="B978:H978" si="140">(B969+B968)/B967*100%</f>
        <v>0.15686274509803921</v>
      </c>
      <c r="C978" s="31">
        <f t="shared" si="140"/>
        <v>0.27450980392156865</v>
      </c>
      <c r="D978" s="31">
        <f t="shared" si="140"/>
        <v>0.48076923076923078</v>
      </c>
      <c r="E978" s="31">
        <f t="shared" si="140"/>
        <v>0.65384615384615385</v>
      </c>
      <c r="F978" s="31">
        <f t="shared" si="140"/>
        <v>0.57999999999999996</v>
      </c>
      <c r="G978" s="31">
        <f t="shared" si="140"/>
        <v>0.75</v>
      </c>
      <c r="H978" s="31">
        <f t="shared" si="140"/>
        <v>0.49056603773584906</v>
      </c>
      <c r="I978" s="32">
        <f>(B978+C978+D978+E978+F978+G978+H978)/7</f>
        <v>0.48379342448154883</v>
      </c>
    </row>
    <row r="979" spans="1:9" x14ac:dyDescent="0.3">
      <c r="A979" s="67" t="s">
        <v>16</v>
      </c>
      <c r="B979" s="16"/>
      <c r="C979" s="17"/>
      <c r="D979" s="16"/>
      <c r="E979" s="18"/>
      <c r="F979" s="16"/>
      <c r="G979" s="16"/>
      <c r="H979" s="16"/>
      <c r="I979" s="16"/>
    </row>
    <row r="980" spans="1:9" x14ac:dyDescent="0.3">
      <c r="A980" s="15" t="s">
        <v>34</v>
      </c>
      <c r="B980" s="28">
        <v>3092.0025000000005</v>
      </c>
      <c r="C980" s="28">
        <v>7567.4753000000001</v>
      </c>
      <c r="D980" s="28">
        <v>13218.288500000002</v>
      </c>
      <c r="E980" s="28">
        <v>7006.0979000000007</v>
      </c>
      <c r="F980" s="28">
        <v>8111.6289999999999</v>
      </c>
      <c r="G980" s="28">
        <v>10659.2716</v>
      </c>
      <c r="H980" s="28">
        <v>1301.8958000000002</v>
      </c>
      <c r="I980" s="19">
        <f>SUM(B980:H980)</f>
        <v>50956.660600000003</v>
      </c>
    </row>
    <row r="981" spans="1:9" x14ac:dyDescent="0.3">
      <c r="A981" s="15" t="s">
        <v>35</v>
      </c>
      <c r="B981" s="28">
        <v>0</v>
      </c>
      <c r="C981" s="28">
        <v>0</v>
      </c>
      <c r="D981" s="28">
        <v>825.01550000000009</v>
      </c>
      <c r="E981" s="28">
        <v>8520.1589999999997</v>
      </c>
      <c r="F981" s="28">
        <v>3738.5239999999999</v>
      </c>
      <c r="G981" s="28">
        <v>9155.7702000000008</v>
      </c>
      <c r="H981" s="28">
        <v>13440.508600000001</v>
      </c>
      <c r="I981" s="19">
        <f>SUM(B981:H981)</f>
        <v>35679.977299999999</v>
      </c>
    </row>
    <row r="982" spans="1:9" ht="19.5" thickBot="1" x14ac:dyDescent="0.35">
      <c r="A982" s="15" t="s">
        <v>20</v>
      </c>
      <c r="B982" s="28">
        <v>6601.0860000000002</v>
      </c>
      <c r="C982" s="28">
        <v>24879.665200000003</v>
      </c>
      <c r="D982" s="28">
        <v>10773.1872</v>
      </c>
      <c r="E982" s="28">
        <v>11818.909600000001</v>
      </c>
      <c r="F982" s="28">
        <v>33143.01</v>
      </c>
      <c r="G982" s="28">
        <v>23788.885999999999</v>
      </c>
      <c r="H982" s="28">
        <v>10822.007600000001</v>
      </c>
      <c r="I982" s="19">
        <f>SUM(B982:H982)</f>
        <v>121826.7516</v>
      </c>
    </row>
    <row r="983" spans="1:9" x14ac:dyDescent="0.3">
      <c r="A983" s="55" t="s">
        <v>7</v>
      </c>
      <c r="B983" s="56">
        <f t="shared" ref="B983:I983" si="141">SUM(B980:B982)</f>
        <v>9693.0885000000017</v>
      </c>
      <c r="C983" s="56">
        <f t="shared" si="141"/>
        <v>32447.140500000001</v>
      </c>
      <c r="D983" s="56">
        <f t="shared" si="141"/>
        <v>24816.491200000004</v>
      </c>
      <c r="E983" s="56">
        <f t="shared" si="141"/>
        <v>27345.166499999999</v>
      </c>
      <c r="F983" s="56">
        <f t="shared" si="141"/>
        <v>44993.163</v>
      </c>
      <c r="G983" s="56">
        <f t="shared" si="141"/>
        <v>43603.927799999998</v>
      </c>
      <c r="H983" s="56">
        <f t="shared" si="141"/>
        <v>25564.412000000004</v>
      </c>
      <c r="I983" s="56">
        <f t="shared" si="141"/>
        <v>208463.38949999999</v>
      </c>
    </row>
    <row r="986" spans="1:9" x14ac:dyDescent="0.3">
      <c r="A986" s="4" t="s">
        <v>93</v>
      </c>
      <c r="B986" s="5" t="s">
        <v>0</v>
      </c>
      <c r="C986" s="5" t="s">
        <v>1</v>
      </c>
      <c r="D986" s="5" t="s">
        <v>2</v>
      </c>
      <c r="E986" s="6" t="s">
        <v>3</v>
      </c>
      <c r="F986" s="5" t="s">
        <v>4</v>
      </c>
      <c r="G986" s="5" t="s">
        <v>5</v>
      </c>
      <c r="H986" s="5" t="s">
        <v>6</v>
      </c>
      <c r="I986" s="5" t="s">
        <v>7</v>
      </c>
    </row>
    <row r="987" spans="1:9" x14ac:dyDescent="0.3">
      <c r="A987" s="7"/>
      <c r="B987" s="8">
        <v>45600</v>
      </c>
      <c r="C987" s="8">
        <v>45601</v>
      </c>
      <c r="D987" s="8">
        <v>45602</v>
      </c>
      <c r="E987" s="8">
        <v>45603</v>
      </c>
      <c r="F987" s="8">
        <v>45604</v>
      </c>
      <c r="G987" s="8">
        <v>45605</v>
      </c>
      <c r="H987" s="8">
        <v>45606</v>
      </c>
      <c r="I987" s="9"/>
    </row>
    <row r="988" spans="1:9" ht="19.5" thickBot="1" x14ac:dyDescent="0.35">
      <c r="A988" s="10" t="s">
        <v>8</v>
      </c>
      <c r="B988" s="11" t="s">
        <v>9</v>
      </c>
      <c r="C988" s="11" t="s">
        <v>9</v>
      </c>
      <c r="D988" s="11" t="s">
        <v>9</v>
      </c>
      <c r="E988" s="11" t="s">
        <v>9</v>
      </c>
      <c r="F988" s="11" t="s">
        <v>9</v>
      </c>
      <c r="G988" s="11" t="s">
        <v>9</v>
      </c>
      <c r="H988" s="43" t="s">
        <v>9</v>
      </c>
      <c r="I988" s="44" t="s">
        <v>9</v>
      </c>
    </row>
    <row r="989" spans="1:9" x14ac:dyDescent="0.3">
      <c r="A989" s="13" t="s">
        <v>10</v>
      </c>
      <c r="B989" s="14">
        <v>54</v>
      </c>
      <c r="C989" s="14">
        <v>54</v>
      </c>
      <c r="D989" s="14">
        <v>54</v>
      </c>
      <c r="E989" s="14">
        <v>54</v>
      </c>
      <c r="F989" s="14">
        <v>54</v>
      </c>
      <c r="G989" s="14">
        <v>54</v>
      </c>
      <c r="H989" s="14">
        <v>54</v>
      </c>
      <c r="I989" s="16"/>
    </row>
    <row r="990" spans="1:9" x14ac:dyDescent="0.3">
      <c r="A990" s="15" t="s">
        <v>11</v>
      </c>
      <c r="B990" s="16">
        <v>4</v>
      </c>
      <c r="C990" s="16">
        <v>4</v>
      </c>
      <c r="D990" s="16">
        <v>4</v>
      </c>
      <c r="E990" s="16">
        <v>2</v>
      </c>
      <c r="F990" s="16">
        <v>3</v>
      </c>
      <c r="G990" s="16">
        <v>4</v>
      </c>
      <c r="H990" s="16">
        <v>5</v>
      </c>
      <c r="I990" s="16">
        <f>SUM(B990:H990)</f>
        <v>26</v>
      </c>
    </row>
    <row r="991" spans="1:9" x14ac:dyDescent="0.3">
      <c r="A991" s="15" t="s">
        <v>12</v>
      </c>
      <c r="B991" s="16">
        <v>35</v>
      </c>
      <c r="C991" s="16">
        <v>27</v>
      </c>
      <c r="D991" s="16">
        <v>28</v>
      </c>
      <c r="E991" s="16">
        <v>24</v>
      </c>
      <c r="F991" s="16">
        <v>24</v>
      </c>
      <c r="G991" s="16">
        <v>12</v>
      </c>
      <c r="H991" s="16">
        <v>2</v>
      </c>
      <c r="I991" s="16">
        <f>SUM(B991:H991)</f>
        <v>152</v>
      </c>
    </row>
    <row r="992" spans="1:9" x14ac:dyDescent="0.3">
      <c r="A992" s="15" t="s">
        <v>30</v>
      </c>
      <c r="B992" s="16">
        <v>0</v>
      </c>
      <c r="C992" s="16">
        <v>0</v>
      </c>
      <c r="D992" s="16">
        <v>0</v>
      </c>
      <c r="E992" s="16">
        <v>0</v>
      </c>
      <c r="F992" s="16">
        <v>0</v>
      </c>
      <c r="G992" s="16">
        <v>0</v>
      </c>
      <c r="H992" s="16">
        <v>0</v>
      </c>
      <c r="I992" s="16">
        <f>SUM(B992:H992)</f>
        <v>0</v>
      </c>
    </row>
    <row r="993" spans="1:9" x14ac:dyDescent="0.3">
      <c r="A993" s="15" t="s">
        <v>28</v>
      </c>
      <c r="B993" s="16">
        <v>15</v>
      </c>
      <c r="C993" s="16">
        <v>19</v>
      </c>
      <c r="D993" s="16">
        <v>31</v>
      </c>
      <c r="E993" s="16">
        <v>27</v>
      </c>
      <c r="F993" s="16">
        <v>14</v>
      </c>
      <c r="G993" s="16">
        <v>166</v>
      </c>
      <c r="H993" s="16">
        <v>36</v>
      </c>
      <c r="I993" s="16">
        <f>SUM(B993:H993)</f>
        <v>308</v>
      </c>
    </row>
    <row r="994" spans="1:9" x14ac:dyDescent="0.3">
      <c r="A994" s="15" t="s">
        <v>29</v>
      </c>
      <c r="B994" s="16">
        <v>2</v>
      </c>
      <c r="C994" s="16">
        <v>1</v>
      </c>
      <c r="D994" s="16">
        <v>1</v>
      </c>
      <c r="E994" s="16">
        <v>0</v>
      </c>
      <c r="F994" s="16">
        <v>0</v>
      </c>
      <c r="G994" s="16">
        <v>47</v>
      </c>
      <c r="H994" s="16">
        <v>4</v>
      </c>
      <c r="I994" s="16">
        <f>SUM(B994:H994)</f>
        <v>55</v>
      </c>
    </row>
    <row r="995" spans="1:9" x14ac:dyDescent="0.3">
      <c r="A995" s="15" t="s">
        <v>31</v>
      </c>
      <c r="B995" s="16">
        <v>0</v>
      </c>
      <c r="C995" s="16">
        <v>1</v>
      </c>
      <c r="D995" s="16">
        <v>0</v>
      </c>
      <c r="E995" s="16">
        <v>0</v>
      </c>
      <c r="F995" s="16">
        <v>0</v>
      </c>
      <c r="G995" s="16">
        <v>14</v>
      </c>
      <c r="H995" s="16">
        <v>2</v>
      </c>
      <c r="I995" s="16">
        <f t="shared" ref="I995:I999" si="142">SUM(B995:H995)</f>
        <v>17</v>
      </c>
    </row>
    <row r="996" spans="1:9" x14ac:dyDescent="0.3">
      <c r="A996" s="15" t="s">
        <v>13</v>
      </c>
      <c r="B996" s="16">
        <v>0</v>
      </c>
      <c r="C996" s="16">
        <v>0</v>
      </c>
      <c r="D996" s="16">
        <v>0</v>
      </c>
      <c r="E996" s="16">
        <v>0</v>
      </c>
      <c r="F996" s="16">
        <v>0</v>
      </c>
      <c r="G996" s="16">
        <v>0</v>
      </c>
      <c r="H996" s="16">
        <v>0</v>
      </c>
      <c r="I996" s="16">
        <f t="shared" si="142"/>
        <v>0</v>
      </c>
    </row>
    <row r="997" spans="1:9" x14ac:dyDescent="0.3">
      <c r="A997" s="15" t="s">
        <v>14</v>
      </c>
      <c r="B997" s="16">
        <v>0</v>
      </c>
      <c r="C997" s="16">
        <v>0</v>
      </c>
      <c r="D997" s="16">
        <v>0</v>
      </c>
      <c r="E997" s="16">
        <v>0</v>
      </c>
      <c r="F997" s="16">
        <v>0</v>
      </c>
      <c r="G997" s="16">
        <v>0</v>
      </c>
      <c r="H997" s="16">
        <v>0</v>
      </c>
      <c r="I997" s="16">
        <f t="shared" si="142"/>
        <v>0</v>
      </c>
    </row>
    <row r="998" spans="1:9" x14ac:dyDescent="0.3">
      <c r="A998" s="15" t="s">
        <v>32</v>
      </c>
      <c r="B998" s="16">
        <v>0</v>
      </c>
      <c r="C998" s="16">
        <v>0</v>
      </c>
      <c r="D998" s="16">
        <v>0</v>
      </c>
      <c r="E998" s="16">
        <v>0</v>
      </c>
      <c r="F998" s="16">
        <v>0</v>
      </c>
      <c r="G998" s="16">
        <v>0</v>
      </c>
      <c r="H998" s="16">
        <v>0</v>
      </c>
      <c r="I998" s="16">
        <f t="shared" si="142"/>
        <v>0</v>
      </c>
    </row>
    <row r="999" spans="1:9" x14ac:dyDescent="0.3">
      <c r="A999" s="15" t="s">
        <v>33</v>
      </c>
      <c r="B999" s="16">
        <v>0</v>
      </c>
      <c r="C999" s="16">
        <v>0</v>
      </c>
      <c r="D999" s="16">
        <v>0</v>
      </c>
      <c r="E999" s="16">
        <v>0</v>
      </c>
      <c r="F999" s="16">
        <v>0</v>
      </c>
      <c r="G999" s="16">
        <v>0</v>
      </c>
      <c r="H999" s="16">
        <v>0</v>
      </c>
      <c r="I999" s="16">
        <f t="shared" si="142"/>
        <v>0</v>
      </c>
    </row>
    <row r="1000" spans="1:9" ht="19.5" thickBot="1" x14ac:dyDescent="0.35">
      <c r="A1000" s="30" t="s">
        <v>15</v>
      </c>
      <c r="B1000" s="31">
        <f t="shared" ref="B1000:H1000" si="143">(B991+B990)/B989*100%</f>
        <v>0.72222222222222221</v>
      </c>
      <c r="C1000" s="31">
        <f t="shared" si="143"/>
        <v>0.57407407407407407</v>
      </c>
      <c r="D1000" s="31">
        <f t="shared" si="143"/>
        <v>0.59259259259259256</v>
      </c>
      <c r="E1000" s="31">
        <f t="shared" si="143"/>
        <v>0.48148148148148145</v>
      </c>
      <c r="F1000" s="31">
        <f t="shared" si="143"/>
        <v>0.5</v>
      </c>
      <c r="G1000" s="31">
        <f t="shared" si="143"/>
        <v>0.29629629629629628</v>
      </c>
      <c r="H1000" s="31">
        <f t="shared" si="143"/>
        <v>0.12962962962962962</v>
      </c>
      <c r="I1000" s="32">
        <f>(B1000+C1000+D1000+E1000+F1000+G1000+H1000)/7</f>
        <v>0.47089947089947087</v>
      </c>
    </row>
    <row r="1001" spans="1:9" x14ac:dyDescent="0.3">
      <c r="A1001" s="67" t="s">
        <v>16</v>
      </c>
      <c r="B1001" s="16"/>
      <c r="C1001" s="17"/>
      <c r="D1001" s="16"/>
      <c r="E1001" s="18"/>
      <c r="F1001" s="16"/>
      <c r="G1001" s="16"/>
      <c r="H1001" s="16"/>
      <c r="I1001" s="16"/>
    </row>
    <row r="1002" spans="1:9" x14ac:dyDescent="0.3">
      <c r="A1002" s="15" t="s">
        <v>34</v>
      </c>
      <c r="B1002" s="28">
        <v>4654.277</v>
      </c>
      <c r="C1002" s="28">
        <v>0</v>
      </c>
      <c r="D1002" s="28">
        <v>0</v>
      </c>
      <c r="E1002" s="28">
        <v>3824.3190000000004</v>
      </c>
      <c r="F1002" s="28">
        <v>7811.375</v>
      </c>
      <c r="G1002" s="28">
        <v>10171.060000000001</v>
      </c>
      <c r="H1002" s="28">
        <v>3254.739</v>
      </c>
      <c r="I1002" s="19">
        <f>SUM(B1002:H1002)</f>
        <v>29715.770000000004</v>
      </c>
    </row>
    <row r="1003" spans="1:9" x14ac:dyDescent="0.3">
      <c r="A1003" s="15" t="s">
        <v>35</v>
      </c>
      <c r="B1003" s="28">
        <v>16234.908799999999</v>
      </c>
      <c r="C1003" s="28">
        <v>9337.2425000000003</v>
      </c>
      <c r="D1003" s="28">
        <v>10500.194800000001</v>
      </c>
      <c r="E1003" s="28">
        <v>16891.142000000003</v>
      </c>
      <c r="F1003" s="28">
        <v>6906.9670000000006</v>
      </c>
      <c r="G1003" s="28">
        <v>0</v>
      </c>
      <c r="H1003" s="28">
        <v>0</v>
      </c>
      <c r="I1003" s="19">
        <f>SUM(B1003:H1003)</f>
        <v>59870.455100000006</v>
      </c>
    </row>
    <row r="1004" spans="1:9" ht="19.5" thickBot="1" x14ac:dyDescent="0.35">
      <c r="A1004" s="15" t="s">
        <v>20</v>
      </c>
      <c r="B1004" s="28">
        <v>3336.1091999999999</v>
      </c>
      <c r="C1004" s="28">
        <v>4214.8883999999998</v>
      </c>
      <c r="D1004" s="28">
        <v>6639.6687999999995</v>
      </c>
      <c r="E1004" s="28">
        <v>5712.0680000000002</v>
      </c>
      <c r="F1004" s="28">
        <v>2961.8119999999999</v>
      </c>
      <c r="G1004" s="28">
        <v>36592.116000000002</v>
      </c>
      <c r="H1004" s="28">
        <v>7922.0360000000001</v>
      </c>
      <c r="I1004" s="19">
        <f>SUM(B1004:H1004)</f>
        <v>67378.698399999994</v>
      </c>
    </row>
    <row r="1005" spans="1:9" x14ac:dyDescent="0.3">
      <c r="A1005" s="55" t="s">
        <v>7</v>
      </c>
      <c r="B1005" s="56">
        <f t="shared" ref="B1005:I1005" si="144">SUM(B1002:B1004)</f>
        <v>24225.294999999998</v>
      </c>
      <c r="C1005" s="56">
        <f t="shared" si="144"/>
        <v>13552.1309</v>
      </c>
      <c r="D1005" s="56">
        <f t="shared" si="144"/>
        <v>17139.863600000001</v>
      </c>
      <c r="E1005" s="56">
        <f t="shared" si="144"/>
        <v>26427.529000000002</v>
      </c>
      <c r="F1005" s="56">
        <f t="shared" si="144"/>
        <v>17680.154000000002</v>
      </c>
      <c r="G1005" s="56">
        <f t="shared" si="144"/>
        <v>46763.176000000007</v>
      </c>
      <c r="H1005" s="56">
        <f t="shared" si="144"/>
        <v>11176.775</v>
      </c>
      <c r="I1005" s="56">
        <f t="shared" si="144"/>
        <v>156964.9235</v>
      </c>
    </row>
    <row r="1007" spans="1:9" x14ac:dyDescent="0.3">
      <c r="A1007" s="4" t="s">
        <v>94</v>
      </c>
      <c r="B1007" s="5" t="s">
        <v>0</v>
      </c>
      <c r="C1007" s="5" t="s">
        <v>1</v>
      </c>
      <c r="D1007" s="5" t="s">
        <v>2</v>
      </c>
      <c r="E1007" s="6" t="s">
        <v>3</v>
      </c>
      <c r="F1007" s="5" t="s">
        <v>4</v>
      </c>
      <c r="G1007" s="5" t="s">
        <v>5</v>
      </c>
      <c r="H1007" s="5" t="s">
        <v>6</v>
      </c>
      <c r="I1007" s="5" t="s">
        <v>7</v>
      </c>
    </row>
    <row r="1008" spans="1:9" x14ac:dyDescent="0.3">
      <c r="A1008" s="7"/>
      <c r="B1008" s="8">
        <v>45607</v>
      </c>
      <c r="C1008" s="8">
        <v>45608</v>
      </c>
      <c r="D1008" s="8">
        <v>45609</v>
      </c>
      <c r="E1008" s="8">
        <v>45610</v>
      </c>
      <c r="F1008" s="8">
        <v>45611</v>
      </c>
      <c r="G1008" s="8">
        <v>45612</v>
      </c>
      <c r="H1008" s="8">
        <v>45613</v>
      </c>
      <c r="I1008" s="9"/>
    </row>
    <row r="1009" spans="1:9" ht="19.5" thickBot="1" x14ac:dyDescent="0.35">
      <c r="A1009" s="10" t="s">
        <v>8</v>
      </c>
      <c r="B1009" s="11" t="s">
        <v>9</v>
      </c>
      <c r="C1009" s="11" t="s">
        <v>9</v>
      </c>
      <c r="D1009" s="11" t="s">
        <v>9</v>
      </c>
      <c r="E1009" s="11" t="s">
        <v>9</v>
      </c>
      <c r="F1009" s="11" t="s">
        <v>9</v>
      </c>
      <c r="G1009" s="11" t="s">
        <v>9</v>
      </c>
      <c r="H1009" s="43" t="s">
        <v>9</v>
      </c>
      <c r="I1009" s="44" t="s">
        <v>9</v>
      </c>
    </row>
    <row r="1010" spans="1:9" x14ac:dyDescent="0.3">
      <c r="A1010" s="13" t="s">
        <v>10</v>
      </c>
      <c r="B1010" s="14">
        <v>54</v>
      </c>
      <c r="C1010" s="14">
        <v>54</v>
      </c>
      <c r="D1010" s="14">
        <v>54</v>
      </c>
      <c r="E1010" s="14">
        <v>54</v>
      </c>
      <c r="F1010" s="14">
        <v>54</v>
      </c>
      <c r="G1010" s="14">
        <v>54</v>
      </c>
      <c r="H1010" s="14">
        <v>54</v>
      </c>
      <c r="I1010" s="16"/>
    </row>
    <row r="1011" spans="1:9" x14ac:dyDescent="0.3">
      <c r="A1011" s="15" t="s">
        <v>11</v>
      </c>
      <c r="B1011" s="16">
        <v>6</v>
      </c>
      <c r="C1011" s="16">
        <v>5</v>
      </c>
      <c r="D1011" s="16">
        <v>4</v>
      </c>
      <c r="E1011" s="16">
        <v>0</v>
      </c>
      <c r="F1011" s="16">
        <v>2</v>
      </c>
      <c r="G1011" s="16">
        <v>2</v>
      </c>
      <c r="H1011" s="16">
        <v>3</v>
      </c>
      <c r="I1011" s="16">
        <f>SUM(B1011:H1011)</f>
        <v>22</v>
      </c>
    </row>
    <row r="1012" spans="1:9" x14ac:dyDescent="0.3">
      <c r="A1012" s="15" t="s">
        <v>12</v>
      </c>
      <c r="B1012" s="16">
        <v>12</v>
      </c>
      <c r="C1012" s="16">
        <v>0</v>
      </c>
      <c r="D1012" s="16">
        <v>11</v>
      </c>
      <c r="E1012" s="16">
        <v>54</v>
      </c>
      <c r="F1012" s="16">
        <v>31</v>
      </c>
      <c r="G1012" s="16">
        <v>51</v>
      </c>
      <c r="H1012" s="16">
        <v>11</v>
      </c>
      <c r="I1012" s="16">
        <f>SUM(B1012:H1012)</f>
        <v>170</v>
      </c>
    </row>
    <row r="1013" spans="1:9" x14ac:dyDescent="0.3">
      <c r="A1013" s="15" t="s">
        <v>30</v>
      </c>
      <c r="B1013" s="16">
        <v>0</v>
      </c>
      <c r="C1013" s="16">
        <v>0</v>
      </c>
      <c r="D1013" s="16">
        <v>0</v>
      </c>
      <c r="E1013" s="16">
        <v>0</v>
      </c>
      <c r="F1013" s="16">
        <v>0</v>
      </c>
      <c r="G1013" s="16">
        <v>0</v>
      </c>
      <c r="H1013" s="16">
        <v>0</v>
      </c>
      <c r="I1013" s="16">
        <f>SUM(B1013:H1013)</f>
        <v>0</v>
      </c>
    </row>
    <row r="1014" spans="1:9" x14ac:dyDescent="0.3">
      <c r="A1014" s="15" t="s">
        <v>28</v>
      </c>
      <c r="B1014" s="16">
        <v>12</v>
      </c>
      <c r="C1014" s="16">
        <v>17</v>
      </c>
      <c r="D1014" s="16">
        <v>18</v>
      </c>
      <c r="E1014" s="16">
        <v>20</v>
      </c>
      <c r="F1014" s="16">
        <v>62</v>
      </c>
      <c r="G1014" s="16">
        <v>401</v>
      </c>
      <c r="H1014" s="16">
        <v>112</v>
      </c>
      <c r="I1014" s="16">
        <f>SUM(B1014:H1014)</f>
        <v>642</v>
      </c>
    </row>
    <row r="1015" spans="1:9" x14ac:dyDescent="0.3">
      <c r="A1015" s="15" t="s">
        <v>29</v>
      </c>
      <c r="B1015" s="16">
        <v>0</v>
      </c>
      <c r="C1015" s="16">
        <v>0</v>
      </c>
      <c r="D1015" s="16">
        <v>0</v>
      </c>
      <c r="E1015" s="16">
        <v>1</v>
      </c>
      <c r="F1015" s="16">
        <v>102</v>
      </c>
      <c r="G1015" s="16">
        <v>42</v>
      </c>
      <c r="H1015" s="16">
        <v>2</v>
      </c>
      <c r="I1015" s="16">
        <f>SUM(B1015:H1015)</f>
        <v>147</v>
      </c>
    </row>
    <row r="1016" spans="1:9" x14ac:dyDescent="0.3">
      <c r="A1016" s="15" t="s">
        <v>31</v>
      </c>
      <c r="B1016" s="16">
        <v>0</v>
      </c>
      <c r="C1016" s="16">
        <v>0</v>
      </c>
      <c r="D1016" s="16">
        <v>0</v>
      </c>
      <c r="E1016" s="16">
        <v>0</v>
      </c>
      <c r="F1016" s="16">
        <v>0</v>
      </c>
      <c r="G1016" s="16">
        <v>19</v>
      </c>
      <c r="H1016" s="16">
        <v>2</v>
      </c>
      <c r="I1016" s="16">
        <f t="shared" ref="I1016:I1020" si="145">SUM(B1016:H1016)</f>
        <v>21</v>
      </c>
    </row>
    <row r="1017" spans="1:9" x14ac:dyDescent="0.3">
      <c r="A1017" s="15" t="s">
        <v>13</v>
      </c>
      <c r="B1017" s="16">
        <v>0</v>
      </c>
      <c r="C1017" s="16">
        <v>0</v>
      </c>
      <c r="D1017" s="16">
        <v>0</v>
      </c>
      <c r="E1017" s="16">
        <v>1</v>
      </c>
      <c r="F1017" s="16">
        <v>0</v>
      </c>
      <c r="G1017" s="16">
        <v>3</v>
      </c>
      <c r="H1017" s="16">
        <v>1</v>
      </c>
      <c r="I1017" s="16">
        <f t="shared" si="145"/>
        <v>5</v>
      </c>
    </row>
    <row r="1018" spans="1:9" x14ac:dyDescent="0.3">
      <c r="A1018" s="15" t="s">
        <v>14</v>
      </c>
      <c r="B1018" s="16">
        <v>0</v>
      </c>
      <c r="C1018" s="16">
        <v>0</v>
      </c>
      <c r="D1018" s="16">
        <v>0</v>
      </c>
      <c r="E1018" s="16">
        <v>0</v>
      </c>
      <c r="F1018" s="16">
        <v>0</v>
      </c>
      <c r="G1018" s="16">
        <v>0</v>
      </c>
      <c r="H1018" s="16">
        <v>0</v>
      </c>
      <c r="I1018" s="16">
        <f t="shared" si="145"/>
        <v>0</v>
      </c>
    </row>
    <row r="1019" spans="1:9" x14ac:dyDescent="0.3">
      <c r="A1019" s="15" t="s">
        <v>32</v>
      </c>
      <c r="B1019" s="16">
        <v>0</v>
      </c>
      <c r="C1019" s="16">
        <v>0</v>
      </c>
      <c r="D1019" s="16">
        <v>0</v>
      </c>
      <c r="E1019" s="16">
        <v>0</v>
      </c>
      <c r="F1019" s="16">
        <v>0</v>
      </c>
      <c r="G1019" s="16">
        <v>0</v>
      </c>
      <c r="H1019" s="16">
        <v>0</v>
      </c>
      <c r="I1019" s="16">
        <f t="shared" si="145"/>
        <v>0</v>
      </c>
    </row>
    <row r="1020" spans="1:9" x14ac:dyDescent="0.3">
      <c r="A1020" s="15" t="s">
        <v>33</v>
      </c>
      <c r="B1020" s="16">
        <v>0</v>
      </c>
      <c r="C1020" s="16">
        <v>0</v>
      </c>
      <c r="D1020" s="16">
        <v>0</v>
      </c>
      <c r="E1020" s="16">
        <v>0</v>
      </c>
      <c r="F1020" s="16">
        <v>0</v>
      </c>
      <c r="G1020" s="16">
        <v>0</v>
      </c>
      <c r="H1020" s="16">
        <v>0</v>
      </c>
      <c r="I1020" s="16">
        <f t="shared" si="145"/>
        <v>0</v>
      </c>
    </row>
    <row r="1021" spans="1:9" ht="19.5" thickBot="1" x14ac:dyDescent="0.35">
      <c r="A1021" s="30" t="s">
        <v>15</v>
      </c>
      <c r="B1021" s="31">
        <f t="shared" ref="B1021:H1021" si="146">(B1012+B1011)/B1010*100%</f>
        <v>0.33333333333333331</v>
      </c>
      <c r="C1021" s="31">
        <f t="shared" si="146"/>
        <v>9.2592592592592587E-2</v>
      </c>
      <c r="D1021" s="31">
        <f t="shared" si="146"/>
        <v>0.27777777777777779</v>
      </c>
      <c r="E1021" s="31">
        <f t="shared" si="146"/>
        <v>1</v>
      </c>
      <c r="F1021" s="31">
        <f t="shared" si="146"/>
        <v>0.61111111111111116</v>
      </c>
      <c r="G1021" s="31">
        <f t="shared" si="146"/>
        <v>0.98148148148148151</v>
      </c>
      <c r="H1021" s="31">
        <f t="shared" si="146"/>
        <v>0.25925925925925924</v>
      </c>
      <c r="I1021" s="32">
        <f>(B1021+C1021+D1021+E1021+F1021+G1021+H1021)/7</f>
        <v>0.50793650793650791</v>
      </c>
    </row>
    <row r="1022" spans="1:9" x14ac:dyDescent="0.3">
      <c r="A1022" s="67" t="s">
        <v>16</v>
      </c>
      <c r="B1022" s="16"/>
      <c r="C1022" s="17"/>
      <c r="D1022" s="16"/>
      <c r="E1022" s="18"/>
      <c r="F1022" s="16"/>
      <c r="G1022" s="16"/>
      <c r="H1022" s="16"/>
      <c r="I1022" s="16"/>
    </row>
    <row r="1023" spans="1:9" x14ac:dyDescent="0.3">
      <c r="A1023" s="15" t="s">
        <v>34</v>
      </c>
      <c r="B1023" s="28">
        <v>6896.59</v>
      </c>
      <c r="C1023" s="28">
        <v>0</v>
      </c>
      <c r="D1023" s="28">
        <v>813.68490000000008</v>
      </c>
      <c r="E1023" s="28">
        <v>3417.4765000000002</v>
      </c>
      <c r="F1023" s="28">
        <v>6786.3842000000004</v>
      </c>
      <c r="G1023" s="28">
        <v>20258.036800000002</v>
      </c>
      <c r="H1023" s="28">
        <v>9764.2219999999998</v>
      </c>
      <c r="I1023" s="19">
        <f>SUM(B1023:H1023)</f>
        <v>47936.394400000005</v>
      </c>
    </row>
    <row r="1024" spans="1:9" x14ac:dyDescent="0.3">
      <c r="A1024" s="15" t="s">
        <v>35</v>
      </c>
      <c r="B1024" s="28">
        <v>0</v>
      </c>
      <c r="C1024" s="28">
        <v>0</v>
      </c>
      <c r="D1024" s="28">
        <v>3010.0540000000001</v>
      </c>
      <c r="E1024" s="28">
        <v>24064.806700000001</v>
      </c>
      <c r="F1024" s="28">
        <v>6209.074700000001</v>
      </c>
      <c r="G1024" s="28">
        <v>8000.1460000000006</v>
      </c>
      <c r="H1024" s="28">
        <v>0</v>
      </c>
      <c r="I1024" s="19">
        <f>SUM(B1024:H1024)</f>
        <v>41284.081400000003</v>
      </c>
    </row>
    <row r="1025" spans="1:9" ht="19.5" thickBot="1" x14ac:dyDescent="0.35">
      <c r="A1025" s="15" t="s">
        <v>20</v>
      </c>
      <c r="B1025" s="28">
        <v>2538.6959999999999</v>
      </c>
      <c r="C1025" s="28">
        <v>3282.9560000000001</v>
      </c>
      <c r="D1025" s="28">
        <v>3808.0472000000004</v>
      </c>
      <c r="E1025" s="28">
        <v>3937.3204000000001</v>
      </c>
      <c r="F1025" s="28">
        <v>15104.707999999999</v>
      </c>
      <c r="G1025" s="28">
        <v>79616.824000000008</v>
      </c>
      <c r="H1025" s="28">
        <v>44560.634400000003</v>
      </c>
      <c r="I1025" s="19">
        <f>SUM(B1025:H1025)</f>
        <v>152849.18600000002</v>
      </c>
    </row>
    <row r="1026" spans="1:9" x14ac:dyDescent="0.3">
      <c r="A1026" s="55" t="s">
        <v>7</v>
      </c>
      <c r="B1026" s="56">
        <f t="shared" ref="B1026:I1026" si="147">SUM(B1023:B1025)</f>
        <v>9435.2860000000001</v>
      </c>
      <c r="C1026" s="56">
        <f t="shared" si="147"/>
        <v>3282.9560000000001</v>
      </c>
      <c r="D1026" s="56">
        <f t="shared" si="147"/>
        <v>7631.7861000000012</v>
      </c>
      <c r="E1026" s="56">
        <f t="shared" si="147"/>
        <v>31419.603600000002</v>
      </c>
      <c r="F1026" s="56">
        <f t="shared" si="147"/>
        <v>28100.1669</v>
      </c>
      <c r="G1026" s="56">
        <f t="shared" si="147"/>
        <v>107875.0068</v>
      </c>
      <c r="H1026" s="56">
        <f t="shared" si="147"/>
        <v>54324.856400000004</v>
      </c>
      <c r="I1026" s="56">
        <f t="shared" si="147"/>
        <v>242069.66180000003</v>
      </c>
    </row>
    <row r="1028" spans="1:9" x14ac:dyDescent="0.3">
      <c r="A1028" s="4" t="s">
        <v>95</v>
      </c>
      <c r="B1028" s="5" t="s">
        <v>0</v>
      </c>
      <c r="C1028" s="5" t="s">
        <v>1</v>
      </c>
      <c r="D1028" s="5" t="s">
        <v>2</v>
      </c>
      <c r="E1028" s="6" t="s">
        <v>3</v>
      </c>
      <c r="F1028" s="5" t="s">
        <v>4</v>
      </c>
      <c r="G1028" s="5" t="s">
        <v>5</v>
      </c>
      <c r="H1028" s="5" t="s">
        <v>6</v>
      </c>
      <c r="I1028" s="5" t="s">
        <v>7</v>
      </c>
    </row>
    <row r="1029" spans="1:9" x14ac:dyDescent="0.3">
      <c r="A1029" s="7"/>
      <c r="B1029" s="8">
        <v>45614</v>
      </c>
      <c r="C1029" s="8">
        <v>45615</v>
      </c>
      <c r="D1029" s="8">
        <v>45616</v>
      </c>
      <c r="E1029" s="8">
        <v>45617</v>
      </c>
      <c r="F1029" s="8">
        <v>45618</v>
      </c>
      <c r="G1029" s="8">
        <v>45619</v>
      </c>
      <c r="H1029" s="8">
        <v>45620</v>
      </c>
      <c r="I1029" s="9"/>
    </row>
    <row r="1030" spans="1:9" ht="19.5" thickBot="1" x14ac:dyDescent="0.35">
      <c r="A1030" s="10" t="s">
        <v>8</v>
      </c>
      <c r="B1030" s="11" t="s">
        <v>9</v>
      </c>
      <c r="C1030" s="11" t="s">
        <v>9</v>
      </c>
      <c r="D1030" s="11" t="s">
        <v>9</v>
      </c>
      <c r="E1030" s="11" t="s">
        <v>9</v>
      </c>
      <c r="F1030" s="11" t="s">
        <v>9</v>
      </c>
      <c r="G1030" s="11" t="s">
        <v>9</v>
      </c>
      <c r="H1030" s="43" t="s">
        <v>9</v>
      </c>
      <c r="I1030" s="44" t="s">
        <v>9</v>
      </c>
    </row>
    <row r="1031" spans="1:9" x14ac:dyDescent="0.3">
      <c r="A1031" s="13" t="s">
        <v>10</v>
      </c>
      <c r="B1031" s="14">
        <v>54</v>
      </c>
      <c r="C1031" s="14">
        <v>54</v>
      </c>
      <c r="D1031" s="14">
        <v>54</v>
      </c>
      <c r="E1031" s="14">
        <v>54</v>
      </c>
      <c r="F1031" s="14">
        <v>54</v>
      </c>
      <c r="G1031" s="14">
        <v>54</v>
      </c>
      <c r="H1031" s="14">
        <v>54</v>
      </c>
      <c r="I1031" s="16"/>
    </row>
    <row r="1032" spans="1:9" x14ac:dyDescent="0.3">
      <c r="A1032" s="15" t="s">
        <v>11</v>
      </c>
      <c r="B1032" s="16">
        <v>2</v>
      </c>
      <c r="C1032" s="16">
        <v>4</v>
      </c>
      <c r="D1032" s="16">
        <v>3</v>
      </c>
      <c r="E1032" s="16">
        <v>3</v>
      </c>
      <c r="F1032" s="16">
        <v>1</v>
      </c>
      <c r="G1032" s="16">
        <v>3</v>
      </c>
      <c r="H1032" s="16">
        <v>7</v>
      </c>
      <c r="I1032" s="16">
        <f>SUM(B1032:H1032)</f>
        <v>23</v>
      </c>
    </row>
    <row r="1033" spans="1:9" x14ac:dyDescent="0.3">
      <c r="A1033" s="15" t="s">
        <v>12</v>
      </c>
      <c r="B1033" s="16">
        <v>2</v>
      </c>
      <c r="C1033" s="16">
        <v>10</v>
      </c>
      <c r="D1033" s="16">
        <v>12</v>
      </c>
      <c r="E1033" s="16">
        <v>17</v>
      </c>
      <c r="F1033" s="16">
        <v>50</v>
      </c>
      <c r="G1033" s="16">
        <v>34</v>
      </c>
      <c r="H1033" s="16">
        <v>3</v>
      </c>
      <c r="I1033" s="16">
        <f>SUM(B1033:H1033)</f>
        <v>128</v>
      </c>
    </row>
    <row r="1034" spans="1:9" x14ac:dyDescent="0.3">
      <c r="A1034" s="15" t="s">
        <v>30</v>
      </c>
      <c r="B1034" s="16">
        <v>0</v>
      </c>
      <c r="C1034" s="16">
        <v>0</v>
      </c>
      <c r="D1034" s="16">
        <v>0</v>
      </c>
      <c r="E1034" s="16">
        <v>0</v>
      </c>
      <c r="F1034" s="16">
        <v>0</v>
      </c>
      <c r="G1034" s="16">
        <v>0</v>
      </c>
      <c r="H1034" s="16">
        <v>0</v>
      </c>
      <c r="I1034" s="16">
        <f>SUM(B1034:H1034)</f>
        <v>0</v>
      </c>
    </row>
    <row r="1035" spans="1:9" x14ac:dyDescent="0.3">
      <c r="A1035" s="15" t="s">
        <v>28</v>
      </c>
      <c r="B1035" s="16">
        <v>27</v>
      </c>
      <c r="C1035" s="16">
        <v>24</v>
      </c>
      <c r="D1035" s="16">
        <v>20</v>
      </c>
      <c r="E1035" s="16">
        <v>22</v>
      </c>
      <c r="F1035" s="16">
        <v>52</v>
      </c>
      <c r="G1035" s="16">
        <v>145</v>
      </c>
      <c r="H1035" s="16">
        <v>60</v>
      </c>
      <c r="I1035" s="16">
        <f>SUM(B1035:H1035)</f>
        <v>350</v>
      </c>
    </row>
    <row r="1036" spans="1:9" x14ac:dyDescent="0.3">
      <c r="A1036" s="15" t="s">
        <v>29</v>
      </c>
      <c r="B1036" s="16">
        <v>0</v>
      </c>
      <c r="C1036" s="16">
        <v>0</v>
      </c>
      <c r="D1036" s="16">
        <v>1</v>
      </c>
      <c r="E1036" s="16">
        <v>0</v>
      </c>
      <c r="F1036" s="16">
        <v>256</v>
      </c>
      <c r="G1036" s="16">
        <v>23</v>
      </c>
      <c r="H1036" s="16">
        <v>14</v>
      </c>
      <c r="I1036" s="16">
        <f>SUM(B1036:H1036)</f>
        <v>294</v>
      </c>
    </row>
    <row r="1037" spans="1:9" x14ac:dyDescent="0.3">
      <c r="A1037" s="15" t="s">
        <v>31</v>
      </c>
      <c r="B1037" s="16">
        <v>0</v>
      </c>
      <c r="C1037" s="16">
        <v>5</v>
      </c>
      <c r="D1037" s="16">
        <v>2</v>
      </c>
      <c r="E1037" s="16">
        <v>0</v>
      </c>
      <c r="F1037" s="16">
        <v>1</v>
      </c>
      <c r="G1037" s="16">
        <v>20</v>
      </c>
      <c r="H1037" s="16">
        <v>5</v>
      </c>
      <c r="I1037" s="16">
        <f t="shared" ref="I1037:I1041" si="148">SUM(B1037:H1037)</f>
        <v>33</v>
      </c>
    </row>
    <row r="1038" spans="1:9" x14ac:dyDescent="0.3">
      <c r="A1038" s="15" t="s">
        <v>13</v>
      </c>
      <c r="B1038" s="16">
        <v>0</v>
      </c>
      <c r="C1038" s="16">
        <v>0</v>
      </c>
      <c r="D1038" s="16">
        <v>0</v>
      </c>
      <c r="E1038" s="16">
        <v>3</v>
      </c>
      <c r="F1038" s="16">
        <v>1</v>
      </c>
      <c r="G1038" s="16">
        <v>0</v>
      </c>
      <c r="H1038" s="16">
        <v>0</v>
      </c>
      <c r="I1038" s="16">
        <f t="shared" si="148"/>
        <v>4</v>
      </c>
    </row>
    <row r="1039" spans="1:9" x14ac:dyDescent="0.3">
      <c r="A1039" s="15" t="s">
        <v>14</v>
      </c>
      <c r="B1039" s="16">
        <v>0</v>
      </c>
      <c r="C1039" s="16">
        <v>0</v>
      </c>
      <c r="D1039" s="16">
        <v>0</v>
      </c>
      <c r="E1039" s="16">
        <v>0</v>
      </c>
      <c r="F1039" s="16">
        <v>0</v>
      </c>
      <c r="G1039" s="16">
        <v>0</v>
      </c>
      <c r="H1039" s="16">
        <v>0</v>
      </c>
      <c r="I1039" s="16">
        <f t="shared" si="148"/>
        <v>0</v>
      </c>
    </row>
    <row r="1040" spans="1:9" x14ac:dyDescent="0.3">
      <c r="A1040" s="15" t="s">
        <v>32</v>
      </c>
      <c r="B1040" s="16">
        <v>0</v>
      </c>
      <c r="C1040" s="16">
        <v>0</v>
      </c>
      <c r="D1040" s="16">
        <v>0</v>
      </c>
      <c r="E1040" s="16">
        <v>0</v>
      </c>
      <c r="F1040" s="16">
        <v>0</v>
      </c>
      <c r="G1040" s="16">
        <v>0</v>
      </c>
      <c r="H1040" s="16">
        <v>0</v>
      </c>
      <c r="I1040" s="16">
        <f t="shared" si="148"/>
        <v>0</v>
      </c>
    </row>
    <row r="1041" spans="1:9" x14ac:dyDescent="0.3">
      <c r="A1041" s="15" t="s">
        <v>33</v>
      </c>
      <c r="B1041" s="16">
        <v>0</v>
      </c>
      <c r="C1041" s="16">
        <v>0</v>
      </c>
      <c r="D1041" s="16">
        <v>0</v>
      </c>
      <c r="E1041" s="16">
        <v>0</v>
      </c>
      <c r="F1041" s="16">
        <v>0</v>
      </c>
      <c r="G1041" s="16">
        <v>0</v>
      </c>
      <c r="H1041" s="16">
        <v>0</v>
      </c>
      <c r="I1041" s="16">
        <f t="shared" si="148"/>
        <v>0</v>
      </c>
    </row>
    <row r="1042" spans="1:9" ht="19.5" thickBot="1" x14ac:dyDescent="0.35">
      <c r="A1042" s="30" t="s">
        <v>15</v>
      </c>
      <c r="B1042" s="31">
        <f t="shared" ref="B1042:H1042" si="149">(B1033+B1032)/B1031*100%</f>
        <v>7.407407407407407E-2</v>
      </c>
      <c r="C1042" s="31">
        <f t="shared" si="149"/>
        <v>0.25925925925925924</v>
      </c>
      <c r="D1042" s="31">
        <f t="shared" si="149"/>
        <v>0.27777777777777779</v>
      </c>
      <c r="E1042" s="31">
        <f t="shared" si="149"/>
        <v>0.37037037037037035</v>
      </c>
      <c r="F1042" s="31">
        <f t="shared" si="149"/>
        <v>0.94444444444444442</v>
      </c>
      <c r="G1042" s="31">
        <f t="shared" si="149"/>
        <v>0.68518518518518523</v>
      </c>
      <c r="H1042" s="31">
        <f t="shared" si="149"/>
        <v>0.18518518518518517</v>
      </c>
      <c r="I1042" s="32">
        <f>(B1042+C1042+D1042+E1042+F1042+G1042+H1042)/7</f>
        <v>0.39947089947089948</v>
      </c>
    </row>
    <row r="1043" spans="1:9" x14ac:dyDescent="0.3">
      <c r="A1043" s="67" t="s">
        <v>16</v>
      </c>
      <c r="B1043" s="16"/>
      <c r="C1043" s="17"/>
      <c r="D1043" s="16"/>
      <c r="E1043" s="18"/>
      <c r="F1043" s="16"/>
      <c r="G1043" s="16"/>
      <c r="H1043" s="16"/>
      <c r="I1043" s="16"/>
    </row>
    <row r="1044" spans="1:9" x14ac:dyDescent="0.3">
      <c r="A1044" s="15" t="s">
        <v>34</v>
      </c>
      <c r="B1044" s="28">
        <v>1220.5278000000001</v>
      </c>
      <c r="C1044" s="28">
        <v>-488.21199999999993</v>
      </c>
      <c r="D1044" s="28">
        <v>3688.7046000000005</v>
      </c>
      <c r="E1044" s="28">
        <v>2321.7141000000001</v>
      </c>
      <c r="F1044" s="28">
        <v>12313.7636</v>
      </c>
      <c r="G1044" s="28">
        <v>14650.484400000001</v>
      </c>
      <c r="H1044" s="28">
        <v>1831.0219000000002</v>
      </c>
      <c r="I1044" s="19">
        <f>SUM(B1044:H1044)</f>
        <v>35538.004399999998</v>
      </c>
    </row>
    <row r="1045" spans="1:9" x14ac:dyDescent="0.3">
      <c r="A1045" s="15" t="s">
        <v>35</v>
      </c>
      <c r="B1045" s="28">
        <v>0</v>
      </c>
      <c r="C1045" s="28">
        <v>3467.3958000000002</v>
      </c>
      <c r="D1045" s="28">
        <v>3150.0588000000002</v>
      </c>
      <c r="E1045" s="28">
        <v>5244.3342000000002</v>
      </c>
      <c r="F1045" s="28">
        <v>15865.251900000001</v>
      </c>
      <c r="G1045" s="28">
        <v>6071.9542000000001</v>
      </c>
      <c r="H1045" s="28">
        <v>315.00569999999999</v>
      </c>
      <c r="I1045" s="19">
        <f>SUM(B1045:H1045)</f>
        <v>34114.000600000007</v>
      </c>
    </row>
    <row r="1046" spans="1:9" ht="19.5" thickBot="1" x14ac:dyDescent="0.35">
      <c r="A1046" s="15" t="s">
        <v>20</v>
      </c>
      <c r="B1046" s="28">
        <v>5646.9720000000007</v>
      </c>
      <c r="C1046" s="28">
        <v>5646.9740000000002</v>
      </c>
      <c r="D1046" s="28">
        <v>4540.3608000000004</v>
      </c>
      <c r="E1046" s="28">
        <v>4996.0232000000005</v>
      </c>
      <c r="F1046" s="28">
        <v>22005.292000000001</v>
      </c>
      <c r="G1046" s="28">
        <v>32816.724800000004</v>
      </c>
      <c r="H1046" s="28">
        <v>14402.222800000001</v>
      </c>
      <c r="I1046" s="19">
        <f>SUM(B1046:H1046)</f>
        <v>90054.569600000003</v>
      </c>
    </row>
    <row r="1047" spans="1:9" x14ac:dyDescent="0.3">
      <c r="A1047" s="55" t="s">
        <v>7</v>
      </c>
      <c r="B1047" s="56">
        <f t="shared" ref="B1047:I1047" si="150">SUM(B1044:B1046)</f>
        <v>6867.4998000000005</v>
      </c>
      <c r="C1047" s="56">
        <f t="shared" si="150"/>
        <v>8626.1578000000009</v>
      </c>
      <c r="D1047" s="56">
        <f t="shared" si="150"/>
        <v>11379.124200000002</v>
      </c>
      <c r="E1047" s="56">
        <f t="shared" si="150"/>
        <v>12562.071500000002</v>
      </c>
      <c r="F1047" s="56">
        <f t="shared" si="150"/>
        <v>50184.307500000003</v>
      </c>
      <c r="G1047" s="56">
        <f t="shared" si="150"/>
        <v>53539.163400000005</v>
      </c>
      <c r="H1047" s="56">
        <f t="shared" si="150"/>
        <v>16548.250400000001</v>
      </c>
      <c r="I1047" s="56">
        <f t="shared" si="150"/>
        <v>159706.57459999999</v>
      </c>
    </row>
    <row r="1049" spans="1:9" x14ac:dyDescent="0.3">
      <c r="A1049" s="4" t="s">
        <v>96</v>
      </c>
      <c r="B1049" s="5" t="s">
        <v>0</v>
      </c>
      <c r="C1049" s="5" t="s">
        <v>1</v>
      </c>
      <c r="D1049" s="5" t="s">
        <v>2</v>
      </c>
      <c r="E1049" s="6" t="s">
        <v>3</v>
      </c>
      <c r="F1049" s="5" t="s">
        <v>4</v>
      </c>
      <c r="G1049" s="5" t="s">
        <v>5</v>
      </c>
      <c r="H1049" s="5" t="s">
        <v>6</v>
      </c>
      <c r="I1049" s="5" t="s">
        <v>7</v>
      </c>
    </row>
    <row r="1050" spans="1:9" x14ac:dyDescent="0.3">
      <c r="A1050" s="7"/>
      <c r="B1050" s="8">
        <v>45621</v>
      </c>
      <c r="C1050" s="8">
        <v>45622</v>
      </c>
      <c r="D1050" s="8">
        <v>45623</v>
      </c>
      <c r="E1050" s="8">
        <v>45624</v>
      </c>
      <c r="F1050" s="8">
        <v>45625</v>
      </c>
      <c r="G1050" s="8">
        <v>45626</v>
      </c>
      <c r="H1050" s="8">
        <v>45627</v>
      </c>
      <c r="I1050" s="9"/>
    </row>
    <row r="1051" spans="1:9" ht="19.5" thickBot="1" x14ac:dyDescent="0.35">
      <c r="A1051" s="10" t="s">
        <v>8</v>
      </c>
      <c r="B1051" s="11" t="s">
        <v>9</v>
      </c>
      <c r="C1051" s="11" t="s">
        <v>9</v>
      </c>
      <c r="D1051" s="11" t="s">
        <v>9</v>
      </c>
      <c r="E1051" s="11" t="s">
        <v>9</v>
      </c>
      <c r="F1051" s="11" t="s">
        <v>9</v>
      </c>
      <c r="G1051" s="11" t="s">
        <v>9</v>
      </c>
      <c r="H1051" s="43" t="s">
        <v>9</v>
      </c>
      <c r="I1051" s="44" t="s">
        <v>9</v>
      </c>
    </row>
    <row r="1052" spans="1:9" x14ac:dyDescent="0.3">
      <c r="A1052" s="13" t="s">
        <v>10</v>
      </c>
      <c r="B1052" s="14">
        <v>54</v>
      </c>
      <c r="C1052" s="14">
        <v>54</v>
      </c>
      <c r="D1052" s="14">
        <v>54</v>
      </c>
      <c r="E1052" s="14">
        <v>54</v>
      </c>
      <c r="F1052" s="14">
        <v>54</v>
      </c>
      <c r="G1052" s="14">
        <v>47</v>
      </c>
      <c r="H1052" s="14">
        <v>48</v>
      </c>
      <c r="I1052" s="16"/>
    </row>
    <row r="1053" spans="1:9" x14ac:dyDescent="0.3">
      <c r="A1053" s="15" t="s">
        <v>11</v>
      </c>
      <c r="B1053" s="16">
        <v>2</v>
      </c>
      <c r="C1053" s="16">
        <v>4</v>
      </c>
      <c r="D1053" s="16">
        <v>3</v>
      </c>
      <c r="E1053" s="16">
        <v>1</v>
      </c>
      <c r="F1053" s="16">
        <v>1</v>
      </c>
      <c r="G1053" s="16">
        <v>0</v>
      </c>
      <c r="H1053" s="16">
        <v>1</v>
      </c>
      <c r="I1053" s="16">
        <f>SUM(B1053:H1053)</f>
        <v>12</v>
      </c>
    </row>
    <row r="1054" spans="1:9" x14ac:dyDescent="0.3">
      <c r="A1054" s="15" t="s">
        <v>12</v>
      </c>
      <c r="B1054" s="16">
        <v>11</v>
      </c>
      <c r="C1054" s="16">
        <v>37</v>
      </c>
      <c r="D1054" s="16">
        <v>4</v>
      </c>
      <c r="E1054" s="16">
        <v>19</v>
      </c>
      <c r="F1054" s="16">
        <v>26</v>
      </c>
      <c r="G1054" s="16">
        <v>12</v>
      </c>
      <c r="H1054" s="16">
        <v>4</v>
      </c>
      <c r="I1054" s="16">
        <f>SUM(B1054:H1054)</f>
        <v>113</v>
      </c>
    </row>
    <row r="1055" spans="1:9" x14ac:dyDescent="0.3">
      <c r="A1055" s="15" t="s">
        <v>30</v>
      </c>
      <c r="B1055" s="16">
        <v>0</v>
      </c>
      <c r="C1055" s="16">
        <v>0</v>
      </c>
      <c r="D1055" s="16">
        <v>0</v>
      </c>
      <c r="E1055" s="16">
        <v>0</v>
      </c>
      <c r="F1055" s="16">
        <v>0</v>
      </c>
      <c r="G1055" s="16">
        <v>0</v>
      </c>
      <c r="H1055" s="16">
        <v>0</v>
      </c>
      <c r="I1055" s="16">
        <f>SUM(B1055:H1055)</f>
        <v>0</v>
      </c>
    </row>
    <row r="1056" spans="1:9" x14ac:dyDescent="0.3">
      <c r="A1056" s="15" t="s">
        <v>28</v>
      </c>
      <c r="B1056" s="16">
        <v>33</v>
      </c>
      <c r="C1056" s="16">
        <v>10</v>
      </c>
      <c r="D1056" s="16">
        <v>28</v>
      </c>
      <c r="E1056" s="16">
        <v>22</v>
      </c>
      <c r="F1056" s="16">
        <v>51</v>
      </c>
      <c r="G1056" s="16">
        <v>145</v>
      </c>
      <c r="H1056" s="16">
        <v>30</v>
      </c>
      <c r="I1056" s="16">
        <f>SUM(B1056:H1056)</f>
        <v>319</v>
      </c>
    </row>
    <row r="1057" spans="1:9" x14ac:dyDescent="0.3">
      <c r="A1057" s="15" t="s">
        <v>29</v>
      </c>
      <c r="B1057" s="16">
        <v>3</v>
      </c>
      <c r="C1057" s="16">
        <v>0</v>
      </c>
      <c r="D1057" s="16">
        <v>0</v>
      </c>
      <c r="E1057" s="16">
        <v>1</v>
      </c>
      <c r="F1057" s="16">
        <v>100</v>
      </c>
      <c r="G1057" s="16">
        <v>82</v>
      </c>
      <c r="H1057" s="16">
        <v>1</v>
      </c>
      <c r="I1057" s="16">
        <f>SUM(B1057:H1057)</f>
        <v>187</v>
      </c>
    </row>
    <row r="1058" spans="1:9" x14ac:dyDescent="0.3">
      <c r="A1058" s="15" t="s">
        <v>31</v>
      </c>
      <c r="B1058" s="16">
        <v>1</v>
      </c>
      <c r="C1058" s="16">
        <v>0</v>
      </c>
      <c r="D1058" s="16">
        <v>0</v>
      </c>
      <c r="E1058" s="16">
        <v>4</v>
      </c>
      <c r="F1058" s="16">
        <v>3</v>
      </c>
      <c r="G1058" s="16">
        <v>13</v>
      </c>
      <c r="H1058" s="16">
        <v>1</v>
      </c>
      <c r="I1058" s="16">
        <f t="shared" ref="I1058:I1062" si="151">SUM(B1058:H1058)</f>
        <v>22</v>
      </c>
    </row>
    <row r="1059" spans="1:9" x14ac:dyDescent="0.3">
      <c r="A1059" s="15" t="s">
        <v>13</v>
      </c>
      <c r="B1059" s="16">
        <v>4</v>
      </c>
      <c r="C1059" s="16">
        <v>0</v>
      </c>
      <c r="D1059" s="16">
        <v>3</v>
      </c>
      <c r="E1059" s="16">
        <v>2</v>
      </c>
      <c r="F1059" s="16">
        <v>1</v>
      </c>
      <c r="G1059" s="16">
        <v>2</v>
      </c>
      <c r="H1059" s="16">
        <v>2</v>
      </c>
      <c r="I1059" s="16">
        <f t="shared" si="151"/>
        <v>14</v>
      </c>
    </row>
    <row r="1060" spans="1:9" x14ac:dyDescent="0.3">
      <c r="A1060" s="15" t="s">
        <v>14</v>
      </c>
      <c r="B1060" s="16">
        <v>0</v>
      </c>
      <c r="C1060" s="16">
        <v>0</v>
      </c>
      <c r="D1060" s="16">
        <v>0</v>
      </c>
      <c r="E1060" s="16">
        <v>0</v>
      </c>
      <c r="F1060" s="16">
        <v>0</v>
      </c>
      <c r="G1060" s="16">
        <v>0</v>
      </c>
      <c r="H1060" s="16">
        <v>0</v>
      </c>
      <c r="I1060" s="16">
        <f t="shared" si="151"/>
        <v>0</v>
      </c>
    </row>
    <row r="1061" spans="1:9" x14ac:dyDescent="0.3">
      <c r="A1061" s="15" t="s">
        <v>32</v>
      </c>
      <c r="B1061" s="16">
        <v>0</v>
      </c>
      <c r="C1061" s="16">
        <v>0</v>
      </c>
      <c r="D1061" s="16">
        <v>0</v>
      </c>
      <c r="E1061" s="16">
        <v>0</v>
      </c>
      <c r="F1061" s="16">
        <v>0</v>
      </c>
      <c r="G1061" s="16">
        <v>0</v>
      </c>
      <c r="H1061" s="16">
        <v>0</v>
      </c>
      <c r="I1061" s="16">
        <f t="shared" si="151"/>
        <v>0</v>
      </c>
    </row>
    <row r="1062" spans="1:9" x14ac:dyDescent="0.3">
      <c r="A1062" s="15" t="s">
        <v>33</v>
      </c>
      <c r="B1062" s="16">
        <v>0</v>
      </c>
      <c r="C1062" s="16">
        <v>0</v>
      </c>
      <c r="D1062" s="16">
        <v>0</v>
      </c>
      <c r="E1062" s="16">
        <v>0</v>
      </c>
      <c r="F1062" s="16">
        <v>0</v>
      </c>
      <c r="G1062" s="16">
        <v>0</v>
      </c>
      <c r="H1062" s="16">
        <v>0</v>
      </c>
      <c r="I1062" s="16">
        <f t="shared" si="151"/>
        <v>0</v>
      </c>
    </row>
    <row r="1063" spans="1:9" ht="19.5" thickBot="1" x14ac:dyDescent="0.35">
      <c r="A1063" s="30" t="s">
        <v>15</v>
      </c>
      <c r="B1063" s="31">
        <f t="shared" ref="B1063:H1063" si="152">(B1054+B1053)/B1052*100%</f>
        <v>0.24074074074074073</v>
      </c>
      <c r="C1063" s="31">
        <f t="shared" si="152"/>
        <v>0.7592592592592593</v>
      </c>
      <c r="D1063" s="31">
        <f t="shared" si="152"/>
        <v>0.12962962962962962</v>
      </c>
      <c r="E1063" s="31">
        <f t="shared" si="152"/>
        <v>0.37037037037037035</v>
      </c>
      <c r="F1063" s="31">
        <f t="shared" si="152"/>
        <v>0.5</v>
      </c>
      <c r="G1063" s="31">
        <f t="shared" si="152"/>
        <v>0.25531914893617019</v>
      </c>
      <c r="H1063" s="31">
        <f t="shared" si="152"/>
        <v>0.10416666666666667</v>
      </c>
      <c r="I1063" s="32">
        <f>(B1063+C1063+D1063+E1063+F1063+G1063+H1063)/7</f>
        <v>0.33706940222897669</v>
      </c>
    </row>
    <row r="1064" spans="1:9" x14ac:dyDescent="0.3">
      <c r="A1064" s="67" t="s">
        <v>16</v>
      </c>
      <c r="B1064" s="16"/>
      <c r="C1064" s="17"/>
      <c r="D1064" s="16"/>
      <c r="E1064" s="18"/>
      <c r="F1064" s="16"/>
      <c r="G1064" s="16"/>
      <c r="H1064" s="16"/>
      <c r="I1064" s="16"/>
    </row>
    <row r="1065" spans="1:9" x14ac:dyDescent="0.3">
      <c r="A1065" s="15" t="s">
        <v>34</v>
      </c>
      <c r="B1065" s="28">
        <v>976.42180000000008</v>
      </c>
      <c r="C1065" s="28">
        <v>-231.90299999999991</v>
      </c>
      <c r="D1065" s="28">
        <v>2196.9492999999998</v>
      </c>
      <c r="E1065" s="28">
        <v>4515.9533000000001</v>
      </c>
      <c r="F1065" s="28">
        <v>9479.4259999999995</v>
      </c>
      <c r="G1065" s="28">
        <v>8340.27</v>
      </c>
      <c r="H1065" s="28">
        <v>2847.9080000000004</v>
      </c>
      <c r="I1065" s="19">
        <f>SUM(B1065:H1065)</f>
        <v>28125.025399999999</v>
      </c>
    </row>
    <row r="1066" spans="1:9" x14ac:dyDescent="0.3">
      <c r="A1066" s="15" t="s">
        <v>35</v>
      </c>
      <c r="B1066" s="28">
        <v>5858.5311000000002</v>
      </c>
      <c r="C1066" s="28">
        <v>12491.167000000001</v>
      </c>
      <c r="D1066" s="28">
        <v>0</v>
      </c>
      <c r="E1066" s="28">
        <v>3600.0660000000007</v>
      </c>
      <c r="F1066" s="28">
        <v>3600.067</v>
      </c>
      <c r="G1066" s="28">
        <v>0</v>
      </c>
      <c r="H1066" s="28">
        <v>0</v>
      </c>
      <c r="I1066" s="19">
        <f>SUM(B1066:H1066)</f>
        <v>25549.831099999999</v>
      </c>
    </row>
    <row r="1067" spans="1:9" ht="19.5" thickBot="1" x14ac:dyDescent="0.35">
      <c r="A1067" s="15" t="s">
        <v>20</v>
      </c>
      <c r="B1067" s="28">
        <v>7752.7084000000004</v>
      </c>
      <c r="C1067" s="28">
        <v>2115.58</v>
      </c>
      <c r="D1067" s="28">
        <v>6265.3744000000006</v>
      </c>
      <c r="E1067" s="28">
        <v>5355.6732000000011</v>
      </c>
      <c r="F1067" s="28">
        <v>15590.207999999999</v>
      </c>
      <c r="G1067" s="28">
        <v>35937.091999999997</v>
      </c>
      <c r="H1067" s="28">
        <v>6542.0280000000002</v>
      </c>
      <c r="I1067" s="19">
        <f>SUM(B1067:H1067)</f>
        <v>79558.664000000004</v>
      </c>
    </row>
    <row r="1068" spans="1:9" x14ac:dyDescent="0.3">
      <c r="A1068" s="55" t="s">
        <v>7</v>
      </c>
      <c r="B1068" s="56">
        <f t="shared" ref="B1068:I1068" si="153">SUM(B1065:B1067)</f>
        <v>14587.6613</v>
      </c>
      <c r="C1068" s="56">
        <f t="shared" si="153"/>
        <v>14374.844000000001</v>
      </c>
      <c r="D1068" s="56">
        <f t="shared" si="153"/>
        <v>8462.3237000000008</v>
      </c>
      <c r="E1068" s="56">
        <f t="shared" si="153"/>
        <v>13471.692500000001</v>
      </c>
      <c r="F1068" s="56">
        <f t="shared" si="153"/>
        <v>28669.700999999997</v>
      </c>
      <c r="G1068" s="56">
        <f t="shared" si="153"/>
        <v>44277.361999999994</v>
      </c>
      <c r="H1068" s="56">
        <f t="shared" si="153"/>
        <v>9389.9360000000015</v>
      </c>
      <c r="I1068" s="56">
        <f t="shared" si="153"/>
        <v>133233.52049999998</v>
      </c>
    </row>
    <row r="1070" spans="1:9" x14ac:dyDescent="0.3">
      <c r="A1070" s="4" t="s">
        <v>97</v>
      </c>
      <c r="B1070" s="5" t="s">
        <v>0</v>
      </c>
      <c r="C1070" s="5" t="s">
        <v>1</v>
      </c>
      <c r="D1070" s="5" t="s">
        <v>2</v>
      </c>
      <c r="E1070" s="6" t="s">
        <v>3</v>
      </c>
      <c r="F1070" s="5" t="s">
        <v>4</v>
      </c>
      <c r="G1070" s="5" t="s">
        <v>5</v>
      </c>
      <c r="H1070" s="5" t="s">
        <v>6</v>
      </c>
      <c r="I1070" s="5" t="s">
        <v>7</v>
      </c>
    </row>
    <row r="1071" spans="1:9" x14ac:dyDescent="0.3">
      <c r="A1071" s="7"/>
      <c r="B1071" s="8">
        <v>45628</v>
      </c>
      <c r="C1071" s="8">
        <v>45629</v>
      </c>
      <c r="D1071" s="8">
        <v>45630</v>
      </c>
      <c r="E1071" s="8">
        <v>45631</v>
      </c>
      <c r="F1071" s="8">
        <v>45632</v>
      </c>
      <c r="G1071" s="8">
        <v>45633</v>
      </c>
      <c r="H1071" s="8">
        <v>45634</v>
      </c>
      <c r="I1071" s="9"/>
    </row>
    <row r="1072" spans="1:9" ht="19.5" thickBot="1" x14ac:dyDescent="0.35">
      <c r="A1072" s="10" t="s">
        <v>8</v>
      </c>
      <c r="B1072" s="11" t="s">
        <v>9</v>
      </c>
      <c r="C1072" s="11" t="s">
        <v>9</v>
      </c>
      <c r="D1072" s="11" t="s">
        <v>9</v>
      </c>
      <c r="E1072" s="11" t="s">
        <v>9</v>
      </c>
      <c r="F1072" s="11" t="s">
        <v>9</v>
      </c>
      <c r="G1072" s="11" t="s">
        <v>9</v>
      </c>
      <c r="H1072" s="43" t="s">
        <v>9</v>
      </c>
      <c r="I1072" s="44" t="s">
        <v>9</v>
      </c>
    </row>
    <row r="1073" spans="1:9" x14ac:dyDescent="0.3">
      <c r="A1073" s="13" t="s">
        <v>10</v>
      </c>
      <c r="B1073" s="14">
        <v>46</v>
      </c>
      <c r="C1073" s="14">
        <v>45</v>
      </c>
      <c r="D1073" s="14">
        <v>50</v>
      </c>
      <c r="E1073" s="14">
        <v>45</v>
      </c>
      <c r="F1073" s="14">
        <v>45</v>
      </c>
      <c r="G1073" s="14">
        <v>45</v>
      </c>
      <c r="H1073" s="14">
        <v>45</v>
      </c>
      <c r="I1073" s="16"/>
    </row>
    <row r="1074" spans="1:9" x14ac:dyDescent="0.3">
      <c r="A1074" s="15" t="s">
        <v>11</v>
      </c>
      <c r="B1074" s="16">
        <v>1</v>
      </c>
      <c r="C1074" s="16">
        <v>1</v>
      </c>
      <c r="D1074" s="16">
        <v>1</v>
      </c>
      <c r="E1074" s="16">
        <v>2</v>
      </c>
      <c r="F1074" s="16">
        <v>2</v>
      </c>
      <c r="G1074" s="16">
        <v>3</v>
      </c>
      <c r="H1074" s="16">
        <v>4</v>
      </c>
      <c r="I1074" s="16">
        <f>SUM(B1074:H1074)</f>
        <v>14</v>
      </c>
    </row>
    <row r="1075" spans="1:9" x14ac:dyDescent="0.3">
      <c r="A1075" s="15" t="s">
        <v>12</v>
      </c>
      <c r="B1075" s="16">
        <v>3</v>
      </c>
      <c r="C1075" s="16">
        <v>28</v>
      </c>
      <c r="D1075" s="16">
        <v>31</v>
      </c>
      <c r="E1075" s="16">
        <v>25</v>
      </c>
      <c r="F1075" s="16">
        <v>9</v>
      </c>
      <c r="G1075" s="16">
        <v>12</v>
      </c>
      <c r="H1075" s="16">
        <v>1</v>
      </c>
      <c r="I1075" s="16">
        <f>SUM(B1075:H1075)</f>
        <v>109</v>
      </c>
    </row>
    <row r="1076" spans="1:9" x14ac:dyDescent="0.3">
      <c r="A1076" s="15" t="s">
        <v>30</v>
      </c>
      <c r="B1076" s="16">
        <v>0</v>
      </c>
      <c r="C1076" s="16">
        <v>0</v>
      </c>
      <c r="D1076" s="16">
        <v>0</v>
      </c>
      <c r="E1076" s="16">
        <v>0</v>
      </c>
      <c r="F1076" s="16">
        <v>0</v>
      </c>
      <c r="G1076" s="16">
        <v>0</v>
      </c>
      <c r="H1076" s="16">
        <v>0</v>
      </c>
      <c r="I1076" s="16">
        <f>SUM(B1076:H1076)</f>
        <v>0</v>
      </c>
    </row>
    <row r="1077" spans="1:9" x14ac:dyDescent="0.3">
      <c r="A1077" s="15" t="s">
        <v>28</v>
      </c>
      <c r="B1077" s="16">
        <v>20</v>
      </c>
      <c r="C1077" s="16">
        <v>16</v>
      </c>
      <c r="D1077" s="16">
        <v>21</v>
      </c>
      <c r="E1077" s="16">
        <v>39</v>
      </c>
      <c r="F1077" s="16">
        <v>156</v>
      </c>
      <c r="G1077" s="16">
        <v>16</v>
      </c>
      <c r="H1077" s="16">
        <v>19</v>
      </c>
      <c r="I1077" s="16">
        <f>SUM(B1077:H1077)</f>
        <v>287</v>
      </c>
    </row>
    <row r="1078" spans="1:9" x14ac:dyDescent="0.3">
      <c r="A1078" s="15" t="s">
        <v>29</v>
      </c>
      <c r="B1078" s="16">
        <v>0</v>
      </c>
      <c r="C1078" s="16">
        <v>0</v>
      </c>
      <c r="D1078" s="16">
        <v>1</v>
      </c>
      <c r="E1078" s="16">
        <v>1</v>
      </c>
      <c r="F1078" s="16">
        <v>29</v>
      </c>
      <c r="G1078" s="16">
        <v>3</v>
      </c>
      <c r="H1078" s="16">
        <v>2</v>
      </c>
      <c r="I1078" s="16">
        <f>SUM(B1078:H1078)</f>
        <v>36</v>
      </c>
    </row>
    <row r="1079" spans="1:9" x14ac:dyDescent="0.3">
      <c r="A1079" s="15" t="s">
        <v>31</v>
      </c>
      <c r="B1079" s="16">
        <v>1</v>
      </c>
      <c r="C1079" s="16">
        <v>0</v>
      </c>
      <c r="D1079" s="16">
        <v>2</v>
      </c>
      <c r="E1079" s="16">
        <v>0</v>
      </c>
      <c r="F1079" s="16">
        <v>0</v>
      </c>
      <c r="G1079" s="16">
        <v>0</v>
      </c>
      <c r="H1079" s="16">
        <v>2</v>
      </c>
      <c r="I1079" s="16">
        <f t="shared" ref="I1079:I1083" si="154">SUM(B1079:H1079)</f>
        <v>5</v>
      </c>
    </row>
    <row r="1080" spans="1:9" x14ac:dyDescent="0.3">
      <c r="A1080" s="15" t="s">
        <v>13</v>
      </c>
      <c r="B1080" s="16">
        <v>0</v>
      </c>
      <c r="C1080" s="16">
        <v>0</v>
      </c>
      <c r="D1080" s="16">
        <v>0</v>
      </c>
      <c r="E1080" s="16">
        <v>0</v>
      </c>
      <c r="F1080" s="16">
        <v>0</v>
      </c>
      <c r="G1080" s="16">
        <v>0</v>
      </c>
      <c r="H1080" s="16">
        <v>0</v>
      </c>
      <c r="I1080" s="16">
        <f t="shared" si="154"/>
        <v>0</v>
      </c>
    </row>
    <row r="1081" spans="1:9" x14ac:dyDescent="0.3">
      <c r="A1081" s="15" t="s">
        <v>14</v>
      </c>
      <c r="B1081" s="16">
        <v>0</v>
      </c>
      <c r="C1081" s="16">
        <v>0</v>
      </c>
      <c r="D1081" s="16">
        <v>0</v>
      </c>
      <c r="E1081" s="16">
        <v>0</v>
      </c>
      <c r="F1081" s="16">
        <v>0</v>
      </c>
      <c r="G1081" s="16">
        <v>0</v>
      </c>
      <c r="H1081" s="16">
        <v>0</v>
      </c>
      <c r="I1081" s="16">
        <f t="shared" si="154"/>
        <v>0</v>
      </c>
    </row>
    <row r="1082" spans="1:9" x14ac:dyDescent="0.3">
      <c r="A1082" s="15" t="s">
        <v>32</v>
      </c>
      <c r="B1082" s="16">
        <v>0</v>
      </c>
      <c r="C1082" s="16">
        <v>0</v>
      </c>
      <c r="D1082" s="16">
        <v>0</v>
      </c>
      <c r="E1082" s="16">
        <v>0</v>
      </c>
      <c r="F1082" s="16">
        <v>0</v>
      </c>
      <c r="G1082" s="16">
        <v>0</v>
      </c>
      <c r="H1082" s="16">
        <v>0</v>
      </c>
      <c r="I1082" s="16">
        <f t="shared" si="154"/>
        <v>0</v>
      </c>
    </row>
    <row r="1083" spans="1:9" x14ac:dyDescent="0.3">
      <c r="A1083" s="15" t="s">
        <v>33</v>
      </c>
      <c r="B1083" s="16">
        <v>0</v>
      </c>
      <c r="C1083" s="16">
        <v>0</v>
      </c>
      <c r="D1083" s="16">
        <v>0</v>
      </c>
      <c r="E1083" s="16">
        <v>0</v>
      </c>
      <c r="F1083" s="16">
        <v>0</v>
      </c>
      <c r="G1083" s="16">
        <v>0</v>
      </c>
      <c r="H1083" s="16">
        <v>0</v>
      </c>
      <c r="I1083" s="16">
        <f t="shared" si="154"/>
        <v>0</v>
      </c>
    </row>
    <row r="1084" spans="1:9" ht="19.5" thickBot="1" x14ac:dyDescent="0.35">
      <c r="A1084" s="30" t="s">
        <v>15</v>
      </c>
      <c r="B1084" s="31">
        <f t="shared" ref="B1084:H1084" si="155">(B1075+B1074)/B1073*100%</f>
        <v>8.6956521739130432E-2</v>
      </c>
      <c r="C1084" s="31">
        <f t="shared" si="155"/>
        <v>0.64444444444444449</v>
      </c>
      <c r="D1084" s="31">
        <f t="shared" si="155"/>
        <v>0.64</v>
      </c>
      <c r="E1084" s="31">
        <f t="shared" si="155"/>
        <v>0.6</v>
      </c>
      <c r="F1084" s="31">
        <f t="shared" si="155"/>
        <v>0.24444444444444444</v>
      </c>
      <c r="G1084" s="31">
        <f t="shared" si="155"/>
        <v>0.33333333333333331</v>
      </c>
      <c r="H1084" s="31">
        <f t="shared" si="155"/>
        <v>0.1111111111111111</v>
      </c>
      <c r="I1084" s="32">
        <f>(B1084+C1084+D1084+E1084+F1084+G1084+H1084)/7</f>
        <v>0.38004140786749485</v>
      </c>
    </row>
    <row r="1085" spans="1:9" x14ac:dyDescent="0.3">
      <c r="A1085" s="67" t="s">
        <v>16</v>
      </c>
      <c r="B1085" s="16"/>
      <c r="C1085" s="17"/>
      <c r="D1085" s="16"/>
      <c r="E1085" s="18"/>
      <c r="F1085" s="16"/>
      <c r="G1085" s="16"/>
      <c r="H1085" s="16"/>
      <c r="I1085" s="16"/>
    </row>
    <row r="1086" spans="1:9" x14ac:dyDescent="0.3">
      <c r="A1086" s="15" t="s">
        <v>34</v>
      </c>
      <c r="B1086" s="28">
        <v>2034.212</v>
      </c>
      <c r="C1086" s="28">
        <v>4068.424</v>
      </c>
      <c r="D1086" s="28">
        <v>7323.1929999999993</v>
      </c>
      <c r="E1086" s="28">
        <v>8088.0280000000002</v>
      </c>
      <c r="F1086" s="28">
        <v>7111.6059999999998</v>
      </c>
      <c r="G1086" s="28">
        <v>11334.630000000001</v>
      </c>
      <c r="H1086" s="28">
        <v>813.68600000000004</v>
      </c>
      <c r="I1086" s="19">
        <f>SUM(B1086:H1086)</f>
        <v>40773.779000000002</v>
      </c>
    </row>
    <row r="1087" spans="1:9" x14ac:dyDescent="0.3">
      <c r="A1087" s="15" t="s">
        <v>35</v>
      </c>
      <c r="B1087" s="28">
        <v>0</v>
      </c>
      <c r="C1087" s="28">
        <v>8060.8460000000014</v>
      </c>
      <c r="D1087" s="28">
        <v>7816.7350000000006</v>
      </c>
      <c r="E1087" s="28">
        <v>9346.6010000000006</v>
      </c>
      <c r="F1087" s="28">
        <v>0</v>
      </c>
      <c r="G1087" s="28">
        <v>0</v>
      </c>
      <c r="H1087" s="28">
        <v>0</v>
      </c>
      <c r="I1087" s="19">
        <f>SUM(B1087:H1087)</f>
        <v>25224.182000000001</v>
      </c>
    </row>
    <row r="1088" spans="1:9" ht="19.5" thickBot="1" x14ac:dyDescent="0.35">
      <c r="A1088" s="15" t="s">
        <v>20</v>
      </c>
      <c r="B1088" s="28">
        <v>4026.1120000000005</v>
      </c>
      <c r="C1088" s="28">
        <v>3384.9279999999999</v>
      </c>
      <c r="D1088" s="28">
        <v>4751.92</v>
      </c>
      <c r="E1088" s="28">
        <v>8239.6080000000002</v>
      </c>
      <c r="F1088" s="28">
        <v>31211.315999999999</v>
      </c>
      <c r="G1088" s="28">
        <v>3629.0360000000001</v>
      </c>
      <c r="H1088" s="28">
        <v>4410.1720000000005</v>
      </c>
      <c r="I1088" s="19">
        <f>SUM(B1088:H1088)</f>
        <v>59653.091999999997</v>
      </c>
    </row>
    <row r="1089" spans="1:9" x14ac:dyDescent="0.3">
      <c r="A1089" s="55" t="s">
        <v>7</v>
      </c>
      <c r="B1089" s="56">
        <f t="shared" ref="B1089:I1089" si="156">SUM(B1086:B1088)</f>
        <v>6060.3240000000005</v>
      </c>
      <c r="C1089" s="56">
        <f t="shared" si="156"/>
        <v>15514.198</v>
      </c>
      <c r="D1089" s="56">
        <f t="shared" si="156"/>
        <v>19891.847999999998</v>
      </c>
      <c r="E1089" s="56">
        <f t="shared" si="156"/>
        <v>25674.237000000001</v>
      </c>
      <c r="F1089" s="56">
        <f t="shared" si="156"/>
        <v>38322.921999999999</v>
      </c>
      <c r="G1089" s="56">
        <f t="shared" si="156"/>
        <v>14963.666000000001</v>
      </c>
      <c r="H1089" s="56">
        <f t="shared" si="156"/>
        <v>5223.8580000000002</v>
      </c>
      <c r="I1089" s="56">
        <f t="shared" si="156"/>
        <v>125651.05300000001</v>
      </c>
    </row>
    <row r="1091" spans="1:9" x14ac:dyDescent="0.3">
      <c r="A1091" s="4" t="s">
        <v>98</v>
      </c>
      <c r="B1091" s="5" t="s">
        <v>0</v>
      </c>
      <c r="C1091" s="5" t="s">
        <v>1</v>
      </c>
      <c r="D1091" s="5" t="s">
        <v>2</v>
      </c>
      <c r="E1091" s="6" t="s">
        <v>3</v>
      </c>
      <c r="F1091" s="5" t="s">
        <v>4</v>
      </c>
      <c r="G1091" s="5" t="s">
        <v>5</v>
      </c>
      <c r="H1091" s="5" t="s">
        <v>6</v>
      </c>
      <c r="I1091" s="5" t="s">
        <v>7</v>
      </c>
    </row>
    <row r="1092" spans="1:9" x14ac:dyDescent="0.3">
      <c r="A1092" s="7"/>
      <c r="B1092" s="8">
        <v>45635</v>
      </c>
      <c r="C1092" s="8">
        <v>45636</v>
      </c>
      <c r="D1092" s="8">
        <v>45637</v>
      </c>
      <c r="E1092" s="8">
        <v>45638</v>
      </c>
      <c r="F1092" s="8">
        <v>45639</v>
      </c>
      <c r="G1092" s="8">
        <v>45640</v>
      </c>
      <c r="H1092" s="8">
        <v>45641</v>
      </c>
      <c r="I1092" s="9"/>
    </row>
    <row r="1093" spans="1:9" ht="19.5" thickBot="1" x14ac:dyDescent="0.35">
      <c r="A1093" s="10" t="s">
        <v>8</v>
      </c>
      <c r="B1093" s="11" t="s">
        <v>9</v>
      </c>
      <c r="C1093" s="11" t="s">
        <v>9</v>
      </c>
      <c r="D1093" s="11" t="s">
        <v>9</v>
      </c>
      <c r="E1093" s="11" t="s">
        <v>9</v>
      </c>
      <c r="F1093" s="11" t="s">
        <v>9</v>
      </c>
      <c r="G1093" s="11" t="s">
        <v>9</v>
      </c>
      <c r="H1093" s="43" t="s">
        <v>9</v>
      </c>
      <c r="I1093" s="44" t="s">
        <v>9</v>
      </c>
    </row>
    <row r="1094" spans="1:9" x14ac:dyDescent="0.3">
      <c r="A1094" s="13" t="s">
        <v>10</v>
      </c>
      <c r="B1094" s="14">
        <v>52</v>
      </c>
      <c r="C1094" s="14">
        <v>52</v>
      </c>
      <c r="D1094" s="14">
        <v>54</v>
      </c>
      <c r="E1094" s="14">
        <v>54</v>
      </c>
      <c r="F1094" s="14">
        <v>54</v>
      </c>
      <c r="G1094" s="14">
        <v>54</v>
      </c>
      <c r="H1094" s="14">
        <v>54</v>
      </c>
      <c r="I1094" s="16"/>
    </row>
    <row r="1095" spans="1:9" x14ac:dyDescent="0.3">
      <c r="A1095" s="15" t="s">
        <v>11</v>
      </c>
      <c r="B1095" s="16">
        <v>1</v>
      </c>
      <c r="C1095" s="16">
        <v>1</v>
      </c>
      <c r="D1095" s="16">
        <v>0</v>
      </c>
      <c r="E1095" s="16">
        <v>0</v>
      </c>
      <c r="F1095" s="16">
        <v>2</v>
      </c>
      <c r="G1095" s="16">
        <v>0</v>
      </c>
      <c r="H1095" s="16">
        <v>3</v>
      </c>
      <c r="I1095" s="16">
        <f>SUM(B1095:H1095)</f>
        <v>7</v>
      </c>
    </row>
    <row r="1096" spans="1:9" x14ac:dyDescent="0.3">
      <c r="A1096" s="15" t="s">
        <v>12</v>
      </c>
      <c r="B1096" s="16">
        <v>2</v>
      </c>
      <c r="C1096" s="16">
        <v>4</v>
      </c>
      <c r="D1096" s="16">
        <v>53</v>
      </c>
      <c r="E1096" s="16">
        <v>53</v>
      </c>
      <c r="F1096" s="16">
        <v>43</v>
      </c>
      <c r="G1096" s="16">
        <v>53</v>
      </c>
      <c r="H1096" s="16">
        <v>25</v>
      </c>
      <c r="I1096" s="16">
        <f>SUM(B1096:H1096)</f>
        <v>233</v>
      </c>
    </row>
    <row r="1097" spans="1:9" x14ac:dyDescent="0.3">
      <c r="A1097" s="15" t="s">
        <v>30</v>
      </c>
      <c r="B1097" s="16">
        <v>0</v>
      </c>
      <c r="C1097" s="16">
        <v>0</v>
      </c>
      <c r="D1097" s="16">
        <v>0</v>
      </c>
      <c r="E1097" s="16">
        <v>0</v>
      </c>
      <c r="F1097" s="16">
        <v>0</v>
      </c>
      <c r="G1097" s="16">
        <v>0</v>
      </c>
      <c r="H1097" s="16">
        <v>0</v>
      </c>
      <c r="I1097" s="16">
        <f>SUM(B1097:H1097)</f>
        <v>0</v>
      </c>
    </row>
    <row r="1098" spans="1:9" x14ac:dyDescent="0.3">
      <c r="A1098" s="15" t="s">
        <v>28</v>
      </c>
      <c r="B1098" s="16">
        <v>17</v>
      </c>
      <c r="C1098" s="16">
        <v>13</v>
      </c>
      <c r="D1098" s="16">
        <v>14</v>
      </c>
      <c r="E1098" s="16">
        <v>53</v>
      </c>
      <c r="F1098" s="16">
        <v>73</v>
      </c>
      <c r="G1098" s="16">
        <v>313</v>
      </c>
      <c r="H1098" s="16">
        <v>49</v>
      </c>
      <c r="I1098" s="16">
        <f>SUM(B1098:H1098)</f>
        <v>532</v>
      </c>
    </row>
    <row r="1099" spans="1:9" x14ac:dyDescent="0.3">
      <c r="A1099" s="15" t="s">
        <v>29</v>
      </c>
      <c r="B1099" s="16">
        <v>0</v>
      </c>
      <c r="C1099" s="16">
        <v>0</v>
      </c>
      <c r="D1099" s="16">
        <v>0</v>
      </c>
      <c r="E1099" s="16">
        <v>0</v>
      </c>
      <c r="F1099" s="16">
        <v>3</v>
      </c>
      <c r="G1099" s="16">
        <v>10</v>
      </c>
      <c r="H1099" s="16">
        <v>4</v>
      </c>
      <c r="I1099" s="16">
        <f>SUM(B1099:H1099)</f>
        <v>17</v>
      </c>
    </row>
    <row r="1100" spans="1:9" x14ac:dyDescent="0.3">
      <c r="A1100" s="15" t="s">
        <v>31</v>
      </c>
      <c r="B1100" s="16">
        <v>0</v>
      </c>
      <c r="C1100" s="16">
        <v>0</v>
      </c>
      <c r="D1100" s="16">
        <v>0</v>
      </c>
      <c r="E1100" s="16">
        <v>0</v>
      </c>
      <c r="F1100" s="16">
        <v>2</v>
      </c>
      <c r="G1100" s="16">
        <v>5</v>
      </c>
      <c r="H1100" s="16">
        <v>9</v>
      </c>
      <c r="I1100" s="16">
        <f t="shared" ref="I1100:I1104" si="157">SUM(B1100:H1100)</f>
        <v>16</v>
      </c>
    </row>
    <row r="1101" spans="1:9" x14ac:dyDescent="0.3">
      <c r="A1101" s="15" t="s">
        <v>13</v>
      </c>
      <c r="B1101" s="16">
        <v>0</v>
      </c>
      <c r="C1101" s="16">
        <v>0</v>
      </c>
      <c r="D1101" s="16">
        <v>0</v>
      </c>
      <c r="E1101" s="16">
        <v>0</v>
      </c>
      <c r="F1101" s="16">
        <v>4</v>
      </c>
      <c r="G1101" s="16">
        <v>3</v>
      </c>
      <c r="H1101" s="16">
        <v>3</v>
      </c>
      <c r="I1101" s="16">
        <f t="shared" si="157"/>
        <v>10</v>
      </c>
    </row>
    <row r="1102" spans="1:9" x14ac:dyDescent="0.3">
      <c r="A1102" s="15" t="s">
        <v>14</v>
      </c>
      <c r="B1102" s="16">
        <v>0</v>
      </c>
      <c r="C1102" s="16">
        <v>0</v>
      </c>
      <c r="D1102" s="16">
        <v>0</v>
      </c>
      <c r="E1102" s="16">
        <v>0</v>
      </c>
      <c r="F1102" s="16">
        <v>0</v>
      </c>
      <c r="G1102" s="16">
        <v>0</v>
      </c>
      <c r="H1102" s="16">
        <v>0</v>
      </c>
      <c r="I1102" s="16">
        <f t="shared" si="157"/>
        <v>0</v>
      </c>
    </row>
    <row r="1103" spans="1:9" x14ac:dyDescent="0.3">
      <c r="A1103" s="15" t="s">
        <v>32</v>
      </c>
      <c r="B1103" s="16">
        <v>0</v>
      </c>
      <c r="C1103" s="16">
        <v>0</v>
      </c>
      <c r="D1103" s="16">
        <v>0</v>
      </c>
      <c r="E1103" s="16">
        <v>0</v>
      </c>
      <c r="F1103" s="16">
        <v>0</v>
      </c>
      <c r="G1103" s="16">
        <v>0</v>
      </c>
      <c r="H1103" s="16">
        <v>0</v>
      </c>
      <c r="I1103" s="16">
        <f t="shared" si="157"/>
        <v>0</v>
      </c>
    </row>
    <row r="1104" spans="1:9" x14ac:dyDescent="0.3">
      <c r="A1104" s="15" t="s">
        <v>33</v>
      </c>
      <c r="B1104" s="16">
        <v>0</v>
      </c>
      <c r="C1104" s="16">
        <v>0</v>
      </c>
      <c r="D1104" s="16">
        <v>0</v>
      </c>
      <c r="E1104" s="16">
        <v>0</v>
      </c>
      <c r="F1104" s="16">
        <v>0</v>
      </c>
      <c r="G1104" s="16">
        <v>0</v>
      </c>
      <c r="H1104" s="16">
        <v>2</v>
      </c>
      <c r="I1104" s="16">
        <f t="shared" si="157"/>
        <v>2</v>
      </c>
    </row>
    <row r="1105" spans="1:9" ht="19.5" thickBot="1" x14ac:dyDescent="0.35">
      <c r="A1105" s="30" t="s">
        <v>15</v>
      </c>
      <c r="B1105" s="31">
        <f t="shared" ref="B1105:H1105" si="158">(B1096+B1095)/B1094*100%</f>
        <v>5.7692307692307696E-2</v>
      </c>
      <c r="C1105" s="31">
        <f t="shared" si="158"/>
        <v>9.6153846153846159E-2</v>
      </c>
      <c r="D1105" s="31">
        <f t="shared" si="158"/>
        <v>0.98148148148148151</v>
      </c>
      <c r="E1105" s="31">
        <f t="shared" si="158"/>
        <v>0.98148148148148151</v>
      </c>
      <c r="F1105" s="31">
        <f t="shared" si="158"/>
        <v>0.83333333333333337</v>
      </c>
      <c r="G1105" s="31">
        <f t="shared" si="158"/>
        <v>0.98148148148148151</v>
      </c>
      <c r="H1105" s="31">
        <f t="shared" si="158"/>
        <v>0.51851851851851849</v>
      </c>
      <c r="I1105" s="32">
        <f>(B1105+C1105+D1105+E1105+F1105+G1105+H1105)/7</f>
        <v>0.63573463573463573</v>
      </c>
    </row>
    <row r="1106" spans="1:9" x14ac:dyDescent="0.3">
      <c r="A1106" s="67" t="s">
        <v>16</v>
      </c>
      <c r="B1106" s="16"/>
      <c r="C1106" s="17"/>
      <c r="D1106" s="16"/>
      <c r="E1106" s="18"/>
      <c r="F1106" s="16"/>
      <c r="G1106" s="16"/>
      <c r="H1106" s="16"/>
      <c r="I1106" s="16"/>
    </row>
    <row r="1107" spans="1:9" x14ac:dyDescent="0.3">
      <c r="A1107" s="15" t="s">
        <v>34</v>
      </c>
      <c r="B1107" s="28">
        <v>1464.6328000000001</v>
      </c>
      <c r="C1107" s="28">
        <v>2278.3175999999999</v>
      </c>
      <c r="D1107" s="28">
        <v>1464.633</v>
      </c>
      <c r="E1107" s="28">
        <v>1464.633</v>
      </c>
      <c r="F1107" s="28">
        <v>12123.904</v>
      </c>
      <c r="G1107" s="28">
        <v>7811.3760000000002</v>
      </c>
      <c r="H1107" s="28">
        <v>2929.2660000000001</v>
      </c>
      <c r="I1107" s="19">
        <f>SUM(B1107:H1107)</f>
        <v>29536.7624</v>
      </c>
    </row>
    <row r="1108" spans="1:9" x14ac:dyDescent="0.3">
      <c r="A1108" s="15" t="s">
        <v>35</v>
      </c>
      <c r="B1108" s="28">
        <v>0</v>
      </c>
      <c r="C1108" s="28">
        <v>0</v>
      </c>
      <c r="D1108" s="28">
        <v>18529.150000000001</v>
      </c>
      <c r="E1108" s="28">
        <v>18514.013000000003</v>
      </c>
      <c r="F1108" s="28">
        <v>14548.722000000002</v>
      </c>
      <c r="G1108" s="28">
        <v>23501.75</v>
      </c>
      <c r="H1108" s="28">
        <v>9154.223</v>
      </c>
      <c r="I1108" s="19">
        <f>SUM(B1108:H1108)</f>
        <v>84247.858000000007</v>
      </c>
    </row>
    <row r="1109" spans="1:9" ht="19.5" thickBot="1" x14ac:dyDescent="0.35">
      <c r="A1109" s="15" t="s">
        <v>20</v>
      </c>
      <c r="B1109" s="28">
        <v>3596.4879999999998</v>
      </c>
      <c r="C1109" s="28">
        <v>2750.2548000000002</v>
      </c>
      <c r="D1109" s="28">
        <v>2961.8160000000003</v>
      </c>
      <c r="E1109" s="28">
        <v>10948.132000000001</v>
      </c>
      <c r="F1109" s="28">
        <v>15525.104000000001</v>
      </c>
      <c r="G1109" s="28">
        <v>62041.612000000001</v>
      </c>
      <c r="H1109" s="28">
        <v>12865.988000000001</v>
      </c>
      <c r="I1109" s="19">
        <f>SUM(B1109:H1109)</f>
        <v>110689.39479999999</v>
      </c>
    </row>
    <row r="1110" spans="1:9" x14ac:dyDescent="0.3">
      <c r="A1110" s="55" t="s">
        <v>7</v>
      </c>
      <c r="B1110" s="56">
        <f t="shared" ref="B1110:I1110" si="159">SUM(B1107:B1109)</f>
        <v>5061.1207999999997</v>
      </c>
      <c r="C1110" s="56">
        <f t="shared" si="159"/>
        <v>5028.5724</v>
      </c>
      <c r="D1110" s="56">
        <f t="shared" si="159"/>
        <v>22955.599000000002</v>
      </c>
      <c r="E1110" s="56">
        <f t="shared" si="159"/>
        <v>30926.778000000006</v>
      </c>
      <c r="F1110" s="56">
        <f t="shared" si="159"/>
        <v>42197.73</v>
      </c>
      <c r="G1110" s="56">
        <f t="shared" si="159"/>
        <v>93354.737999999998</v>
      </c>
      <c r="H1110" s="56">
        <f t="shared" si="159"/>
        <v>24949.476999999999</v>
      </c>
      <c r="I1110" s="56">
        <f t="shared" si="159"/>
        <v>224474.01520000002</v>
      </c>
    </row>
    <row r="1112" spans="1:9" x14ac:dyDescent="0.3">
      <c r="A1112" s="4" t="s">
        <v>99</v>
      </c>
      <c r="B1112" s="5" t="s">
        <v>0</v>
      </c>
      <c r="C1112" s="5" t="s">
        <v>1</v>
      </c>
      <c r="D1112" s="5" t="s">
        <v>2</v>
      </c>
      <c r="E1112" s="6" t="s">
        <v>3</v>
      </c>
      <c r="F1112" s="5" t="s">
        <v>4</v>
      </c>
      <c r="G1112" s="5" t="s">
        <v>5</v>
      </c>
      <c r="H1112" s="5" t="s">
        <v>6</v>
      </c>
      <c r="I1112" s="5" t="s">
        <v>7</v>
      </c>
    </row>
    <row r="1113" spans="1:9" x14ac:dyDescent="0.3">
      <c r="A1113" s="7"/>
      <c r="B1113" s="8">
        <v>45642</v>
      </c>
      <c r="C1113" s="8">
        <v>45643</v>
      </c>
      <c r="D1113" s="8">
        <v>45644</v>
      </c>
      <c r="E1113" s="8">
        <v>45645</v>
      </c>
      <c r="F1113" s="8">
        <v>45646</v>
      </c>
      <c r="G1113" s="8">
        <v>45647</v>
      </c>
      <c r="H1113" s="8">
        <v>45648</v>
      </c>
      <c r="I1113" s="9"/>
    </row>
    <row r="1114" spans="1:9" ht="19.5" thickBot="1" x14ac:dyDescent="0.35">
      <c r="A1114" s="10" t="s">
        <v>8</v>
      </c>
      <c r="B1114" s="11" t="s">
        <v>9</v>
      </c>
      <c r="C1114" s="11" t="s">
        <v>9</v>
      </c>
      <c r="D1114" s="11" t="s">
        <v>9</v>
      </c>
      <c r="E1114" s="11" t="s">
        <v>9</v>
      </c>
      <c r="F1114" s="11" t="s">
        <v>9</v>
      </c>
      <c r="G1114" s="11" t="s">
        <v>9</v>
      </c>
      <c r="H1114" s="43" t="s">
        <v>9</v>
      </c>
      <c r="I1114" s="44" t="s">
        <v>9</v>
      </c>
    </row>
    <row r="1115" spans="1:9" x14ac:dyDescent="0.3">
      <c r="A1115" s="13" t="s">
        <v>10</v>
      </c>
      <c r="B1115" s="14">
        <v>54</v>
      </c>
      <c r="C1115" s="14">
        <v>54</v>
      </c>
      <c r="D1115" s="14">
        <v>54</v>
      </c>
      <c r="E1115" s="14">
        <v>54</v>
      </c>
      <c r="F1115" s="14">
        <v>54</v>
      </c>
      <c r="G1115" s="14">
        <v>47</v>
      </c>
      <c r="H1115" s="14">
        <v>48</v>
      </c>
      <c r="I1115" s="16"/>
    </row>
    <row r="1116" spans="1:9" x14ac:dyDescent="0.3">
      <c r="A1116" s="15" t="s">
        <v>11</v>
      </c>
      <c r="B1116" s="16">
        <v>0</v>
      </c>
      <c r="C1116" s="16">
        <v>0</v>
      </c>
      <c r="D1116" s="16">
        <v>0</v>
      </c>
      <c r="E1116" s="16">
        <v>0</v>
      </c>
      <c r="F1116" s="16">
        <v>0</v>
      </c>
      <c r="G1116" s="16">
        <v>0</v>
      </c>
      <c r="H1116" s="16">
        <v>0</v>
      </c>
      <c r="I1116" s="16">
        <f>SUM(B1116:H1116)</f>
        <v>0</v>
      </c>
    </row>
    <row r="1117" spans="1:9" x14ac:dyDescent="0.3">
      <c r="A1117" s="15" t="s">
        <v>12</v>
      </c>
      <c r="B1117" s="16">
        <v>25</v>
      </c>
      <c r="C1117" s="16">
        <v>25</v>
      </c>
      <c r="D1117" s="16">
        <v>28</v>
      </c>
      <c r="E1117" s="16">
        <v>7</v>
      </c>
      <c r="F1117" s="16">
        <v>14</v>
      </c>
      <c r="G1117" s="16">
        <v>17</v>
      </c>
      <c r="H1117" s="16">
        <v>18</v>
      </c>
      <c r="I1117" s="16">
        <f>SUM(B1117:H1117)</f>
        <v>134</v>
      </c>
    </row>
    <row r="1118" spans="1:9" x14ac:dyDescent="0.3">
      <c r="A1118" s="15" t="s">
        <v>30</v>
      </c>
      <c r="B1118" s="16">
        <v>0</v>
      </c>
      <c r="C1118" s="16">
        <v>0</v>
      </c>
      <c r="D1118" s="16">
        <v>0</v>
      </c>
      <c r="E1118" s="16">
        <v>0</v>
      </c>
      <c r="F1118" s="16">
        <v>1</v>
      </c>
      <c r="G1118" s="16">
        <v>0</v>
      </c>
      <c r="H1118" s="16">
        <v>0</v>
      </c>
      <c r="I1118" s="16">
        <f>SUM(B1118:H1118)</f>
        <v>1</v>
      </c>
    </row>
    <row r="1119" spans="1:9" x14ac:dyDescent="0.3">
      <c r="A1119" s="15" t="s">
        <v>28</v>
      </c>
      <c r="B1119" s="16">
        <v>11</v>
      </c>
      <c r="C1119" s="16">
        <v>161</v>
      </c>
      <c r="D1119" s="16">
        <v>56</v>
      </c>
      <c r="E1119" s="16">
        <v>58</v>
      </c>
      <c r="F1119" s="16">
        <v>366</v>
      </c>
      <c r="G1119" s="16">
        <v>376</v>
      </c>
      <c r="H1119" s="16">
        <v>54</v>
      </c>
      <c r="I1119" s="16">
        <f>SUM(B1119:H1119)</f>
        <v>1082</v>
      </c>
    </row>
    <row r="1120" spans="1:9" x14ac:dyDescent="0.3">
      <c r="A1120" s="15" t="s">
        <v>29</v>
      </c>
      <c r="B1120" s="16">
        <v>1</v>
      </c>
      <c r="C1120" s="16">
        <v>7</v>
      </c>
      <c r="D1120" s="16">
        <v>7</v>
      </c>
      <c r="E1120" s="16">
        <v>9</v>
      </c>
      <c r="F1120" s="16">
        <v>12</v>
      </c>
      <c r="G1120" s="16">
        <v>67</v>
      </c>
      <c r="H1120" s="16">
        <v>10</v>
      </c>
      <c r="I1120" s="16">
        <f>SUM(B1120:H1120)</f>
        <v>113</v>
      </c>
    </row>
    <row r="1121" spans="1:9" x14ac:dyDescent="0.3">
      <c r="A1121" s="15" t="s">
        <v>31</v>
      </c>
      <c r="B1121" s="16">
        <v>1</v>
      </c>
      <c r="C1121" s="16">
        <v>2</v>
      </c>
      <c r="D1121" s="16">
        <v>0</v>
      </c>
      <c r="E1121" s="16">
        <v>5</v>
      </c>
      <c r="F1121" s="16">
        <v>5</v>
      </c>
      <c r="G1121" s="16">
        <v>25</v>
      </c>
      <c r="H1121" s="16">
        <v>11</v>
      </c>
      <c r="I1121" s="16">
        <f t="shared" ref="I1121:I1125" si="160">SUM(B1121:H1121)</f>
        <v>49</v>
      </c>
    </row>
    <row r="1122" spans="1:9" x14ac:dyDescent="0.3">
      <c r="A1122" s="15" t="s">
        <v>13</v>
      </c>
      <c r="B1122" s="16">
        <v>4</v>
      </c>
      <c r="C1122" s="16">
        <v>0</v>
      </c>
      <c r="D1122" s="16">
        <v>0</v>
      </c>
      <c r="E1122" s="16">
        <v>1</v>
      </c>
      <c r="F1122" s="16">
        <v>3</v>
      </c>
      <c r="G1122" s="16">
        <v>7</v>
      </c>
      <c r="H1122" s="16">
        <v>0</v>
      </c>
      <c r="I1122" s="16">
        <f t="shared" si="160"/>
        <v>15</v>
      </c>
    </row>
    <row r="1123" spans="1:9" x14ac:dyDescent="0.3">
      <c r="A1123" s="15" t="s">
        <v>14</v>
      </c>
      <c r="B1123" s="16">
        <v>0</v>
      </c>
      <c r="C1123" s="16">
        <v>0</v>
      </c>
      <c r="D1123" s="16">
        <v>0</v>
      </c>
      <c r="E1123" s="16">
        <v>0</v>
      </c>
      <c r="F1123" s="16">
        <v>0</v>
      </c>
      <c r="G1123" s="16">
        <v>0</v>
      </c>
      <c r="H1123" s="16">
        <v>0</v>
      </c>
      <c r="I1123" s="16">
        <f t="shared" si="160"/>
        <v>0</v>
      </c>
    </row>
    <row r="1124" spans="1:9" x14ac:dyDescent="0.3">
      <c r="A1124" s="15" t="s">
        <v>32</v>
      </c>
      <c r="B1124" s="16">
        <v>0</v>
      </c>
      <c r="C1124" s="16">
        <v>0</v>
      </c>
      <c r="D1124" s="16">
        <v>0</v>
      </c>
      <c r="E1124" s="16">
        <v>0</v>
      </c>
      <c r="F1124" s="16">
        <v>0</v>
      </c>
      <c r="G1124" s="16">
        <v>0</v>
      </c>
      <c r="H1124" s="16">
        <v>0</v>
      </c>
      <c r="I1124" s="16">
        <f t="shared" si="160"/>
        <v>0</v>
      </c>
    </row>
    <row r="1125" spans="1:9" x14ac:dyDescent="0.3">
      <c r="A1125" s="15" t="s">
        <v>33</v>
      </c>
      <c r="B1125" s="16">
        <v>2</v>
      </c>
      <c r="C1125" s="16">
        <v>0</v>
      </c>
      <c r="D1125" s="16">
        <v>0</v>
      </c>
      <c r="E1125" s="16">
        <v>0</v>
      </c>
      <c r="F1125" s="16">
        <v>0</v>
      </c>
      <c r="G1125" s="16">
        <v>0</v>
      </c>
      <c r="H1125" s="16">
        <v>0</v>
      </c>
      <c r="I1125" s="16">
        <f t="shared" si="160"/>
        <v>2</v>
      </c>
    </row>
    <row r="1126" spans="1:9" ht="19.5" thickBot="1" x14ac:dyDescent="0.35">
      <c r="A1126" s="30" t="s">
        <v>15</v>
      </c>
      <c r="B1126" s="31">
        <f t="shared" ref="B1126:H1126" si="161">(B1117+B1116)/B1115*100%</f>
        <v>0.46296296296296297</v>
      </c>
      <c r="C1126" s="31">
        <f t="shared" si="161"/>
        <v>0.46296296296296297</v>
      </c>
      <c r="D1126" s="31">
        <f t="shared" si="161"/>
        <v>0.51851851851851849</v>
      </c>
      <c r="E1126" s="31">
        <f t="shared" si="161"/>
        <v>0.12962962962962962</v>
      </c>
      <c r="F1126" s="31">
        <f t="shared" si="161"/>
        <v>0.25925925925925924</v>
      </c>
      <c r="G1126" s="31">
        <f t="shared" si="161"/>
        <v>0.36170212765957449</v>
      </c>
      <c r="H1126" s="31">
        <f t="shared" si="161"/>
        <v>0.375</v>
      </c>
      <c r="I1126" s="32">
        <f>(B1126+C1126+D1126+E1126+F1126+G1126+H1126)/7</f>
        <v>0.3671479229989868</v>
      </c>
    </row>
    <row r="1127" spans="1:9" x14ac:dyDescent="0.3">
      <c r="A1127" s="67" t="s">
        <v>16</v>
      </c>
      <c r="B1127" s="16"/>
      <c r="C1127" s="17"/>
      <c r="D1127" s="16"/>
      <c r="E1127" s="18"/>
      <c r="F1127" s="16"/>
      <c r="G1127" s="16"/>
      <c r="H1127" s="16"/>
      <c r="I1127" s="16"/>
    </row>
    <row r="1128" spans="1:9" x14ac:dyDescent="0.3">
      <c r="A1128" s="15" t="s">
        <v>34</v>
      </c>
      <c r="B1128" s="28">
        <v>2703.3254000000002</v>
      </c>
      <c r="C1128" s="28">
        <v>1920.296</v>
      </c>
      <c r="D1128" s="28">
        <v>4442.7190000000001</v>
      </c>
      <c r="E1128" s="28">
        <v>8429.7744000000002</v>
      </c>
      <c r="F1128" s="28">
        <v>12685.3469</v>
      </c>
      <c r="G1128" s="28">
        <v>11342.766600000001</v>
      </c>
      <c r="H1128" s="28">
        <v>17985.3037</v>
      </c>
      <c r="I1128" s="19">
        <f>SUM(B1128:H1128)</f>
        <v>59509.532000000007</v>
      </c>
    </row>
    <row r="1129" spans="1:9" x14ac:dyDescent="0.3">
      <c r="A1129" s="15" t="s">
        <v>35</v>
      </c>
      <c r="B1129" s="28">
        <v>9450.1744999999992</v>
      </c>
      <c r="C1129" s="28">
        <v>9946.6448000000019</v>
      </c>
      <c r="D1129" s="28">
        <v>9946.6448000000019</v>
      </c>
      <c r="E1129" s="28">
        <v>0</v>
      </c>
      <c r="F1129" s="28">
        <v>0</v>
      </c>
      <c r="G1129" s="28">
        <v>0</v>
      </c>
      <c r="H1129" s="28">
        <v>0</v>
      </c>
      <c r="I1129" s="19">
        <f>SUM(B1129:H1129)</f>
        <v>29343.464100000005</v>
      </c>
    </row>
    <row r="1130" spans="1:9" ht="19.5" thickBot="1" x14ac:dyDescent="0.35">
      <c r="A1130" s="15" t="s">
        <v>20</v>
      </c>
      <c r="B1130" s="28">
        <v>3954.5088000000005</v>
      </c>
      <c r="C1130" s="28">
        <v>31671.870400000003</v>
      </c>
      <c r="D1130" s="28">
        <v>12042.536800000002</v>
      </c>
      <c r="E1130" s="28">
        <v>12270.367200000001</v>
      </c>
      <c r="F1130" s="28">
        <v>71091.638000000006</v>
      </c>
      <c r="G1130" s="28">
        <v>81287.927200000006</v>
      </c>
      <c r="H1130" s="28">
        <v>13121.485999999999</v>
      </c>
      <c r="I1130" s="19">
        <f>SUM(B1130:H1130)</f>
        <v>225440.33440000002</v>
      </c>
    </row>
    <row r="1131" spans="1:9" x14ac:dyDescent="0.3">
      <c r="A1131" s="55" t="s">
        <v>7</v>
      </c>
      <c r="B1131" s="56">
        <f t="shared" ref="B1131:I1131" si="162">SUM(B1128:B1130)</f>
        <v>16108.008699999998</v>
      </c>
      <c r="C1131" s="56">
        <f t="shared" si="162"/>
        <v>43538.811200000004</v>
      </c>
      <c r="D1131" s="56">
        <f t="shared" si="162"/>
        <v>26431.900600000004</v>
      </c>
      <c r="E1131" s="56">
        <f t="shared" si="162"/>
        <v>20700.141600000003</v>
      </c>
      <c r="F1131" s="56">
        <f t="shared" si="162"/>
        <v>83776.98490000001</v>
      </c>
      <c r="G1131" s="56">
        <f t="shared" si="162"/>
        <v>92630.693800000008</v>
      </c>
      <c r="H1131" s="56">
        <f t="shared" si="162"/>
        <v>31106.789700000001</v>
      </c>
      <c r="I1131" s="56">
        <f t="shared" si="162"/>
        <v>314293.33050000004</v>
      </c>
    </row>
    <row r="1133" spans="1:9" x14ac:dyDescent="0.3">
      <c r="A1133" s="4" t="s">
        <v>100</v>
      </c>
      <c r="B1133" s="5" t="s">
        <v>0</v>
      </c>
      <c r="C1133" s="5" t="s">
        <v>1</v>
      </c>
      <c r="D1133" s="5" t="s">
        <v>2</v>
      </c>
      <c r="E1133" s="6" t="s">
        <v>3</v>
      </c>
      <c r="F1133" s="5" t="s">
        <v>4</v>
      </c>
      <c r="G1133" s="5" t="s">
        <v>5</v>
      </c>
      <c r="H1133" s="5" t="s">
        <v>6</v>
      </c>
      <c r="I1133" s="5" t="s">
        <v>7</v>
      </c>
    </row>
    <row r="1134" spans="1:9" x14ac:dyDescent="0.3">
      <c r="A1134" s="7"/>
      <c r="B1134" s="8">
        <v>45649</v>
      </c>
      <c r="C1134" s="8">
        <v>45650</v>
      </c>
      <c r="D1134" s="8">
        <v>45651</v>
      </c>
      <c r="E1134" s="8">
        <v>45652</v>
      </c>
      <c r="F1134" s="8">
        <v>45653</v>
      </c>
      <c r="G1134" s="8">
        <v>45654</v>
      </c>
      <c r="H1134" s="8">
        <v>45655</v>
      </c>
      <c r="I1134" s="9"/>
    </row>
    <row r="1135" spans="1:9" ht="19.5" thickBot="1" x14ac:dyDescent="0.35">
      <c r="A1135" s="10" t="s">
        <v>8</v>
      </c>
      <c r="B1135" s="11" t="s">
        <v>9</v>
      </c>
      <c r="C1135" s="11" t="s">
        <v>9</v>
      </c>
      <c r="D1135" s="11" t="s">
        <v>9</v>
      </c>
      <c r="E1135" s="11" t="s">
        <v>9</v>
      </c>
      <c r="F1135" s="11" t="s">
        <v>9</v>
      </c>
      <c r="G1135" s="11" t="s">
        <v>9</v>
      </c>
      <c r="H1135" s="43" t="s">
        <v>9</v>
      </c>
      <c r="I1135" s="44" t="s">
        <v>9</v>
      </c>
    </row>
    <row r="1136" spans="1:9" x14ac:dyDescent="0.3">
      <c r="A1136" s="13" t="s">
        <v>10</v>
      </c>
      <c r="B1136" s="14">
        <v>54</v>
      </c>
      <c r="C1136" s="14">
        <v>54</v>
      </c>
      <c r="D1136" s="14">
        <v>54</v>
      </c>
      <c r="E1136" s="14">
        <v>54</v>
      </c>
      <c r="F1136" s="14">
        <v>54</v>
      </c>
      <c r="G1136" s="14">
        <v>54</v>
      </c>
      <c r="H1136" s="14">
        <v>54</v>
      </c>
      <c r="I1136" s="16"/>
    </row>
    <row r="1137" spans="1:9" x14ac:dyDescent="0.3">
      <c r="A1137" s="15" t="s">
        <v>11</v>
      </c>
      <c r="B1137" s="16">
        <v>5</v>
      </c>
      <c r="C1137" s="16">
        <v>2</v>
      </c>
      <c r="D1137" s="16">
        <v>6</v>
      </c>
      <c r="E1137" s="16">
        <v>3</v>
      </c>
      <c r="F1137" s="16">
        <v>5</v>
      </c>
      <c r="G1137" s="16">
        <v>4</v>
      </c>
      <c r="H1137" s="16">
        <v>9</v>
      </c>
      <c r="I1137" s="16">
        <f>SUM(B1137:H1137)</f>
        <v>34</v>
      </c>
    </row>
    <row r="1138" spans="1:9" x14ac:dyDescent="0.3">
      <c r="A1138" s="15" t="s">
        <v>12</v>
      </c>
      <c r="B1138" s="16">
        <v>13</v>
      </c>
      <c r="C1138" s="16">
        <v>32</v>
      </c>
      <c r="D1138" s="16">
        <v>39</v>
      </c>
      <c r="E1138" s="16">
        <v>36</v>
      </c>
      <c r="F1138" s="16">
        <v>28</v>
      </c>
      <c r="G1138" s="16">
        <v>44</v>
      </c>
      <c r="H1138" s="16">
        <v>34</v>
      </c>
      <c r="I1138" s="16">
        <f>SUM(B1138:H1138)</f>
        <v>226</v>
      </c>
    </row>
    <row r="1139" spans="1:9" x14ac:dyDescent="0.3">
      <c r="A1139" s="15" t="s">
        <v>30</v>
      </c>
      <c r="B1139" s="16">
        <v>0</v>
      </c>
      <c r="C1139" s="16">
        <v>0</v>
      </c>
      <c r="D1139" s="16">
        <v>0</v>
      </c>
      <c r="E1139" s="16">
        <v>0</v>
      </c>
      <c r="F1139" s="16">
        <v>0</v>
      </c>
      <c r="G1139" s="16">
        <v>0</v>
      </c>
      <c r="H1139" s="16">
        <v>0</v>
      </c>
      <c r="I1139" s="16">
        <f>SUM(B1139:H1139)</f>
        <v>0</v>
      </c>
    </row>
    <row r="1140" spans="1:9" x14ac:dyDescent="0.3">
      <c r="A1140" s="15" t="s">
        <v>28</v>
      </c>
      <c r="B1140" s="16">
        <v>119</v>
      </c>
      <c r="C1140" s="16">
        <v>97</v>
      </c>
      <c r="D1140" s="16">
        <v>268</v>
      </c>
      <c r="E1140" s="16">
        <v>501</v>
      </c>
      <c r="F1140" s="16">
        <v>330</v>
      </c>
      <c r="G1140" s="16">
        <v>476</v>
      </c>
      <c r="H1140" s="16">
        <v>285</v>
      </c>
      <c r="I1140" s="16">
        <f>SUM(B1140:H1140)</f>
        <v>2076</v>
      </c>
    </row>
    <row r="1141" spans="1:9" x14ac:dyDescent="0.3">
      <c r="A1141" s="15" t="s">
        <v>29</v>
      </c>
      <c r="B1141" s="16">
        <v>20</v>
      </c>
      <c r="C1141" s="16">
        <v>8</v>
      </c>
      <c r="D1141" s="16">
        <v>75</v>
      </c>
      <c r="E1141" s="16">
        <v>155</v>
      </c>
      <c r="F1141" s="16">
        <v>83</v>
      </c>
      <c r="G1141" s="16">
        <v>116</v>
      </c>
      <c r="H1141" s="16">
        <v>36</v>
      </c>
      <c r="I1141" s="16">
        <f>SUM(B1141:H1141)</f>
        <v>493</v>
      </c>
    </row>
    <row r="1142" spans="1:9" x14ac:dyDescent="0.3">
      <c r="A1142" s="15" t="s">
        <v>31</v>
      </c>
      <c r="B1142" s="16">
        <v>30</v>
      </c>
      <c r="C1142" s="16">
        <v>17</v>
      </c>
      <c r="D1142" s="16">
        <v>63</v>
      </c>
      <c r="E1142" s="16">
        <v>112</v>
      </c>
      <c r="F1142" s="16">
        <v>46</v>
      </c>
      <c r="G1142" s="16">
        <v>103</v>
      </c>
      <c r="H1142" s="16">
        <v>29</v>
      </c>
      <c r="I1142" s="16">
        <f t="shared" ref="I1142:I1146" si="163">SUM(B1142:H1142)</f>
        <v>400</v>
      </c>
    </row>
    <row r="1143" spans="1:9" x14ac:dyDescent="0.3">
      <c r="A1143" s="15" t="s">
        <v>13</v>
      </c>
      <c r="B1143" s="16">
        <v>0</v>
      </c>
      <c r="C1143" s="16">
        <v>2</v>
      </c>
      <c r="D1143" s="16">
        <v>1</v>
      </c>
      <c r="E1143" s="16">
        <v>2</v>
      </c>
      <c r="F1143" s="16">
        <v>0</v>
      </c>
      <c r="G1143" s="16">
        <v>3</v>
      </c>
      <c r="H1143" s="16">
        <v>2</v>
      </c>
      <c r="I1143" s="16">
        <f t="shared" si="163"/>
        <v>10</v>
      </c>
    </row>
    <row r="1144" spans="1:9" x14ac:dyDescent="0.3">
      <c r="A1144" s="15" t="s">
        <v>14</v>
      </c>
      <c r="B1144" s="16">
        <v>0</v>
      </c>
      <c r="C1144" s="16">
        <v>0</v>
      </c>
      <c r="D1144" s="16">
        <v>0</v>
      </c>
      <c r="E1144" s="16">
        <v>0</v>
      </c>
      <c r="F1144" s="16">
        <v>0</v>
      </c>
      <c r="G1144" s="16">
        <v>2</v>
      </c>
      <c r="H1144" s="16">
        <v>0</v>
      </c>
      <c r="I1144" s="16">
        <f t="shared" si="163"/>
        <v>2</v>
      </c>
    </row>
    <row r="1145" spans="1:9" x14ac:dyDescent="0.3">
      <c r="A1145" s="15" t="s">
        <v>32</v>
      </c>
      <c r="B1145" s="16">
        <v>0</v>
      </c>
      <c r="C1145" s="16">
        <v>0</v>
      </c>
      <c r="D1145" s="16">
        <v>0</v>
      </c>
      <c r="E1145" s="16">
        <v>0</v>
      </c>
      <c r="F1145" s="16">
        <v>0</v>
      </c>
      <c r="G1145" s="16">
        <v>0</v>
      </c>
      <c r="H1145" s="16">
        <v>0</v>
      </c>
      <c r="I1145" s="16">
        <f t="shared" si="163"/>
        <v>0</v>
      </c>
    </row>
    <row r="1146" spans="1:9" x14ac:dyDescent="0.3">
      <c r="A1146" s="15" t="s">
        <v>33</v>
      </c>
      <c r="B1146" s="16">
        <v>0</v>
      </c>
      <c r="C1146" s="16">
        <v>0</v>
      </c>
      <c r="D1146" s="16">
        <v>0</v>
      </c>
      <c r="E1146" s="16">
        <v>0</v>
      </c>
      <c r="F1146" s="16">
        <v>0</v>
      </c>
      <c r="G1146" s="16">
        <v>0</v>
      </c>
      <c r="H1146" s="16">
        <v>0</v>
      </c>
      <c r="I1146" s="16">
        <f t="shared" si="163"/>
        <v>0</v>
      </c>
    </row>
    <row r="1147" spans="1:9" ht="19.5" thickBot="1" x14ac:dyDescent="0.35">
      <c r="A1147" s="30" t="s">
        <v>15</v>
      </c>
      <c r="B1147" s="31">
        <f t="shared" ref="B1147:H1147" si="164">(B1138+B1137)/B1136*100%</f>
        <v>0.33333333333333331</v>
      </c>
      <c r="C1147" s="31">
        <f t="shared" si="164"/>
        <v>0.62962962962962965</v>
      </c>
      <c r="D1147" s="31">
        <f t="shared" si="164"/>
        <v>0.83333333333333337</v>
      </c>
      <c r="E1147" s="31">
        <f t="shared" si="164"/>
        <v>0.72222222222222221</v>
      </c>
      <c r="F1147" s="31">
        <f t="shared" si="164"/>
        <v>0.61111111111111116</v>
      </c>
      <c r="G1147" s="31">
        <f t="shared" si="164"/>
        <v>0.88888888888888884</v>
      </c>
      <c r="H1147" s="31">
        <f t="shared" si="164"/>
        <v>0.79629629629629628</v>
      </c>
      <c r="I1147" s="32">
        <f>(B1147+C1147+D1147+E1147+F1147+G1147+H1147)/7</f>
        <v>0.68783068783068779</v>
      </c>
    </row>
    <row r="1148" spans="1:9" x14ac:dyDescent="0.3">
      <c r="A1148" s="67" t="s">
        <v>16</v>
      </c>
      <c r="B1148" s="16"/>
      <c r="C1148" s="17"/>
      <c r="D1148" s="16"/>
      <c r="E1148" s="18"/>
      <c r="F1148" s="16"/>
      <c r="G1148" s="16"/>
      <c r="H1148" s="16"/>
      <c r="I1148" s="16"/>
    </row>
    <row r="1149" spans="1:9" x14ac:dyDescent="0.3">
      <c r="A1149" s="15" t="s">
        <v>34</v>
      </c>
      <c r="B1149" s="28">
        <v>13222.378500000001</v>
      </c>
      <c r="C1149" s="28">
        <v>32295.151100000003</v>
      </c>
      <c r="D1149" s="28">
        <v>34752.479700000004</v>
      </c>
      <c r="E1149" s="28">
        <v>30692.173500000001</v>
      </c>
      <c r="F1149" s="28">
        <v>29097.447100000005</v>
      </c>
      <c r="G1149" s="28">
        <v>40993.440399999999</v>
      </c>
      <c r="H1149" s="28">
        <v>26355.252200000003</v>
      </c>
      <c r="I1149" s="19">
        <f>SUM(B1149:H1149)</f>
        <v>207408.32250000001</v>
      </c>
    </row>
    <row r="1150" spans="1:9" x14ac:dyDescent="0.3">
      <c r="A1150" s="15" t="s">
        <v>35</v>
      </c>
      <c r="B1150" s="28">
        <v>0</v>
      </c>
      <c r="C1150" s="28">
        <v>0</v>
      </c>
      <c r="D1150" s="28">
        <v>0</v>
      </c>
      <c r="E1150" s="28">
        <v>0</v>
      </c>
      <c r="F1150" s="28">
        <v>0</v>
      </c>
      <c r="G1150" s="28">
        <v>0</v>
      </c>
      <c r="H1150" s="28">
        <v>0</v>
      </c>
      <c r="I1150" s="19">
        <f>SUM(B1150:H1150)</f>
        <v>0</v>
      </c>
    </row>
    <row r="1151" spans="1:9" ht="19.5" thickBot="1" x14ac:dyDescent="0.35">
      <c r="A1151" s="15" t="s">
        <v>20</v>
      </c>
      <c r="B1151" s="28">
        <v>29792.2588</v>
      </c>
      <c r="C1151" s="28">
        <v>23120.04</v>
      </c>
      <c r="D1151" s="28">
        <v>66790.381999999998</v>
      </c>
      <c r="E1151" s="28">
        <v>127802.22360000001</v>
      </c>
      <c r="F1151" s="28">
        <v>79936.427599999995</v>
      </c>
      <c r="G1151" s="28">
        <v>120915.19760000001</v>
      </c>
      <c r="H1151" s="28">
        <v>62558.526000000005</v>
      </c>
      <c r="I1151" s="19">
        <f>SUM(B1151:H1151)</f>
        <v>510915.05560000002</v>
      </c>
    </row>
    <row r="1152" spans="1:9" x14ac:dyDescent="0.3">
      <c r="A1152" s="55" t="s">
        <v>7</v>
      </c>
      <c r="B1152" s="56">
        <f t="shared" ref="B1152:I1152" si="165">SUM(B1149:B1151)</f>
        <v>43014.637300000002</v>
      </c>
      <c r="C1152" s="56">
        <f t="shared" si="165"/>
        <v>55415.191100000004</v>
      </c>
      <c r="D1152" s="56">
        <f t="shared" si="165"/>
        <v>101542.86170000001</v>
      </c>
      <c r="E1152" s="56">
        <f t="shared" si="165"/>
        <v>158494.3971</v>
      </c>
      <c r="F1152" s="56">
        <f t="shared" si="165"/>
        <v>109033.8747</v>
      </c>
      <c r="G1152" s="56">
        <f t="shared" si="165"/>
        <v>161908.63800000001</v>
      </c>
      <c r="H1152" s="56">
        <f t="shared" si="165"/>
        <v>88913.778200000001</v>
      </c>
      <c r="I1152" s="56">
        <f t="shared" si="165"/>
        <v>718323.37810000009</v>
      </c>
    </row>
    <row r="1154" spans="1:9" x14ac:dyDescent="0.3">
      <c r="A1154" s="4" t="s">
        <v>101</v>
      </c>
      <c r="B1154" s="5" t="s">
        <v>0</v>
      </c>
      <c r="C1154" s="5" t="s">
        <v>1</v>
      </c>
      <c r="D1154" s="5" t="s">
        <v>2</v>
      </c>
      <c r="E1154" s="6" t="s">
        <v>3</v>
      </c>
      <c r="F1154" s="5" t="s">
        <v>4</v>
      </c>
      <c r="G1154" s="5" t="s">
        <v>5</v>
      </c>
      <c r="H1154" s="5" t="s">
        <v>6</v>
      </c>
      <c r="I1154" s="5" t="s">
        <v>7</v>
      </c>
    </row>
    <row r="1155" spans="1:9" x14ac:dyDescent="0.3">
      <c r="A1155" s="7"/>
      <c r="B1155" s="8">
        <v>45656</v>
      </c>
      <c r="C1155" s="8">
        <v>45657</v>
      </c>
      <c r="D1155" s="8">
        <v>45658</v>
      </c>
      <c r="E1155" s="8">
        <v>45659</v>
      </c>
      <c r="F1155" s="8">
        <v>45660</v>
      </c>
      <c r="G1155" s="8">
        <v>45661</v>
      </c>
      <c r="H1155" s="8">
        <v>45662</v>
      </c>
      <c r="I1155" s="9"/>
    </row>
    <row r="1156" spans="1:9" ht="19.5" thickBot="1" x14ac:dyDescent="0.35">
      <c r="A1156" s="10" t="s">
        <v>8</v>
      </c>
      <c r="B1156" s="11" t="s">
        <v>9</v>
      </c>
      <c r="C1156" s="11" t="s">
        <v>9</v>
      </c>
      <c r="D1156" s="11" t="s">
        <v>9</v>
      </c>
      <c r="E1156" s="11" t="s">
        <v>9</v>
      </c>
      <c r="F1156" s="11" t="s">
        <v>9</v>
      </c>
      <c r="G1156" s="11" t="s">
        <v>9</v>
      </c>
      <c r="H1156" s="43" t="s">
        <v>9</v>
      </c>
      <c r="I1156" s="44" t="s">
        <v>9</v>
      </c>
    </row>
    <row r="1157" spans="1:9" x14ac:dyDescent="0.3">
      <c r="A1157" s="13" t="s">
        <v>10</v>
      </c>
      <c r="B1157" s="14">
        <v>54</v>
      </c>
      <c r="C1157" s="14">
        <v>54</v>
      </c>
      <c r="D1157" s="14">
        <v>54</v>
      </c>
      <c r="E1157" s="14">
        <v>54</v>
      </c>
      <c r="F1157" s="14">
        <v>54</v>
      </c>
      <c r="G1157" s="14">
        <v>47</v>
      </c>
      <c r="H1157" s="14">
        <v>48</v>
      </c>
      <c r="I1157" s="16"/>
    </row>
    <row r="1158" spans="1:9" x14ac:dyDescent="0.3">
      <c r="A1158" s="15" t="s">
        <v>11</v>
      </c>
      <c r="B1158" s="16">
        <v>11</v>
      </c>
      <c r="C1158" s="16">
        <v>6</v>
      </c>
      <c r="D1158" s="16">
        <v>1</v>
      </c>
      <c r="E1158" s="16">
        <v>1</v>
      </c>
      <c r="F1158" s="16">
        <v>0</v>
      </c>
      <c r="G1158" s="16">
        <v>0</v>
      </c>
      <c r="H1158" s="16">
        <v>4</v>
      </c>
      <c r="I1158" s="16">
        <f>SUM(B1158:H1158)</f>
        <v>23</v>
      </c>
    </row>
    <row r="1159" spans="1:9" x14ac:dyDescent="0.3">
      <c r="A1159" s="15" t="s">
        <v>12</v>
      </c>
      <c r="B1159" s="16">
        <v>26</v>
      </c>
      <c r="C1159" s="16">
        <v>30</v>
      </c>
      <c r="D1159" s="16">
        <v>22</v>
      </c>
      <c r="E1159" s="16">
        <v>50</v>
      </c>
      <c r="F1159" s="16">
        <v>54</v>
      </c>
      <c r="G1159" s="16">
        <v>42</v>
      </c>
      <c r="H1159" s="16">
        <v>17</v>
      </c>
      <c r="I1159" s="16">
        <f>SUM(B1159:H1159)</f>
        <v>241</v>
      </c>
    </row>
    <row r="1160" spans="1:9" x14ac:dyDescent="0.3">
      <c r="A1160" s="15" t="s">
        <v>30</v>
      </c>
      <c r="B1160" s="16">
        <v>0</v>
      </c>
      <c r="C1160" s="16">
        <v>0</v>
      </c>
      <c r="D1160" s="16">
        <v>0</v>
      </c>
      <c r="E1160" s="16">
        <v>0</v>
      </c>
      <c r="F1160" s="16">
        <v>0</v>
      </c>
      <c r="G1160" s="16">
        <v>0</v>
      </c>
      <c r="H1160" s="16">
        <v>0</v>
      </c>
      <c r="I1160" s="16">
        <f>SUM(B1160:H1160)</f>
        <v>0</v>
      </c>
    </row>
    <row r="1161" spans="1:9" x14ac:dyDescent="0.3">
      <c r="A1161" s="15" t="s">
        <v>28</v>
      </c>
      <c r="B1161" s="16">
        <v>238</v>
      </c>
      <c r="C1161" s="16">
        <v>86</v>
      </c>
      <c r="D1161" s="16">
        <v>232</v>
      </c>
      <c r="E1161" s="16">
        <v>208</v>
      </c>
      <c r="F1161" s="16">
        <v>165</v>
      </c>
      <c r="G1161" s="16">
        <v>322</v>
      </c>
      <c r="H1161" s="16">
        <v>77</v>
      </c>
      <c r="I1161" s="16">
        <f>SUM(B1161:H1161)</f>
        <v>1328</v>
      </c>
    </row>
    <row r="1162" spans="1:9" x14ac:dyDescent="0.3">
      <c r="A1162" s="15" t="s">
        <v>29</v>
      </c>
      <c r="B1162" s="16">
        <v>55</v>
      </c>
      <c r="C1162" s="16">
        <v>23</v>
      </c>
      <c r="D1162" s="16">
        <v>73</v>
      </c>
      <c r="E1162" s="16">
        <v>54</v>
      </c>
      <c r="F1162" s="16">
        <v>36</v>
      </c>
      <c r="G1162" s="16">
        <v>44</v>
      </c>
      <c r="H1162" s="16">
        <v>22</v>
      </c>
      <c r="I1162" s="16">
        <f>SUM(B1162:H1162)</f>
        <v>307</v>
      </c>
    </row>
    <row r="1163" spans="1:9" x14ac:dyDescent="0.3">
      <c r="A1163" s="15" t="s">
        <v>31</v>
      </c>
      <c r="B1163" s="16">
        <v>38</v>
      </c>
      <c r="C1163" s="16">
        <v>21</v>
      </c>
      <c r="D1163" s="16">
        <v>38</v>
      </c>
      <c r="E1163" s="16">
        <v>42</v>
      </c>
      <c r="F1163" s="16">
        <v>24</v>
      </c>
      <c r="G1163" s="16">
        <v>39</v>
      </c>
      <c r="H1163" s="16">
        <v>16</v>
      </c>
      <c r="I1163" s="16">
        <f t="shared" ref="I1163:I1167" si="166">SUM(B1163:H1163)</f>
        <v>218</v>
      </c>
    </row>
    <row r="1164" spans="1:9" x14ac:dyDescent="0.3">
      <c r="A1164" s="15" t="s">
        <v>13</v>
      </c>
      <c r="B1164" s="16">
        <v>6</v>
      </c>
      <c r="C1164" s="16">
        <v>0</v>
      </c>
      <c r="D1164" s="16">
        <v>4</v>
      </c>
      <c r="E1164" s="16">
        <v>1</v>
      </c>
      <c r="F1164" s="16">
        <v>6</v>
      </c>
      <c r="G1164" s="16">
        <v>26</v>
      </c>
      <c r="H1164" s="16">
        <v>4</v>
      </c>
      <c r="I1164" s="16">
        <f t="shared" si="166"/>
        <v>47</v>
      </c>
    </row>
    <row r="1165" spans="1:9" x14ac:dyDescent="0.3">
      <c r="A1165" s="15" t="s">
        <v>14</v>
      </c>
      <c r="B1165" s="16">
        <v>0</v>
      </c>
      <c r="C1165" s="16">
        <v>0</v>
      </c>
      <c r="D1165" s="16">
        <v>0</v>
      </c>
      <c r="E1165" s="16">
        <v>0</v>
      </c>
      <c r="F1165" s="16">
        <v>0</v>
      </c>
      <c r="G1165" s="16">
        <v>0</v>
      </c>
      <c r="H1165" s="16">
        <v>0</v>
      </c>
      <c r="I1165" s="16">
        <f t="shared" si="166"/>
        <v>0</v>
      </c>
    </row>
    <row r="1166" spans="1:9" x14ac:dyDescent="0.3">
      <c r="A1166" s="15" t="s">
        <v>32</v>
      </c>
      <c r="B1166" s="16">
        <v>0</v>
      </c>
      <c r="C1166" s="16">
        <v>0</v>
      </c>
      <c r="D1166" s="16">
        <v>0</v>
      </c>
      <c r="E1166" s="16">
        <v>0</v>
      </c>
      <c r="F1166" s="16">
        <v>0</v>
      </c>
      <c r="G1166" s="16">
        <v>0</v>
      </c>
      <c r="H1166" s="16">
        <v>0</v>
      </c>
      <c r="I1166" s="16">
        <f t="shared" si="166"/>
        <v>0</v>
      </c>
    </row>
    <row r="1167" spans="1:9" x14ac:dyDescent="0.3">
      <c r="A1167" s="15" t="s">
        <v>33</v>
      </c>
      <c r="B1167" s="16">
        <v>0</v>
      </c>
      <c r="C1167" s="16">
        <v>0</v>
      </c>
      <c r="D1167" s="16">
        <v>0</v>
      </c>
      <c r="E1167" s="16">
        <v>0</v>
      </c>
      <c r="F1167" s="16">
        <v>1</v>
      </c>
      <c r="G1167" s="16">
        <v>1</v>
      </c>
      <c r="H1167" s="16">
        <v>0</v>
      </c>
      <c r="I1167" s="16">
        <f t="shared" si="166"/>
        <v>2</v>
      </c>
    </row>
    <row r="1168" spans="1:9" ht="19.5" thickBot="1" x14ac:dyDescent="0.35">
      <c r="A1168" s="30" t="s">
        <v>15</v>
      </c>
      <c r="B1168" s="31">
        <f t="shared" ref="B1168:H1168" si="167">(B1159+B1158)/B1157*100%</f>
        <v>0.68518518518518523</v>
      </c>
      <c r="C1168" s="31">
        <f t="shared" si="167"/>
        <v>0.66666666666666663</v>
      </c>
      <c r="D1168" s="31">
        <f t="shared" si="167"/>
        <v>0.42592592592592593</v>
      </c>
      <c r="E1168" s="31">
        <f t="shared" si="167"/>
        <v>0.94444444444444442</v>
      </c>
      <c r="F1168" s="31">
        <f t="shared" si="167"/>
        <v>1</v>
      </c>
      <c r="G1168" s="31">
        <f t="shared" si="167"/>
        <v>0.8936170212765957</v>
      </c>
      <c r="H1168" s="31">
        <f t="shared" si="167"/>
        <v>0.4375</v>
      </c>
      <c r="I1168" s="32">
        <f>(B1168+C1168+D1168+E1168+F1168+G1168+H1168)/7</f>
        <v>0.72190560621411681</v>
      </c>
    </row>
    <row r="1169" spans="1:9" x14ac:dyDescent="0.3">
      <c r="A1169" s="67" t="s">
        <v>16</v>
      </c>
      <c r="B1169" s="16"/>
      <c r="C1169" s="17"/>
      <c r="D1169" s="16"/>
      <c r="E1169" s="18"/>
      <c r="F1169" s="16"/>
      <c r="G1169" s="16"/>
      <c r="H1169" s="16"/>
      <c r="I1169" s="16"/>
    </row>
    <row r="1170" spans="1:9" x14ac:dyDescent="0.3">
      <c r="A1170" s="15" t="s">
        <v>34</v>
      </c>
      <c r="B1170" s="28">
        <v>22929.640800000001</v>
      </c>
      <c r="C1170" s="28">
        <v>25378.8289</v>
      </c>
      <c r="D1170" s="28">
        <v>19235.5105</v>
      </c>
      <c r="E1170" s="28">
        <v>6794.2686000000003</v>
      </c>
      <c r="F1170" s="28">
        <v>8869.1649000000016</v>
      </c>
      <c r="G1170" s="28">
        <v>29109.413400000005</v>
      </c>
      <c r="H1170" s="28">
        <v>13547.854000000001</v>
      </c>
      <c r="I1170" s="19">
        <f>SUM(B1170:H1170)</f>
        <v>125864.68110000002</v>
      </c>
    </row>
    <row r="1171" spans="1:9" x14ac:dyDescent="0.3">
      <c r="A1171" s="15" t="s">
        <v>35</v>
      </c>
      <c r="B1171" s="28">
        <v>0</v>
      </c>
      <c r="C1171" s="28">
        <v>0</v>
      </c>
      <c r="D1171" s="28">
        <v>0</v>
      </c>
      <c r="E1171" s="28">
        <v>18267.872500000001</v>
      </c>
      <c r="F1171" s="28">
        <v>19887.679900000003</v>
      </c>
      <c r="G1171" s="28">
        <v>0</v>
      </c>
      <c r="H1171" s="28">
        <v>0</v>
      </c>
      <c r="I1171" s="19">
        <f>SUM(B1171:H1171)</f>
        <v>38155.5524</v>
      </c>
    </row>
    <row r="1172" spans="1:9" ht="19.5" thickBot="1" x14ac:dyDescent="0.35">
      <c r="A1172" s="15" t="s">
        <v>20</v>
      </c>
      <c r="B1172" s="28">
        <v>58816.396800000002</v>
      </c>
      <c r="C1172" s="28">
        <v>22164.776000000002</v>
      </c>
      <c r="D1172" s="28">
        <v>59805.831200000008</v>
      </c>
      <c r="E1172" s="28">
        <v>50914.539199999999</v>
      </c>
      <c r="F1172" s="28">
        <v>40707.022400000002</v>
      </c>
      <c r="G1172" s="28">
        <v>79164.430800000002</v>
      </c>
      <c r="H1172" s="28">
        <v>20260.7552</v>
      </c>
      <c r="I1172" s="19">
        <f>SUM(B1172:H1172)</f>
        <v>331833.75160000008</v>
      </c>
    </row>
    <row r="1173" spans="1:9" x14ac:dyDescent="0.3">
      <c r="A1173" s="55" t="s">
        <v>7</v>
      </c>
      <c r="B1173" s="56">
        <f t="shared" ref="B1173:I1173" si="168">SUM(B1170:B1172)</f>
        <v>81746.037600000011</v>
      </c>
      <c r="C1173" s="56">
        <f t="shared" si="168"/>
        <v>47543.604900000006</v>
      </c>
      <c r="D1173" s="56">
        <f t="shared" si="168"/>
        <v>79041.341700000004</v>
      </c>
      <c r="E1173" s="56">
        <f t="shared" si="168"/>
        <v>75976.680300000007</v>
      </c>
      <c r="F1173" s="56">
        <f t="shared" si="168"/>
        <v>69463.867200000008</v>
      </c>
      <c r="G1173" s="56">
        <f t="shared" si="168"/>
        <v>108273.84420000001</v>
      </c>
      <c r="H1173" s="56">
        <f t="shared" si="168"/>
        <v>33808.609199999999</v>
      </c>
      <c r="I1173" s="56">
        <f t="shared" si="168"/>
        <v>495853.98510000011</v>
      </c>
    </row>
    <row r="1175" spans="1:9" x14ac:dyDescent="0.3">
      <c r="A1175" s="4" t="s">
        <v>101</v>
      </c>
      <c r="B1175" s="5" t="s">
        <v>0</v>
      </c>
      <c r="C1175" s="5" t="s">
        <v>1</v>
      </c>
      <c r="D1175" s="5" t="s">
        <v>2</v>
      </c>
      <c r="E1175" s="6" t="s">
        <v>3</v>
      </c>
      <c r="F1175" s="5" t="s">
        <v>4</v>
      </c>
      <c r="G1175" s="5" t="s">
        <v>5</v>
      </c>
      <c r="H1175" s="5" t="s">
        <v>6</v>
      </c>
      <c r="I1175" s="5" t="s">
        <v>7</v>
      </c>
    </row>
    <row r="1176" spans="1:9" x14ac:dyDescent="0.3">
      <c r="A1176" s="7"/>
      <c r="B1176" s="8">
        <v>45656</v>
      </c>
      <c r="C1176" s="8">
        <v>45657</v>
      </c>
      <c r="D1176" s="8">
        <v>45658</v>
      </c>
      <c r="E1176" s="8">
        <v>45659</v>
      </c>
      <c r="F1176" s="8">
        <v>45660</v>
      </c>
      <c r="G1176" s="8">
        <v>45661</v>
      </c>
      <c r="H1176" s="8">
        <v>45662</v>
      </c>
      <c r="I1176" s="9"/>
    </row>
    <row r="1177" spans="1:9" ht="19.5" thickBot="1" x14ac:dyDescent="0.35">
      <c r="A1177" s="10" t="s">
        <v>8</v>
      </c>
      <c r="B1177" s="11" t="s">
        <v>9</v>
      </c>
      <c r="C1177" s="11" t="s">
        <v>9</v>
      </c>
      <c r="D1177" s="11" t="s">
        <v>9</v>
      </c>
      <c r="E1177" s="11" t="s">
        <v>9</v>
      </c>
      <c r="F1177" s="11" t="s">
        <v>9</v>
      </c>
      <c r="G1177" s="11" t="s">
        <v>9</v>
      </c>
      <c r="H1177" s="43" t="s">
        <v>9</v>
      </c>
      <c r="I1177" s="44" t="s">
        <v>9</v>
      </c>
    </row>
    <row r="1178" spans="1:9" x14ac:dyDescent="0.3">
      <c r="A1178" s="13" t="s">
        <v>10</v>
      </c>
      <c r="B1178" s="14">
        <v>54</v>
      </c>
      <c r="C1178" s="14">
        <v>54</v>
      </c>
      <c r="D1178" s="14">
        <v>54</v>
      </c>
      <c r="E1178" s="14">
        <v>54</v>
      </c>
      <c r="F1178" s="14">
        <v>54</v>
      </c>
      <c r="G1178" s="14">
        <v>47</v>
      </c>
      <c r="H1178" s="14">
        <v>48</v>
      </c>
      <c r="I1178" s="16"/>
    </row>
    <row r="1179" spans="1:9" x14ac:dyDescent="0.3">
      <c r="A1179" s="15" t="s">
        <v>11</v>
      </c>
      <c r="B1179" s="16">
        <v>0</v>
      </c>
      <c r="C1179" s="16">
        <v>0</v>
      </c>
      <c r="D1179" s="16">
        <v>0</v>
      </c>
      <c r="E1179" s="16">
        <v>0</v>
      </c>
      <c r="F1179" s="16">
        <v>0</v>
      </c>
      <c r="G1179" s="16">
        <v>0</v>
      </c>
      <c r="H1179" s="16">
        <v>0</v>
      </c>
      <c r="I1179" s="16">
        <f>SUM(B1179:H1179)</f>
        <v>0</v>
      </c>
    </row>
    <row r="1180" spans="1:9" x14ac:dyDescent="0.3">
      <c r="A1180" s="15" t="s">
        <v>12</v>
      </c>
      <c r="B1180" s="16">
        <v>0</v>
      </c>
      <c r="C1180" s="16">
        <v>0</v>
      </c>
      <c r="D1180" s="16">
        <v>0</v>
      </c>
      <c r="E1180" s="16">
        <v>0</v>
      </c>
      <c r="F1180" s="16">
        <v>0</v>
      </c>
      <c r="G1180" s="16">
        <v>0</v>
      </c>
      <c r="H1180" s="16">
        <v>0</v>
      </c>
      <c r="I1180" s="16">
        <f>SUM(B1180:H1180)</f>
        <v>0</v>
      </c>
    </row>
    <row r="1181" spans="1:9" x14ac:dyDescent="0.3">
      <c r="A1181" s="15" t="s">
        <v>30</v>
      </c>
      <c r="B1181" s="16">
        <v>0</v>
      </c>
      <c r="C1181" s="16">
        <v>0</v>
      </c>
      <c r="D1181" s="16">
        <v>0</v>
      </c>
      <c r="E1181" s="16">
        <v>0</v>
      </c>
      <c r="F1181" s="16">
        <v>0</v>
      </c>
      <c r="G1181" s="16">
        <v>0</v>
      </c>
      <c r="H1181" s="16">
        <v>0</v>
      </c>
      <c r="I1181" s="16">
        <f>SUM(B1181:H1181)</f>
        <v>0</v>
      </c>
    </row>
    <row r="1182" spans="1:9" x14ac:dyDescent="0.3">
      <c r="A1182" s="15" t="s">
        <v>28</v>
      </c>
      <c r="B1182" s="16">
        <v>0</v>
      </c>
      <c r="C1182" s="16">
        <v>0</v>
      </c>
      <c r="D1182" s="16">
        <v>0</v>
      </c>
      <c r="E1182" s="16">
        <v>0</v>
      </c>
      <c r="F1182" s="16">
        <v>0</v>
      </c>
      <c r="G1182" s="16">
        <v>0</v>
      </c>
      <c r="H1182" s="16">
        <v>0</v>
      </c>
      <c r="I1182" s="16">
        <f>SUM(B1182:H1182)</f>
        <v>0</v>
      </c>
    </row>
    <row r="1183" spans="1:9" x14ac:dyDescent="0.3">
      <c r="A1183" s="15" t="s">
        <v>29</v>
      </c>
      <c r="B1183" s="16">
        <v>0</v>
      </c>
      <c r="C1183" s="16">
        <v>0</v>
      </c>
      <c r="D1183" s="16">
        <v>0</v>
      </c>
      <c r="E1183" s="16">
        <v>0</v>
      </c>
      <c r="F1183" s="16">
        <v>0</v>
      </c>
      <c r="G1183" s="16">
        <v>0</v>
      </c>
      <c r="H1183" s="16">
        <v>0</v>
      </c>
      <c r="I1183" s="16">
        <f>SUM(B1183:H1183)</f>
        <v>0</v>
      </c>
    </row>
    <row r="1184" spans="1:9" x14ac:dyDescent="0.3">
      <c r="A1184" s="15" t="s">
        <v>31</v>
      </c>
      <c r="B1184" s="16">
        <v>0</v>
      </c>
      <c r="C1184" s="16">
        <v>0</v>
      </c>
      <c r="D1184" s="16">
        <v>0</v>
      </c>
      <c r="E1184" s="16">
        <v>0</v>
      </c>
      <c r="F1184" s="16">
        <v>0</v>
      </c>
      <c r="G1184" s="16">
        <v>0</v>
      </c>
      <c r="H1184" s="16">
        <v>0</v>
      </c>
      <c r="I1184" s="16">
        <f t="shared" ref="I1184:I1188" si="169">SUM(B1184:H1184)</f>
        <v>0</v>
      </c>
    </row>
    <row r="1185" spans="1:9" x14ac:dyDescent="0.3">
      <c r="A1185" s="15" t="s">
        <v>13</v>
      </c>
      <c r="B1185" s="16">
        <v>0</v>
      </c>
      <c r="C1185" s="16">
        <v>0</v>
      </c>
      <c r="D1185" s="16">
        <v>0</v>
      </c>
      <c r="E1185" s="16">
        <v>0</v>
      </c>
      <c r="F1185" s="16">
        <v>0</v>
      </c>
      <c r="G1185" s="16">
        <v>0</v>
      </c>
      <c r="H1185" s="16">
        <v>0</v>
      </c>
      <c r="I1185" s="16">
        <f t="shared" si="169"/>
        <v>0</v>
      </c>
    </row>
    <row r="1186" spans="1:9" x14ac:dyDescent="0.3">
      <c r="A1186" s="15" t="s">
        <v>14</v>
      </c>
      <c r="B1186" s="16">
        <v>0</v>
      </c>
      <c r="C1186" s="16">
        <v>0</v>
      </c>
      <c r="D1186" s="16">
        <v>0</v>
      </c>
      <c r="E1186" s="16">
        <v>0</v>
      </c>
      <c r="F1186" s="16">
        <v>0</v>
      </c>
      <c r="G1186" s="16">
        <v>0</v>
      </c>
      <c r="H1186" s="16">
        <v>0</v>
      </c>
      <c r="I1186" s="16">
        <f t="shared" si="169"/>
        <v>0</v>
      </c>
    </row>
    <row r="1187" spans="1:9" x14ac:dyDescent="0.3">
      <c r="A1187" s="15" t="s">
        <v>32</v>
      </c>
      <c r="B1187" s="16">
        <v>0</v>
      </c>
      <c r="C1187" s="16">
        <v>0</v>
      </c>
      <c r="D1187" s="16">
        <v>0</v>
      </c>
      <c r="E1187" s="16">
        <v>0</v>
      </c>
      <c r="F1187" s="16">
        <v>0</v>
      </c>
      <c r="G1187" s="16">
        <v>0</v>
      </c>
      <c r="H1187" s="16">
        <v>0</v>
      </c>
      <c r="I1187" s="16">
        <f t="shared" si="169"/>
        <v>0</v>
      </c>
    </row>
    <row r="1188" spans="1:9" x14ac:dyDescent="0.3">
      <c r="A1188" s="15" t="s">
        <v>33</v>
      </c>
      <c r="B1188" s="16">
        <v>0</v>
      </c>
      <c r="C1188" s="16">
        <v>0</v>
      </c>
      <c r="D1188" s="16">
        <v>0</v>
      </c>
      <c r="E1188" s="16">
        <v>0</v>
      </c>
      <c r="F1188" s="16">
        <v>0</v>
      </c>
      <c r="G1188" s="16">
        <v>0</v>
      </c>
      <c r="H1188" s="16">
        <v>0</v>
      </c>
      <c r="I1188" s="16">
        <f t="shared" si="169"/>
        <v>0</v>
      </c>
    </row>
    <row r="1189" spans="1:9" ht="19.5" thickBot="1" x14ac:dyDescent="0.35">
      <c r="A1189" s="30" t="s">
        <v>15</v>
      </c>
      <c r="B1189" s="31">
        <f t="shared" ref="B1189:H1189" si="170">(B1180+B1179)/B1178*100%</f>
        <v>0</v>
      </c>
      <c r="C1189" s="31">
        <f t="shared" si="170"/>
        <v>0</v>
      </c>
      <c r="D1189" s="31">
        <f t="shared" si="170"/>
        <v>0</v>
      </c>
      <c r="E1189" s="31">
        <f t="shared" si="170"/>
        <v>0</v>
      </c>
      <c r="F1189" s="31">
        <f t="shared" si="170"/>
        <v>0</v>
      </c>
      <c r="G1189" s="31">
        <f t="shared" si="170"/>
        <v>0</v>
      </c>
      <c r="H1189" s="31">
        <f t="shared" si="170"/>
        <v>0</v>
      </c>
      <c r="I1189" s="32">
        <f>(B1189+C1189+D1189+E1189+F1189+G1189+H1189)/7</f>
        <v>0</v>
      </c>
    </row>
    <row r="1190" spans="1:9" x14ac:dyDescent="0.3">
      <c r="A1190" s="67" t="s">
        <v>16</v>
      </c>
      <c r="B1190" s="16"/>
      <c r="C1190" s="17"/>
      <c r="D1190" s="16"/>
      <c r="E1190" s="18"/>
      <c r="F1190" s="16"/>
      <c r="G1190" s="16"/>
      <c r="H1190" s="16"/>
      <c r="I1190" s="16"/>
    </row>
    <row r="1191" spans="1:9" x14ac:dyDescent="0.3">
      <c r="A1191" s="15" t="s">
        <v>34</v>
      </c>
      <c r="B1191" s="28">
        <v>0</v>
      </c>
      <c r="C1191" s="28">
        <v>0</v>
      </c>
      <c r="D1191" s="28">
        <v>0</v>
      </c>
      <c r="E1191" s="28">
        <v>0</v>
      </c>
      <c r="F1191" s="28">
        <v>0</v>
      </c>
      <c r="G1191" s="28">
        <v>0</v>
      </c>
      <c r="H1191" s="28">
        <v>0</v>
      </c>
      <c r="I1191" s="19">
        <f>SUM(B1191:H1191)</f>
        <v>0</v>
      </c>
    </row>
    <row r="1192" spans="1:9" x14ac:dyDescent="0.3">
      <c r="A1192" s="15" t="s">
        <v>35</v>
      </c>
      <c r="B1192" s="28">
        <v>0</v>
      </c>
      <c r="C1192" s="28">
        <v>0</v>
      </c>
      <c r="D1192" s="28">
        <v>0</v>
      </c>
      <c r="E1192" s="28">
        <v>0</v>
      </c>
      <c r="F1192" s="28">
        <v>0</v>
      </c>
      <c r="G1192" s="28">
        <v>0</v>
      </c>
      <c r="H1192" s="28">
        <v>0</v>
      </c>
      <c r="I1192" s="19">
        <f>SUM(B1192:H1192)</f>
        <v>0</v>
      </c>
    </row>
    <row r="1193" spans="1:9" ht="19.5" thickBot="1" x14ac:dyDescent="0.35">
      <c r="A1193" s="15" t="s">
        <v>20</v>
      </c>
      <c r="B1193" s="28">
        <v>0</v>
      </c>
      <c r="C1193" s="28">
        <v>0</v>
      </c>
      <c r="D1193" s="28">
        <v>0</v>
      </c>
      <c r="E1193" s="28">
        <v>0</v>
      </c>
      <c r="F1193" s="28">
        <v>0</v>
      </c>
      <c r="G1193" s="28">
        <v>0</v>
      </c>
      <c r="H1193" s="28">
        <v>0</v>
      </c>
      <c r="I1193" s="19">
        <f>SUM(B1193:H1193)</f>
        <v>0</v>
      </c>
    </row>
    <row r="1194" spans="1:9" x14ac:dyDescent="0.3">
      <c r="A1194" s="55" t="s">
        <v>7</v>
      </c>
      <c r="B1194" s="56">
        <f t="shared" ref="B1194:I1194" si="171">SUM(B1191:B1193)</f>
        <v>0</v>
      </c>
      <c r="C1194" s="56">
        <f t="shared" si="171"/>
        <v>0</v>
      </c>
      <c r="D1194" s="56">
        <f t="shared" si="171"/>
        <v>0</v>
      </c>
      <c r="E1194" s="56">
        <f t="shared" si="171"/>
        <v>0</v>
      </c>
      <c r="F1194" s="56">
        <f t="shared" si="171"/>
        <v>0</v>
      </c>
      <c r="G1194" s="56">
        <f t="shared" si="171"/>
        <v>0</v>
      </c>
      <c r="H1194" s="56">
        <f t="shared" si="171"/>
        <v>0</v>
      </c>
      <c r="I1194" s="56">
        <f t="shared" si="171"/>
        <v>0</v>
      </c>
    </row>
  </sheetData>
  <mergeCells count="2">
    <mergeCell ref="B8:F8"/>
    <mergeCell ref="B9:F9"/>
  </mergeCells>
  <pageMargins left="0.70866141732283505" right="0.70866141732283505" top="0.74803149606299202" bottom="0.74803149606299202" header="0.31496062992126" footer="0.31496062992126"/>
  <pageSetup paperSize="9" scale="70" orientation="landscape" r:id="rId1"/>
  <rowBreaks count="40" manualBreakCount="40">
    <brk id="30" max="8" man="1"/>
    <brk id="53" max="8" man="1"/>
    <brk id="76" max="8" man="1"/>
    <brk id="100" max="8" man="1"/>
    <brk id="123" max="8" man="1"/>
    <brk id="146" max="8" man="1"/>
    <brk id="169" max="8" man="1"/>
    <brk id="191" max="8" man="1"/>
    <brk id="214" max="8" man="1"/>
    <brk id="236" max="8" man="1"/>
    <brk id="259" max="8" man="1"/>
    <brk id="282" max="8" man="1"/>
    <brk id="305" max="8" man="1"/>
    <brk id="348" max="8" man="1"/>
    <brk id="371" max="8" man="1"/>
    <brk id="392" max="8" man="1"/>
    <brk id="414" max="8" man="1"/>
    <brk id="435" max="8" man="1"/>
    <brk id="458" max="8" man="1"/>
    <brk id="479" max="8" man="1"/>
    <brk id="502" max="8" man="1"/>
    <brk id="524" max="8" man="1"/>
    <brk id="568" max="8" man="1"/>
    <brk id="590" max="8" man="1"/>
    <brk id="613" max="8" man="1"/>
    <brk id="634" max="8" man="1"/>
    <brk id="658" max="8" man="1"/>
    <brk id="679" max="8" man="1"/>
    <brk id="702" max="8" man="1"/>
    <brk id="723" max="8" man="1"/>
    <brk id="745" max="8" man="1"/>
    <brk id="786" max="8" man="1"/>
    <brk id="830" max="8" man="1"/>
    <brk id="873" max="8" man="1"/>
    <brk id="917" max="8" man="1"/>
    <brk id="961" max="8" man="1"/>
    <brk id="1026" max="8" man="1"/>
    <brk id="1047" max="8" man="1"/>
    <brk id="1068" max="8" man="1"/>
    <brk id="1089" max="8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54"/>
  <sheetViews>
    <sheetView topLeftCell="A36" workbookViewId="0">
      <selection activeCell="I49" sqref="I49"/>
    </sheetView>
  </sheetViews>
  <sheetFormatPr defaultRowHeight="15" x14ac:dyDescent="0.25"/>
  <cols>
    <col min="2" max="2" width="10.7109375" customWidth="1"/>
    <col min="3" max="3" width="13.28515625" customWidth="1"/>
    <col min="4" max="4" width="23.7109375" customWidth="1"/>
    <col min="8" max="8" width="18.5703125" customWidth="1"/>
    <col min="9" max="9" width="21.85546875" customWidth="1"/>
  </cols>
  <sheetData>
    <row r="1" spans="2:9" ht="15.75" thickBot="1" x14ac:dyDescent="0.3"/>
    <row r="2" spans="2:9" ht="19.5" thickBot="1" x14ac:dyDescent="0.35">
      <c r="B2" s="84">
        <v>45292</v>
      </c>
      <c r="C2" s="85"/>
      <c r="D2" s="86"/>
      <c r="G2" s="84">
        <v>45324</v>
      </c>
      <c r="H2" s="85"/>
      <c r="I2" s="86"/>
    </row>
    <row r="3" spans="2:9" ht="19.5" thickBot="1" x14ac:dyDescent="0.35">
      <c r="B3" s="79" t="s">
        <v>16</v>
      </c>
      <c r="C3" s="80"/>
      <c r="D3" s="47" t="s">
        <v>65</v>
      </c>
      <c r="G3" s="79" t="s">
        <v>16</v>
      </c>
      <c r="H3" s="80"/>
      <c r="I3" s="47" t="s">
        <v>65</v>
      </c>
    </row>
    <row r="4" spans="2:9" ht="18.75" x14ac:dyDescent="0.3">
      <c r="B4" s="81" t="s">
        <v>17</v>
      </c>
      <c r="C4" s="82"/>
      <c r="D4" s="49">
        <v>1475441.4964999999</v>
      </c>
      <c r="G4" s="81" t="s">
        <v>17</v>
      </c>
      <c r="H4" s="82"/>
      <c r="I4" s="49">
        <v>611860.15899999999</v>
      </c>
    </row>
    <row r="5" spans="2:9" ht="18.75" x14ac:dyDescent="0.3">
      <c r="B5" s="81" t="s">
        <v>18</v>
      </c>
      <c r="C5" s="82"/>
      <c r="D5" s="49">
        <v>1693646.1392000001</v>
      </c>
      <c r="G5" s="81" t="s">
        <v>18</v>
      </c>
      <c r="H5" s="82"/>
      <c r="I5" s="49">
        <v>762335.89964999992</v>
      </c>
    </row>
    <row r="6" spans="2:9" ht="18.75" x14ac:dyDescent="0.3">
      <c r="B6" s="81" t="s">
        <v>19</v>
      </c>
      <c r="C6" s="82"/>
      <c r="D6" s="49">
        <v>1041146.4291</v>
      </c>
      <c r="G6" s="81" t="s">
        <v>19</v>
      </c>
      <c r="H6" s="82"/>
      <c r="I6" s="49">
        <v>477760.96094999998</v>
      </c>
    </row>
    <row r="7" spans="2:9" ht="18.75" x14ac:dyDescent="0.3">
      <c r="B7" s="81" t="s">
        <v>21</v>
      </c>
      <c r="C7" s="82"/>
      <c r="D7" s="49">
        <v>175267.76719999997</v>
      </c>
      <c r="G7" s="81" t="s">
        <v>21</v>
      </c>
      <c r="H7" s="82"/>
      <c r="I7" s="49">
        <v>54357.729600000006</v>
      </c>
    </row>
    <row r="8" spans="2:9" ht="18.75" x14ac:dyDescent="0.3">
      <c r="B8" s="81" t="s">
        <v>22</v>
      </c>
      <c r="C8" s="82"/>
      <c r="D8" s="49">
        <v>13695.689999999999</v>
      </c>
      <c r="G8" s="81" t="s">
        <v>22</v>
      </c>
      <c r="H8" s="82"/>
      <c r="I8" s="49">
        <v>12500</v>
      </c>
    </row>
    <row r="9" spans="2:9" ht="19.5" thickBot="1" x14ac:dyDescent="0.35">
      <c r="B9" s="81" t="s">
        <v>63</v>
      </c>
      <c r="C9" s="82"/>
      <c r="D9" s="49">
        <v>905503.67099999997</v>
      </c>
      <c r="G9" s="81" t="s">
        <v>63</v>
      </c>
      <c r="H9" s="82"/>
      <c r="I9" s="49">
        <v>428835.82780000003</v>
      </c>
    </row>
    <row r="10" spans="2:9" ht="19.5" thickBot="1" x14ac:dyDescent="0.35">
      <c r="B10" s="83" t="s">
        <v>64</v>
      </c>
      <c r="C10" s="80"/>
      <c r="D10" s="51">
        <f>SUM(D4:D9)</f>
        <v>5304701.193</v>
      </c>
      <c r="G10" s="83" t="s">
        <v>64</v>
      </c>
      <c r="H10" s="80"/>
      <c r="I10" s="51">
        <f>SUM(I4:I9)</f>
        <v>2347650.577</v>
      </c>
    </row>
    <row r="12" spans="2:9" ht="15.75" thickBot="1" x14ac:dyDescent="0.3"/>
    <row r="13" spans="2:9" ht="19.5" thickBot="1" x14ac:dyDescent="0.35">
      <c r="B13" s="84">
        <v>45352</v>
      </c>
      <c r="C13" s="85"/>
      <c r="D13" s="86"/>
      <c r="G13" s="84">
        <v>45383</v>
      </c>
      <c r="H13" s="85"/>
      <c r="I13" s="86"/>
    </row>
    <row r="14" spans="2:9" ht="19.5" thickBot="1" x14ac:dyDescent="0.35">
      <c r="B14" s="79" t="s">
        <v>16</v>
      </c>
      <c r="C14" s="80"/>
      <c r="D14" s="47" t="s">
        <v>65</v>
      </c>
      <c r="G14" s="79" t="s">
        <v>16</v>
      </c>
      <c r="H14" s="80"/>
      <c r="I14" s="47" t="s">
        <v>65</v>
      </c>
    </row>
    <row r="15" spans="2:9" ht="18.75" x14ac:dyDescent="0.3">
      <c r="B15" s="81" t="s">
        <v>17</v>
      </c>
      <c r="C15" s="82"/>
      <c r="D15" s="49">
        <v>831605.35850000009</v>
      </c>
      <c r="G15" s="81" t="s">
        <v>17</v>
      </c>
      <c r="H15" s="82"/>
      <c r="I15" s="49">
        <v>887896.7080000001</v>
      </c>
    </row>
    <row r="16" spans="2:9" ht="18.75" x14ac:dyDescent="0.3">
      <c r="B16" s="81" t="s">
        <v>18</v>
      </c>
      <c r="C16" s="82"/>
      <c r="D16" s="49">
        <v>1010713.0160000001</v>
      </c>
      <c r="G16" s="81" t="s">
        <v>18</v>
      </c>
      <c r="H16" s="82"/>
      <c r="I16" s="49">
        <v>1100047.9902000001</v>
      </c>
    </row>
    <row r="17" spans="2:9" ht="18.75" x14ac:dyDescent="0.3">
      <c r="B17" s="81" t="s">
        <v>19</v>
      </c>
      <c r="C17" s="82"/>
      <c r="D17" s="49">
        <v>669671.17910000018</v>
      </c>
      <c r="G17" s="81" t="s">
        <v>19</v>
      </c>
      <c r="H17" s="82"/>
      <c r="I17" s="49">
        <v>754313.80599999998</v>
      </c>
    </row>
    <row r="18" spans="2:9" ht="18.75" x14ac:dyDescent="0.3">
      <c r="B18" s="81" t="s">
        <v>21</v>
      </c>
      <c r="C18" s="82"/>
      <c r="D18" s="49">
        <v>48214.354400000011</v>
      </c>
      <c r="G18" s="81" t="s">
        <v>21</v>
      </c>
      <c r="H18" s="82"/>
      <c r="I18" s="49">
        <v>240694.46079999997</v>
      </c>
    </row>
    <row r="19" spans="2:9" ht="18.75" x14ac:dyDescent="0.3">
      <c r="B19" s="81" t="s">
        <v>22</v>
      </c>
      <c r="C19" s="82"/>
      <c r="D19" s="49">
        <v>15014.67</v>
      </c>
      <c r="G19" s="81" t="s">
        <v>22</v>
      </c>
      <c r="H19" s="82"/>
      <c r="I19" s="49">
        <v>813.68</v>
      </c>
    </row>
    <row r="20" spans="2:9" ht="19.5" thickBot="1" x14ac:dyDescent="0.35">
      <c r="B20" s="81" t="s">
        <v>63</v>
      </c>
      <c r="C20" s="82"/>
      <c r="D20" s="49">
        <v>562435.93200000015</v>
      </c>
      <c r="G20" s="81" t="s">
        <v>63</v>
      </c>
      <c r="H20" s="82"/>
      <c r="I20" s="49">
        <v>573908.38500000001</v>
      </c>
    </row>
    <row r="21" spans="2:9" ht="19.5" thickBot="1" x14ac:dyDescent="0.35">
      <c r="B21" s="83" t="s">
        <v>64</v>
      </c>
      <c r="C21" s="80"/>
      <c r="D21" s="51">
        <f>SUM(D15:D20)</f>
        <v>3137654.5100000002</v>
      </c>
      <c r="G21" s="83" t="s">
        <v>64</v>
      </c>
      <c r="H21" s="80"/>
      <c r="I21" s="51">
        <f>SUM(I15:I20)</f>
        <v>3557675.0300000003</v>
      </c>
    </row>
    <row r="23" spans="2:9" ht="15.75" thickBot="1" x14ac:dyDescent="0.3"/>
    <row r="24" spans="2:9" ht="18.600000000000001" customHeight="1" thickBot="1" x14ac:dyDescent="0.35">
      <c r="B24" s="84">
        <v>45413</v>
      </c>
      <c r="C24" s="85"/>
      <c r="D24" s="86"/>
    </row>
    <row r="25" spans="2:9" ht="19.5" thickBot="1" x14ac:dyDescent="0.35">
      <c r="B25" s="79" t="s">
        <v>16</v>
      </c>
      <c r="C25" s="80"/>
      <c r="D25" s="47" t="s">
        <v>65</v>
      </c>
      <c r="G25" s="84" t="s">
        <v>74</v>
      </c>
      <c r="H25" s="85"/>
      <c r="I25" s="86"/>
    </row>
    <row r="26" spans="2:9" ht="19.5" thickBot="1" x14ac:dyDescent="0.35">
      <c r="B26" s="81" t="s">
        <v>17</v>
      </c>
      <c r="C26" s="82"/>
      <c r="D26" s="48">
        <v>1184167.2354999997</v>
      </c>
      <c r="G26" s="79" t="s">
        <v>16</v>
      </c>
      <c r="H26" s="80"/>
      <c r="I26" s="47" t="s">
        <v>65</v>
      </c>
    </row>
    <row r="27" spans="2:9" ht="18.75" x14ac:dyDescent="0.3">
      <c r="B27" s="81" t="s">
        <v>18</v>
      </c>
      <c r="C27" s="82"/>
      <c r="D27" s="49">
        <v>1350952.9294000003</v>
      </c>
      <c r="G27" s="81" t="s">
        <v>17</v>
      </c>
      <c r="H27" s="82"/>
      <c r="I27" s="49">
        <f>D4+I4+D15+I15+D26+D37</f>
        <v>5813514.0074999994</v>
      </c>
    </row>
    <row r="28" spans="2:9" ht="18.75" x14ac:dyDescent="0.3">
      <c r="B28" s="81" t="s">
        <v>19</v>
      </c>
      <c r="C28" s="82"/>
      <c r="D28" s="49">
        <v>939538.96169999975</v>
      </c>
      <c r="G28" s="81" t="s">
        <v>18</v>
      </c>
      <c r="H28" s="82"/>
      <c r="I28" s="49">
        <f>D5+I5+D16+I16+D27+D38</f>
        <v>6966808.4244499998</v>
      </c>
    </row>
    <row r="29" spans="2:9" ht="18.75" x14ac:dyDescent="0.3">
      <c r="B29" s="81" t="s">
        <v>21</v>
      </c>
      <c r="C29" s="82"/>
      <c r="D29" s="49">
        <v>226535.43839999998</v>
      </c>
      <c r="G29" s="81" t="s">
        <v>19</v>
      </c>
      <c r="H29" s="82"/>
      <c r="I29" s="49">
        <f>D17+I17+D28+D39+D6+I6</f>
        <v>4529402.8568500001</v>
      </c>
    </row>
    <row r="30" spans="2:9" ht="18.75" x14ac:dyDescent="0.3">
      <c r="B30" s="81" t="s">
        <v>22</v>
      </c>
      <c r="C30" s="82"/>
      <c r="D30" s="49">
        <v>10000</v>
      </c>
      <c r="G30" s="81" t="s">
        <v>21</v>
      </c>
      <c r="H30" s="82"/>
      <c r="I30" s="49">
        <f>D7+I7+D18+I18+D29+D40</f>
        <v>827050.3703999999</v>
      </c>
    </row>
    <row r="31" spans="2:9" ht="19.5" thickBot="1" x14ac:dyDescent="0.35">
      <c r="B31" s="81" t="s">
        <v>63</v>
      </c>
      <c r="C31" s="82"/>
      <c r="D31" s="50">
        <v>647889.21900000004</v>
      </c>
      <c r="G31" s="81" t="s">
        <v>22</v>
      </c>
      <c r="H31" s="82"/>
      <c r="I31" s="49">
        <f>D8+I8+D19+I19+D30+D41</f>
        <v>60024.04</v>
      </c>
    </row>
    <row r="32" spans="2:9" ht="19.5" thickBot="1" x14ac:dyDescent="0.35">
      <c r="B32" s="83" t="s">
        <v>64</v>
      </c>
      <c r="C32" s="80"/>
      <c r="D32" s="51">
        <f>SUM(D26:D31)</f>
        <v>4359083.784</v>
      </c>
      <c r="G32" s="81" t="s">
        <v>63</v>
      </c>
      <c r="H32" s="82"/>
      <c r="I32" s="49">
        <f>D9+I9+D20+I20+D31+D42</f>
        <v>3705116.8747999999</v>
      </c>
    </row>
    <row r="33" spans="2:9" ht="19.5" thickBot="1" x14ac:dyDescent="0.35">
      <c r="G33" s="83" t="s">
        <v>64</v>
      </c>
      <c r="H33" s="80"/>
      <c r="I33" s="51">
        <f>SUM(I27:I32)</f>
        <v>21901916.574000001</v>
      </c>
    </row>
    <row r="34" spans="2:9" ht="15.75" thickBot="1" x14ac:dyDescent="0.3"/>
    <row r="35" spans="2:9" ht="19.5" thickBot="1" x14ac:dyDescent="0.35">
      <c r="B35" s="84">
        <v>45444</v>
      </c>
      <c r="C35" s="85"/>
      <c r="D35" s="86"/>
      <c r="G35" s="84">
        <v>45474</v>
      </c>
      <c r="H35" s="85"/>
      <c r="I35" s="86"/>
    </row>
    <row r="36" spans="2:9" ht="19.5" thickBot="1" x14ac:dyDescent="0.35">
      <c r="B36" s="79" t="s">
        <v>16</v>
      </c>
      <c r="C36" s="80"/>
      <c r="D36" s="47" t="s">
        <v>65</v>
      </c>
      <c r="G36" s="79" t="s">
        <v>16</v>
      </c>
      <c r="H36" s="80"/>
      <c r="I36" s="47" t="s">
        <v>65</v>
      </c>
    </row>
    <row r="37" spans="2:9" ht="18.75" x14ac:dyDescent="0.3">
      <c r="B37" s="81" t="s">
        <v>17</v>
      </c>
      <c r="C37" s="82"/>
      <c r="D37" s="48">
        <f>800939.84+21603.21</f>
        <v>822543.04999999993</v>
      </c>
      <c r="G37" s="81" t="s">
        <v>17</v>
      </c>
      <c r="H37" s="82"/>
      <c r="I37" s="48">
        <f>800939.84+21603.21</f>
        <v>822543.04999999993</v>
      </c>
    </row>
    <row r="38" spans="2:9" ht="18.75" x14ac:dyDescent="0.3">
      <c r="B38" s="81" t="s">
        <v>18</v>
      </c>
      <c r="C38" s="82"/>
      <c r="D38" s="49">
        <v>1049112.45</v>
      </c>
      <c r="G38" s="81" t="s">
        <v>18</v>
      </c>
      <c r="H38" s="82"/>
      <c r="I38" s="49">
        <v>1049112.45</v>
      </c>
    </row>
    <row r="39" spans="2:9" ht="18.75" x14ac:dyDescent="0.3">
      <c r="B39" s="81" t="s">
        <v>19</v>
      </c>
      <c r="C39" s="82"/>
      <c r="D39" s="49">
        <f>435275.59+210695.93+1000</f>
        <v>646971.52</v>
      </c>
      <c r="G39" s="81" t="s">
        <v>19</v>
      </c>
      <c r="H39" s="82"/>
      <c r="I39" s="49">
        <f>435275.59+210695.93+1000</f>
        <v>646971.52</v>
      </c>
    </row>
    <row r="40" spans="2:9" ht="18.75" x14ac:dyDescent="0.3">
      <c r="B40" s="81" t="s">
        <v>21</v>
      </c>
      <c r="C40" s="82"/>
      <c r="D40" s="49">
        <v>81980.62</v>
      </c>
      <c r="G40" s="81" t="s">
        <v>21</v>
      </c>
      <c r="H40" s="82"/>
      <c r="I40" s="49">
        <v>81980.62</v>
      </c>
    </row>
    <row r="41" spans="2:9" ht="18.75" x14ac:dyDescent="0.3">
      <c r="B41" s="81" t="s">
        <v>22</v>
      </c>
      <c r="C41" s="82"/>
      <c r="D41" s="49">
        <v>8000</v>
      </c>
      <c r="G41" s="81" t="s">
        <v>22</v>
      </c>
      <c r="H41" s="82"/>
      <c r="I41" s="49">
        <v>8000</v>
      </c>
    </row>
    <row r="42" spans="2:9" ht="19.5" thickBot="1" x14ac:dyDescent="0.35">
      <c r="B42" s="81" t="s">
        <v>63</v>
      </c>
      <c r="C42" s="82"/>
      <c r="D42" s="50">
        <v>586543.84</v>
      </c>
      <c r="G42" s="81" t="s">
        <v>63</v>
      </c>
      <c r="H42" s="82"/>
      <c r="I42" s="50">
        <v>586543.84</v>
      </c>
    </row>
    <row r="43" spans="2:9" ht="19.5" thickBot="1" x14ac:dyDescent="0.35">
      <c r="B43" s="83" t="s">
        <v>64</v>
      </c>
      <c r="C43" s="80"/>
      <c r="D43" s="51">
        <f>SUM(D37:D42)</f>
        <v>3195151.48</v>
      </c>
      <c r="G43" s="83" t="s">
        <v>64</v>
      </c>
      <c r="H43" s="80"/>
      <c r="I43" s="51">
        <f>SUM(I37:I42)</f>
        <v>3195151.48</v>
      </c>
    </row>
    <row r="45" spans="2:9" ht="15.75" thickBot="1" x14ac:dyDescent="0.3"/>
    <row r="46" spans="2:9" ht="19.5" thickBot="1" x14ac:dyDescent="0.35">
      <c r="B46" s="84">
        <v>45505</v>
      </c>
      <c r="C46" s="85"/>
      <c r="D46" s="86"/>
    </row>
    <row r="47" spans="2:9" ht="19.5" thickBot="1" x14ac:dyDescent="0.35">
      <c r="B47" s="79" t="s">
        <v>16</v>
      </c>
      <c r="C47" s="80"/>
      <c r="D47" s="47" t="s">
        <v>65</v>
      </c>
    </row>
    <row r="48" spans="2:9" ht="18.75" x14ac:dyDescent="0.3">
      <c r="B48" s="81" t="s">
        <v>17</v>
      </c>
      <c r="C48" s="82"/>
      <c r="D48" s="48">
        <v>2053619.0859999997</v>
      </c>
    </row>
    <row r="49" spans="2:4" ht="18.75" x14ac:dyDescent="0.3">
      <c r="B49" s="81" t="s">
        <v>18</v>
      </c>
      <c r="C49" s="82"/>
      <c r="D49" s="49">
        <v>2363277.9394999999</v>
      </c>
    </row>
    <row r="50" spans="2:4" ht="18.75" x14ac:dyDescent="0.3">
      <c r="B50" s="81" t="s">
        <v>19</v>
      </c>
      <c r="C50" s="82"/>
      <c r="D50" s="49">
        <v>1445019.9787999997</v>
      </c>
    </row>
    <row r="51" spans="2:4" ht="18.75" x14ac:dyDescent="0.3">
      <c r="B51" s="81" t="s">
        <v>21</v>
      </c>
      <c r="C51" s="82"/>
      <c r="D51" s="49">
        <v>167761.69280000005</v>
      </c>
    </row>
    <row r="52" spans="2:4" ht="18.75" x14ac:dyDescent="0.3">
      <c r="B52" s="81" t="s">
        <v>22</v>
      </c>
      <c r="C52" s="82"/>
      <c r="D52" s="49">
        <v>210113.09</v>
      </c>
    </row>
    <row r="53" spans="2:4" ht="19.5" thickBot="1" x14ac:dyDescent="0.35">
      <c r="B53" s="81" t="s">
        <v>63</v>
      </c>
      <c r="C53" s="82"/>
      <c r="D53" s="50">
        <v>1270462.8859000001</v>
      </c>
    </row>
    <row r="54" spans="2:4" ht="19.5" thickBot="1" x14ac:dyDescent="0.35">
      <c r="B54" s="83" t="s">
        <v>64</v>
      </c>
      <c r="C54" s="80"/>
      <c r="D54" s="51">
        <f>SUM(D48:D53)</f>
        <v>7510254.6729999995</v>
      </c>
    </row>
  </sheetData>
  <mergeCells count="81">
    <mergeCell ref="B52:C52"/>
    <mergeCell ref="B53:C53"/>
    <mergeCell ref="B54:C54"/>
    <mergeCell ref="B47:C47"/>
    <mergeCell ref="B48:C48"/>
    <mergeCell ref="B49:C49"/>
    <mergeCell ref="B50:C50"/>
    <mergeCell ref="B51:C51"/>
    <mergeCell ref="G43:H43"/>
    <mergeCell ref="B46:D46"/>
    <mergeCell ref="B40:C40"/>
    <mergeCell ref="B41:C41"/>
    <mergeCell ref="B42:C42"/>
    <mergeCell ref="B43:C43"/>
    <mergeCell ref="G38:H38"/>
    <mergeCell ref="G39:H39"/>
    <mergeCell ref="G40:H40"/>
    <mergeCell ref="G41:H41"/>
    <mergeCell ref="G42:H42"/>
    <mergeCell ref="B28:C28"/>
    <mergeCell ref="B30:C30"/>
    <mergeCell ref="B31:C31"/>
    <mergeCell ref="B32:C32"/>
    <mergeCell ref="G8:H8"/>
    <mergeCell ref="G9:H9"/>
    <mergeCell ref="G10:H10"/>
    <mergeCell ref="B13:D13"/>
    <mergeCell ref="B21:C21"/>
    <mergeCell ref="G13:I13"/>
    <mergeCell ref="G14:H14"/>
    <mergeCell ref="G15:H15"/>
    <mergeCell ref="G16:H16"/>
    <mergeCell ref="G17:H17"/>
    <mergeCell ref="G18:H18"/>
    <mergeCell ref="G19:H19"/>
    <mergeCell ref="B6:C6"/>
    <mergeCell ref="B7:C7"/>
    <mergeCell ref="G7:H7"/>
    <mergeCell ref="G20:H20"/>
    <mergeCell ref="G21:H21"/>
    <mergeCell ref="B15:C15"/>
    <mergeCell ref="B16:C16"/>
    <mergeCell ref="G6:H6"/>
    <mergeCell ref="B2:D2"/>
    <mergeCell ref="G2:I2"/>
    <mergeCell ref="G3:H3"/>
    <mergeCell ref="G4:H4"/>
    <mergeCell ref="G5:H5"/>
    <mergeCell ref="B4:C4"/>
    <mergeCell ref="B5:C5"/>
    <mergeCell ref="B38:C38"/>
    <mergeCell ref="B39:C39"/>
    <mergeCell ref="B14:C14"/>
    <mergeCell ref="B3:C3"/>
    <mergeCell ref="B10:C10"/>
    <mergeCell ref="B8:C8"/>
    <mergeCell ref="B9:C9"/>
    <mergeCell ref="B17:C17"/>
    <mergeCell ref="B18:C18"/>
    <mergeCell ref="B19:C19"/>
    <mergeCell ref="B20:C20"/>
    <mergeCell ref="B29:C29"/>
    <mergeCell ref="B24:D24"/>
    <mergeCell ref="B25:C25"/>
    <mergeCell ref="B26:C26"/>
    <mergeCell ref="B27:C27"/>
    <mergeCell ref="G25:I25"/>
    <mergeCell ref="G26:H26"/>
    <mergeCell ref="G27:H27"/>
    <mergeCell ref="G28:H28"/>
    <mergeCell ref="G29:H29"/>
    <mergeCell ref="B36:C36"/>
    <mergeCell ref="B37:C37"/>
    <mergeCell ref="G30:H30"/>
    <mergeCell ref="G31:H31"/>
    <mergeCell ref="G32:H32"/>
    <mergeCell ref="G33:H33"/>
    <mergeCell ref="B35:D35"/>
    <mergeCell ref="G35:I35"/>
    <mergeCell ref="G36:H36"/>
    <mergeCell ref="G37:H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SAFARI VALLEY RESORT</vt:lpstr>
      <vt:lpstr>ECO PARK</vt:lpstr>
      <vt:lpstr>REVENUE JAN TO MAY 24</vt:lpstr>
      <vt:lpstr>'ECO PARK'!Print_Area</vt:lpstr>
      <vt:lpstr>'SAFARI VALLEY RESORT'!Print_Area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I.T</dc:creator>
  <cp:lastModifiedBy>prince adjorkey</cp:lastModifiedBy>
  <cp:lastPrinted>2025-01-07T15:18:24Z</cp:lastPrinted>
  <dcterms:created xsi:type="dcterms:W3CDTF">2022-03-20T10:48:46Z</dcterms:created>
  <dcterms:modified xsi:type="dcterms:W3CDTF">2025-05-23T19:29:48Z</dcterms:modified>
</cp:coreProperties>
</file>