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Prince Jogani\Downloads\"/>
    </mc:Choice>
  </mc:AlternateContent>
  <xr:revisionPtr revIDLastSave="0" documentId="13_ncr:1_{85723A74-CCA3-43C6-98C4-BD551283FBC4}" xr6:coauthVersionLast="47" xr6:coauthVersionMax="47" xr10:uidLastSave="{00000000-0000-0000-0000-000000000000}"/>
  <bookViews>
    <workbookView xWindow="-108" yWindow="-108" windowWidth="23256" windowHeight="13896" tabRatio="754" firstSheet="1" activeTab="10" xr2:uid="{EF65C1AF-1B27-4390-93A3-4346F6BC2F5F}"/>
  </bookViews>
  <sheets>
    <sheet name="Set Up Assumptions" sheetId="1" r:id="rId1"/>
    <sheet name="Development Assumptions" sheetId="2" r:id="rId2"/>
    <sheet name="Payroll" sheetId="3" r:id="rId3"/>
    <sheet name="OpEx" sheetId="4" r:id="rId4"/>
    <sheet name="CapEx" sheetId="5" r:id="rId5"/>
    <sheet name="Depreciation" sheetId="6" state="hidden" r:id="rId6"/>
    <sheet name="Scenarios" sheetId="7" r:id="rId7"/>
    <sheet name="Monthly CF Budget Allocation" sheetId="8" r:id="rId8"/>
    <sheet name="Monthly Operating CF Per year" sheetId="9" state="hidden" r:id="rId9"/>
    <sheet name="Financial Statement" sheetId="11" r:id="rId10"/>
    <sheet name="Inventory Roll Forward  (2)" sheetId="13" r:id="rId11"/>
    <sheet name="Inventory Roll Forward " sheetId="12" r:id="rId12"/>
    <sheet name="Loan-Repay-Interest Schedule" sheetId="10" state="hidden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39" i="13" l="1"/>
  <c r="AP39" i="13"/>
  <c r="AO39" i="13"/>
  <c r="AN39" i="13"/>
  <c r="AM39" i="13"/>
  <c r="AL39" i="13"/>
  <c r="AK39" i="13"/>
  <c r="AJ39" i="13"/>
  <c r="AI39" i="13"/>
  <c r="AH39" i="13"/>
  <c r="AQ38" i="13"/>
  <c r="AP38" i="13"/>
  <c r="AO38" i="13"/>
  <c r="AN38" i="13"/>
  <c r="AM38" i="13"/>
  <c r="AL38" i="13"/>
  <c r="AK38" i="13"/>
  <c r="AJ38" i="13"/>
  <c r="AI38" i="13"/>
  <c r="AH38" i="13"/>
  <c r="AQ37" i="13"/>
  <c r="AP37" i="13"/>
  <c r="AO37" i="13"/>
  <c r="AN37" i="13"/>
  <c r="AM37" i="13"/>
  <c r="AL37" i="13"/>
  <c r="AK37" i="13"/>
  <c r="AJ37" i="13"/>
  <c r="AI37" i="13"/>
  <c r="AH37" i="13"/>
  <c r="AQ36" i="13"/>
  <c r="AP36" i="13"/>
  <c r="AO36" i="13"/>
  <c r="AN36" i="13"/>
  <c r="AM36" i="13"/>
  <c r="AL36" i="13"/>
  <c r="AK36" i="13"/>
  <c r="AJ36" i="13"/>
  <c r="AI36" i="13"/>
  <c r="AH36" i="13"/>
  <c r="AG39" i="13"/>
  <c r="AG38" i="13"/>
  <c r="AG37" i="13"/>
  <c r="AG36" i="13"/>
  <c r="AF39" i="13"/>
  <c r="AF38" i="13"/>
  <c r="AF37" i="13"/>
  <c r="AF36" i="13"/>
  <c r="AQ29" i="13"/>
  <c r="AP29" i="13"/>
  <c r="AO29" i="13"/>
  <c r="AN29" i="13"/>
  <c r="AM29" i="13"/>
  <c r="AL29" i="13"/>
  <c r="AK29" i="13"/>
  <c r="AJ29" i="13"/>
  <c r="AI29" i="13"/>
  <c r="AH29" i="13"/>
  <c r="AG29" i="13"/>
  <c r="AF29" i="13"/>
  <c r="AQ28" i="13"/>
  <c r="AP28" i="13"/>
  <c r="AO28" i="13"/>
  <c r="AN28" i="13"/>
  <c r="AM28" i="13"/>
  <c r="AL28" i="13"/>
  <c r="AK28" i="13"/>
  <c r="AJ28" i="13"/>
  <c r="AI28" i="13"/>
  <c r="AH28" i="13"/>
  <c r="AG28" i="13"/>
  <c r="AF28" i="13"/>
  <c r="AQ27" i="13"/>
  <c r="AP27" i="13"/>
  <c r="AO27" i="13"/>
  <c r="AN27" i="13"/>
  <c r="AM27" i="13"/>
  <c r="AL27" i="13"/>
  <c r="AK27" i="13"/>
  <c r="AJ27" i="13"/>
  <c r="AI27" i="13"/>
  <c r="AH27" i="13"/>
  <c r="AG27" i="13"/>
  <c r="AF27" i="13"/>
  <c r="AQ26" i="13"/>
  <c r="AP26" i="13"/>
  <c r="AO26" i="13"/>
  <c r="AN26" i="13"/>
  <c r="AM26" i="13"/>
  <c r="AL26" i="13"/>
  <c r="AK26" i="13"/>
  <c r="AJ26" i="13"/>
  <c r="AI26" i="13"/>
  <c r="AH26" i="13"/>
  <c r="AG26" i="13"/>
  <c r="AF26" i="13"/>
  <c r="AF22" i="13"/>
  <c r="AG22" i="13"/>
  <c r="AH22" i="13"/>
  <c r="AI22" i="13"/>
  <c r="AJ22" i="13"/>
  <c r="AK22" i="13"/>
  <c r="AL22" i="13"/>
  <c r="AM22" i="13"/>
  <c r="AN22" i="13"/>
  <c r="AO22" i="13"/>
  <c r="AP22" i="13"/>
  <c r="AQ22" i="13"/>
  <c r="AF23" i="13"/>
  <c r="AG23" i="13"/>
  <c r="AH23" i="13"/>
  <c r="AI23" i="13"/>
  <c r="AJ23" i="13"/>
  <c r="AK23" i="13"/>
  <c r="AL23" i="13"/>
  <c r="AM23" i="13"/>
  <c r="AN23" i="13"/>
  <c r="AO23" i="13"/>
  <c r="AP23" i="13"/>
  <c r="AQ23" i="13"/>
  <c r="AF24" i="13"/>
  <c r="AG24" i="13"/>
  <c r="AH24" i="13"/>
  <c r="AI24" i="13"/>
  <c r="AJ24" i="13"/>
  <c r="AK24" i="13"/>
  <c r="AL24" i="13"/>
  <c r="AM24" i="13"/>
  <c r="AN24" i="13"/>
  <c r="AO24" i="13"/>
  <c r="AP24" i="13"/>
  <c r="AQ24" i="13"/>
  <c r="AQ21" i="13"/>
  <c r="AP21" i="13"/>
  <c r="AO21" i="13"/>
  <c r="AN21" i="13"/>
  <c r="AM21" i="13"/>
  <c r="AL21" i="13"/>
  <c r="AK21" i="13"/>
  <c r="AJ21" i="13"/>
  <c r="AI21" i="13"/>
  <c r="AH21" i="13"/>
  <c r="AG21" i="13"/>
  <c r="AF21" i="13"/>
  <c r="AQ19" i="13"/>
  <c r="AP19" i="13"/>
  <c r="AO19" i="13"/>
  <c r="AN19" i="13"/>
  <c r="AM19" i="13"/>
  <c r="AL19" i="13"/>
  <c r="AK19" i="13"/>
  <c r="AJ19" i="13"/>
  <c r="AI19" i="13"/>
  <c r="AH19" i="13"/>
  <c r="AG19" i="13"/>
  <c r="AF19" i="13"/>
  <c r="AQ18" i="13"/>
  <c r="AP18" i="13"/>
  <c r="AO18" i="13"/>
  <c r="AN18" i="13"/>
  <c r="AM18" i="13"/>
  <c r="AL18" i="13"/>
  <c r="AK18" i="13"/>
  <c r="AJ18" i="13"/>
  <c r="AI18" i="13"/>
  <c r="AH18" i="13"/>
  <c r="AG18" i="13"/>
  <c r="AF18" i="13"/>
  <c r="AQ17" i="13"/>
  <c r="AP17" i="13"/>
  <c r="AO17" i="13"/>
  <c r="AN17" i="13"/>
  <c r="AM17" i="13"/>
  <c r="AL17" i="13"/>
  <c r="AK17" i="13"/>
  <c r="AJ17" i="13"/>
  <c r="AI17" i="13"/>
  <c r="AH17" i="13"/>
  <c r="AG17" i="13"/>
  <c r="AF17" i="13"/>
  <c r="AQ16" i="13"/>
  <c r="AP16" i="13"/>
  <c r="AO16" i="13"/>
  <c r="AN16" i="13"/>
  <c r="AM16" i="13"/>
  <c r="AL16" i="13"/>
  <c r="AK16" i="13"/>
  <c r="AJ16" i="13"/>
  <c r="AI16" i="13"/>
  <c r="AH16" i="13"/>
  <c r="AG16" i="13"/>
  <c r="AF16" i="13"/>
  <c r="AQ14" i="13"/>
  <c r="AP14" i="13"/>
  <c r="AO14" i="13"/>
  <c r="AN14" i="13"/>
  <c r="AM14" i="13"/>
  <c r="AL14" i="13"/>
  <c r="AK14" i="13"/>
  <c r="AJ14" i="13"/>
  <c r="AI14" i="13"/>
  <c r="AH14" i="13"/>
  <c r="AG14" i="13"/>
  <c r="AF14" i="13"/>
  <c r="AQ13" i="13"/>
  <c r="AP13" i="13"/>
  <c r="AO13" i="13"/>
  <c r="AN13" i="13"/>
  <c r="AM13" i="13"/>
  <c r="AL13" i="13"/>
  <c r="AK13" i="13"/>
  <c r="AJ13" i="13"/>
  <c r="AI13" i="13"/>
  <c r="AH13" i="13"/>
  <c r="AG13" i="13"/>
  <c r="AF13" i="13"/>
  <c r="AQ12" i="13"/>
  <c r="AP12" i="13"/>
  <c r="AO12" i="13"/>
  <c r="AN12" i="13"/>
  <c r="AM12" i="13"/>
  <c r="AL12" i="13"/>
  <c r="AK12" i="13"/>
  <c r="AJ12" i="13"/>
  <c r="AI12" i="13"/>
  <c r="AH12" i="13"/>
  <c r="AG12" i="13"/>
  <c r="AF12" i="13"/>
  <c r="AQ11" i="13"/>
  <c r="AP11" i="13"/>
  <c r="AO11" i="13"/>
  <c r="AN11" i="13"/>
  <c r="AM11" i="13"/>
  <c r="AL11" i="13"/>
  <c r="AK11" i="13"/>
  <c r="AJ11" i="13"/>
  <c r="AI11" i="13"/>
  <c r="AH11" i="13"/>
  <c r="AG11" i="13"/>
  <c r="AF11" i="13"/>
  <c r="S2" i="13"/>
  <c r="S3" i="13" s="1"/>
  <c r="T2" i="13" s="1"/>
  <c r="T3" i="13" s="1"/>
  <c r="U2" i="13" s="1"/>
  <c r="AX34" i="13"/>
  <c r="AW34" i="13"/>
  <c r="AV34" i="13"/>
  <c r="AU34" i="13"/>
  <c r="AT34" i="13"/>
  <c r="AS34" i="13"/>
  <c r="AR34" i="13"/>
  <c r="AE34" i="13"/>
  <c r="R34" i="13"/>
  <c r="E34" i="13"/>
  <c r="AX33" i="13"/>
  <c r="AW33" i="13"/>
  <c r="AV33" i="13"/>
  <c r="AU33" i="13"/>
  <c r="AT33" i="13"/>
  <c r="AS33" i="13"/>
  <c r="AR33" i="13"/>
  <c r="AE33" i="13"/>
  <c r="R33" i="13"/>
  <c r="E33" i="13"/>
  <c r="AX32" i="13"/>
  <c r="AW32" i="13"/>
  <c r="AV32" i="13"/>
  <c r="AU32" i="13"/>
  <c r="AT32" i="13"/>
  <c r="AS32" i="13"/>
  <c r="AR32" i="13"/>
  <c r="AE32" i="13"/>
  <c r="R32" i="13"/>
  <c r="E32" i="13"/>
  <c r="AX31" i="13"/>
  <c r="AW31" i="13"/>
  <c r="AV31" i="13"/>
  <c r="AU31" i="13"/>
  <c r="AT31" i="13"/>
  <c r="AS31" i="13"/>
  <c r="AR31" i="13"/>
  <c r="AE31" i="13"/>
  <c r="R31" i="13"/>
  <c r="E31" i="13"/>
  <c r="AX14" i="13"/>
  <c r="AX19" i="13" s="1"/>
  <c r="AW14" i="13"/>
  <c r="AW19" i="13" s="1"/>
  <c r="AV14" i="13"/>
  <c r="AV19" i="13" s="1"/>
  <c r="AU14" i="13"/>
  <c r="AU19" i="13" s="1"/>
  <c r="AT14" i="13"/>
  <c r="AT19" i="13" s="1"/>
  <c r="AS14" i="13"/>
  <c r="AS19" i="13" s="1"/>
  <c r="AR14" i="13"/>
  <c r="AR19" i="13" s="1"/>
  <c r="AE14" i="13"/>
  <c r="AE19" i="13" s="1"/>
  <c r="R14" i="13"/>
  <c r="O14" i="13" s="1"/>
  <c r="O19" i="13" s="1"/>
  <c r="E14" i="13"/>
  <c r="E19" i="13" s="1"/>
  <c r="B14" i="13"/>
  <c r="AX13" i="13"/>
  <c r="AX18" i="13" s="1"/>
  <c r="AW13" i="13"/>
  <c r="AW18" i="13" s="1"/>
  <c r="AV13" i="13"/>
  <c r="AV18" i="13" s="1"/>
  <c r="AU13" i="13"/>
  <c r="AU18" i="13" s="1"/>
  <c r="AT13" i="13"/>
  <c r="AT18" i="13" s="1"/>
  <c r="AS13" i="13"/>
  <c r="AS18" i="13" s="1"/>
  <c r="AR13" i="13"/>
  <c r="AR18" i="13" s="1"/>
  <c r="AE13" i="13"/>
  <c r="AE18" i="13" s="1"/>
  <c r="R13" i="13"/>
  <c r="E13" i="13"/>
  <c r="E18" i="13" s="1"/>
  <c r="B13" i="13"/>
  <c r="AX12" i="13"/>
  <c r="AX17" i="13" s="1"/>
  <c r="AW12" i="13"/>
  <c r="AW17" i="13" s="1"/>
  <c r="AV12" i="13"/>
  <c r="AV17" i="13" s="1"/>
  <c r="AU12" i="13"/>
  <c r="AU17" i="13" s="1"/>
  <c r="AT12" i="13"/>
  <c r="AT17" i="13" s="1"/>
  <c r="AS12" i="13"/>
  <c r="AS17" i="13" s="1"/>
  <c r="AR12" i="13"/>
  <c r="AR17" i="13" s="1"/>
  <c r="AE12" i="13"/>
  <c r="AE17" i="13" s="1"/>
  <c r="R12" i="13"/>
  <c r="P12" i="13" s="1"/>
  <c r="P17" i="13" s="1"/>
  <c r="E12" i="13"/>
  <c r="E17" i="13" s="1"/>
  <c r="B12" i="13"/>
  <c r="AX11" i="13"/>
  <c r="AX16" i="13" s="1"/>
  <c r="AW11" i="13"/>
  <c r="AW16" i="13" s="1"/>
  <c r="AV11" i="13"/>
  <c r="AV16" i="13" s="1"/>
  <c r="AU11" i="13"/>
  <c r="AU16" i="13" s="1"/>
  <c r="AT11" i="13"/>
  <c r="AT16" i="13" s="1"/>
  <c r="AS11" i="13"/>
  <c r="AS16" i="13" s="1"/>
  <c r="AR11" i="13"/>
  <c r="AR16" i="13" s="1"/>
  <c r="AE11" i="13"/>
  <c r="AE16" i="13" s="1"/>
  <c r="R11" i="13"/>
  <c r="M11" i="13" s="1"/>
  <c r="M16" i="13" s="1"/>
  <c r="E11" i="13"/>
  <c r="E16" i="13" s="1"/>
  <c r="AX9" i="13"/>
  <c r="AX24" i="13" s="1"/>
  <c r="AW9" i="13"/>
  <c r="AW24" i="13" s="1"/>
  <c r="AV9" i="13"/>
  <c r="AV24" i="13" s="1"/>
  <c r="AU9" i="13"/>
  <c r="AU24" i="13" s="1"/>
  <c r="AT9" i="13"/>
  <c r="AT24" i="13" s="1"/>
  <c r="AS9" i="13"/>
  <c r="AS24" i="13" s="1"/>
  <c r="AR9" i="13"/>
  <c r="AR24" i="13" s="1"/>
  <c r="AE9" i="13"/>
  <c r="AE24" i="13" s="1"/>
  <c r="AD24" i="13" s="1"/>
  <c r="R9" i="13"/>
  <c r="R24" i="13" s="1"/>
  <c r="I24" i="13" s="1"/>
  <c r="E9" i="13"/>
  <c r="E24" i="13" s="1"/>
  <c r="B9" i="13"/>
  <c r="AX8" i="13"/>
  <c r="AX23" i="13" s="1"/>
  <c r="AW8" i="13"/>
  <c r="AW23" i="13" s="1"/>
  <c r="AV8" i="13"/>
  <c r="AV23" i="13" s="1"/>
  <c r="AU8" i="13"/>
  <c r="AU23" i="13" s="1"/>
  <c r="AT8" i="13"/>
  <c r="AT23" i="13" s="1"/>
  <c r="AS8" i="13"/>
  <c r="AS23" i="13" s="1"/>
  <c r="AR8" i="13"/>
  <c r="AR23" i="13" s="1"/>
  <c r="AE8" i="13"/>
  <c r="AE23" i="13" s="1"/>
  <c r="AD23" i="13" s="1"/>
  <c r="R8" i="13"/>
  <c r="R23" i="13" s="1"/>
  <c r="I23" i="13" s="1"/>
  <c r="E8" i="13"/>
  <c r="E23" i="13" s="1"/>
  <c r="B8" i="13"/>
  <c r="AX7" i="13"/>
  <c r="AX22" i="13" s="1"/>
  <c r="AW7" i="13"/>
  <c r="AW22" i="13" s="1"/>
  <c r="AV7" i="13"/>
  <c r="AV22" i="13" s="1"/>
  <c r="AU7" i="13"/>
  <c r="AU22" i="13" s="1"/>
  <c r="AT7" i="13"/>
  <c r="AT22" i="13" s="1"/>
  <c r="AS7" i="13"/>
  <c r="AS22" i="13" s="1"/>
  <c r="AR7" i="13"/>
  <c r="AR22" i="13" s="1"/>
  <c r="AE7" i="13"/>
  <c r="AE22" i="13" s="1"/>
  <c r="AD22" i="13" s="1"/>
  <c r="R7" i="13"/>
  <c r="R22" i="13" s="1"/>
  <c r="I22" i="13" s="1"/>
  <c r="E7" i="13"/>
  <c r="E22" i="13" s="1"/>
  <c r="B7" i="13"/>
  <c r="AX6" i="13"/>
  <c r="AX21" i="13" s="1"/>
  <c r="AW6" i="13"/>
  <c r="AW21" i="13" s="1"/>
  <c r="AV6" i="13"/>
  <c r="AV21" i="13" s="1"/>
  <c r="AU6" i="13"/>
  <c r="AU21" i="13" s="1"/>
  <c r="AT6" i="13"/>
  <c r="AT21" i="13" s="1"/>
  <c r="AS6" i="13"/>
  <c r="AS21" i="13" s="1"/>
  <c r="AR6" i="13"/>
  <c r="AR21" i="13" s="1"/>
  <c r="AE6" i="13"/>
  <c r="AE21" i="13" s="1"/>
  <c r="AD21" i="13" s="1"/>
  <c r="R6" i="13"/>
  <c r="R21" i="13" s="1"/>
  <c r="I21" i="13" s="1"/>
  <c r="E6" i="13"/>
  <c r="E21" i="13" s="1"/>
  <c r="AE2" i="13"/>
  <c r="AR2" i="13" s="1"/>
  <c r="AS2" i="13" s="1"/>
  <c r="AT2" i="13" s="1"/>
  <c r="AU2" i="13" s="1"/>
  <c r="AV2" i="13" s="1"/>
  <c r="AW2" i="13" s="1"/>
  <c r="AX2" i="13" s="1"/>
  <c r="T4" i="11"/>
  <c r="U3" i="11"/>
  <c r="U4" i="11" s="1"/>
  <c r="V3" i="11" s="1"/>
  <c r="V4" i="11" s="1"/>
  <c r="W3" i="11" s="1"/>
  <c r="W4" i="11" s="1"/>
  <c r="X3" i="11" s="1"/>
  <c r="X4" i="11" s="1"/>
  <c r="Y3" i="11" s="1"/>
  <c r="Y4" i="11" s="1"/>
  <c r="Z3" i="11" s="1"/>
  <c r="Z4" i="11" s="1"/>
  <c r="AA3" i="11" s="1"/>
  <c r="AA4" i="11" s="1"/>
  <c r="AB3" i="11" s="1"/>
  <c r="AB4" i="11" s="1"/>
  <c r="AC3" i="11" s="1"/>
  <c r="AC4" i="11" s="1"/>
  <c r="AD3" i="11" s="1"/>
  <c r="AD4" i="11" s="1"/>
  <c r="AE3" i="11" s="1"/>
  <c r="AE4" i="11" s="1"/>
  <c r="T3" i="11"/>
  <c r="R13" i="11"/>
  <c r="Q13" i="11"/>
  <c r="P13" i="11"/>
  <c r="O13" i="11"/>
  <c r="N13" i="11"/>
  <c r="M13" i="11"/>
  <c r="L13" i="11"/>
  <c r="K13" i="11"/>
  <c r="J13" i="11"/>
  <c r="I13" i="11"/>
  <c r="H13" i="11"/>
  <c r="G13" i="11"/>
  <c r="R12" i="11"/>
  <c r="Q12" i="11"/>
  <c r="P12" i="11"/>
  <c r="O12" i="11"/>
  <c r="N12" i="11"/>
  <c r="M12" i="11"/>
  <c r="L12" i="11"/>
  <c r="K12" i="11"/>
  <c r="J12" i="11"/>
  <c r="I12" i="11"/>
  <c r="H12" i="11"/>
  <c r="G12" i="11"/>
  <c r="R11" i="11"/>
  <c r="Q11" i="11"/>
  <c r="P11" i="11"/>
  <c r="O11" i="11"/>
  <c r="N11" i="11"/>
  <c r="M11" i="11"/>
  <c r="L11" i="11"/>
  <c r="K11" i="11"/>
  <c r="J11" i="11"/>
  <c r="I11" i="11"/>
  <c r="H11" i="11"/>
  <c r="G11" i="11"/>
  <c r="R10" i="11"/>
  <c r="Q10" i="11"/>
  <c r="P10" i="11"/>
  <c r="O10" i="11"/>
  <c r="N10" i="11"/>
  <c r="M10" i="11"/>
  <c r="L10" i="11"/>
  <c r="K10" i="11"/>
  <c r="J10" i="11"/>
  <c r="I10" i="11"/>
  <c r="H10" i="11"/>
  <c r="G10" i="11"/>
  <c r="G4" i="11"/>
  <c r="H3" i="11" s="1"/>
  <c r="H4" i="11" s="1"/>
  <c r="I3" i="11" s="1"/>
  <c r="I4" i="11" s="1"/>
  <c r="J3" i="11" s="1"/>
  <c r="J4" i="11" s="1"/>
  <c r="K3" i="11" s="1"/>
  <c r="K4" i="11" s="1"/>
  <c r="L3" i="11" s="1"/>
  <c r="L4" i="11" s="1"/>
  <c r="M3" i="11" s="1"/>
  <c r="M4" i="11" s="1"/>
  <c r="N3" i="11" s="1"/>
  <c r="N4" i="11" s="1"/>
  <c r="O3" i="11" s="1"/>
  <c r="O4" i="11" s="1"/>
  <c r="P3" i="11" s="1"/>
  <c r="P4" i="11" s="1"/>
  <c r="Q3" i="11" s="1"/>
  <c r="Q4" i="11" s="1"/>
  <c r="R3" i="11" s="1"/>
  <c r="R4" i="11" s="1"/>
  <c r="Z39" i="12"/>
  <c r="Y39" i="12"/>
  <c r="X39" i="12"/>
  <c r="W39" i="12"/>
  <c r="V39" i="12"/>
  <c r="U39" i="12"/>
  <c r="T39" i="12"/>
  <c r="S39" i="12"/>
  <c r="R39" i="12"/>
  <c r="E39" i="12"/>
  <c r="Z38" i="12"/>
  <c r="Y38" i="12"/>
  <c r="X38" i="12"/>
  <c r="W38" i="12"/>
  <c r="V38" i="12"/>
  <c r="U38" i="12"/>
  <c r="T38" i="12"/>
  <c r="S38" i="12"/>
  <c r="R38" i="12"/>
  <c r="E38" i="12"/>
  <c r="Z37" i="12"/>
  <c r="Y37" i="12"/>
  <c r="X37" i="12"/>
  <c r="W37" i="12"/>
  <c r="V37" i="12"/>
  <c r="U37" i="12"/>
  <c r="T37" i="12"/>
  <c r="S37" i="12"/>
  <c r="R37" i="12"/>
  <c r="E37" i="12"/>
  <c r="Z36" i="12"/>
  <c r="Y36" i="12"/>
  <c r="X36" i="12"/>
  <c r="W36" i="12"/>
  <c r="V36" i="12"/>
  <c r="U36" i="12"/>
  <c r="T36" i="12"/>
  <c r="S36" i="12"/>
  <c r="R36" i="12"/>
  <c r="E36" i="12"/>
  <c r="Z19" i="12"/>
  <c r="Z24" i="12" s="1"/>
  <c r="Y19" i="12"/>
  <c r="Y24" i="12" s="1"/>
  <c r="X19" i="12"/>
  <c r="X24" i="12" s="1"/>
  <c r="W19" i="12"/>
  <c r="W24" i="12" s="1"/>
  <c r="V19" i="12"/>
  <c r="V24" i="12" s="1"/>
  <c r="U19" i="12"/>
  <c r="U24" i="12" s="1"/>
  <c r="T19" i="12"/>
  <c r="T24" i="12" s="1"/>
  <c r="S19" i="12"/>
  <c r="S24" i="12" s="1"/>
  <c r="R19" i="12"/>
  <c r="R24" i="12" s="1"/>
  <c r="E19" i="12"/>
  <c r="E24" i="12" s="1"/>
  <c r="Z18" i="12"/>
  <c r="Z23" i="12" s="1"/>
  <c r="Y18" i="12"/>
  <c r="Y23" i="12" s="1"/>
  <c r="X18" i="12"/>
  <c r="X23" i="12" s="1"/>
  <c r="W18" i="12"/>
  <c r="W23" i="12" s="1"/>
  <c r="V18" i="12"/>
  <c r="V23" i="12" s="1"/>
  <c r="U18" i="12"/>
  <c r="U23" i="12" s="1"/>
  <c r="T18" i="12"/>
  <c r="T23" i="12" s="1"/>
  <c r="S18" i="12"/>
  <c r="S23" i="12" s="1"/>
  <c r="R18" i="12"/>
  <c r="R23" i="12" s="1"/>
  <c r="E18" i="12"/>
  <c r="E23" i="12" s="1"/>
  <c r="Z17" i="12"/>
  <c r="Z22" i="12" s="1"/>
  <c r="Y17" i="12"/>
  <c r="Y22" i="12" s="1"/>
  <c r="X17" i="12"/>
  <c r="X22" i="12" s="1"/>
  <c r="W17" i="12"/>
  <c r="W22" i="12" s="1"/>
  <c r="V17" i="12"/>
  <c r="V22" i="12" s="1"/>
  <c r="U17" i="12"/>
  <c r="U22" i="12" s="1"/>
  <c r="T17" i="12"/>
  <c r="T22" i="12" s="1"/>
  <c r="S17" i="12"/>
  <c r="S22" i="12" s="1"/>
  <c r="R17" i="12"/>
  <c r="R22" i="12" s="1"/>
  <c r="E17" i="12"/>
  <c r="E22" i="12" s="1"/>
  <c r="Z16" i="12"/>
  <c r="Z21" i="12" s="1"/>
  <c r="Y16" i="12"/>
  <c r="Y21" i="12" s="1"/>
  <c r="X16" i="12"/>
  <c r="X21" i="12" s="1"/>
  <c r="W16" i="12"/>
  <c r="W21" i="12" s="1"/>
  <c r="V16" i="12"/>
  <c r="V21" i="12" s="1"/>
  <c r="U16" i="12"/>
  <c r="U21" i="12" s="1"/>
  <c r="T16" i="12"/>
  <c r="T21" i="12" s="1"/>
  <c r="S16" i="12"/>
  <c r="S21" i="12" s="1"/>
  <c r="R16" i="12"/>
  <c r="R21" i="12" s="1"/>
  <c r="E16" i="12"/>
  <c r="E21" i="12" s="1"/>
  <c r="B19" i="12"/>
  <c r="B18" i="12"/>
  <c r="B17" i="12"/>
  <c r="Z14" i="12"/>
  <c r="Z29" i="12" s="1"/>
  <c r="Y14" i="12"/>
  <c r="Y29" i="12" s="1"/>
  <c r="X14" i="12"/>
  <c r="X29" i="12" s="1"/>
  <c r="W14" i="12"/>
  <c r="W29" i="12" s="1"/>
  <c r="V14" i="12"/>
  <c r="V29" i="12" s="1"/>
  <c r="U14" i="12"/>
  <c r="U29" i="12" s="1"/>
  <c r="T14" i="12"/>
  <c r="T29" i="12" s="1"/>
  <c r="S14" i="12"/>
  <c r="S29" i="12" s="1"/>
  <c r="R14" i="12"/>
  <c r="R29" i="12" s="1"/>
  <c r="Z13" i="12"/>
  <c r="Z28" i="12" s="1"/>
  <c r="Y13" i="12"/>
  <c r="Y28" i="12" s="1"/>
  <c r="X13" i="12"/>
  <c r="X28" i="12" s="1"/>
  <c r="W13" i="12"/>
  <c r="W28" i="12" s="1"/>
  <c r="V13" i="12"/>
  <c r="V28" i="12" s="1"/>
  <c r="U13" i="12"/>
  <c r="U28" i="12" s="1"/>
  <c r="T13" i="12"/>
  <c r="T28" i="12" s="1"/>
  <c r="S13" i="12"/>
  <c r="S28" i="12" s="1"/>
  <c r="R13" i="12"/>
  <c r="R28" i="12" s="1"/>
  <c r="Z12" i="12"/>
  <c r="Z27" i="12" s="1"/>
  <c r="Y12" i="12"/>
  <c r="Y27" i="12" s="1"/>
  <c r="X12" i="12"/>
  <c r="X27" i="12" s="1"/>
  <c r="W12" i="12"/>
  <c r="W27" i="12" s="1"/>
  <c r="V12" i="12"/>
  <c r="V27" i="12" s="1"/>
  <c r="U12" i="12"/>
  <c r="U27" i="12" s="1"/>
  <c r="T12" i="12"/>
  <c r="T27" i="12" s="1"/>
  <c r="S12" i="12"/>
  <c r="S27" i="12" s="1"/>
  <c r="R12" i="12"/>
  <c r="R27" i="12" s="1"/>
  <c r="Z11" i="12"/>
  <c r="Z26" i="12" s="1"/>
  <c r="Y11" i="12"/>
  <c r="Y26" i="12" s="1"/>
  <c r="X11" i="12"/>
  <c r="X26" i="12" s="1"/>
  <c r="W11" i="12"/>
  <c r="W26" i="12" s="1"/>
  <c r="V11" i="12"/>
  <c r="V26" i="12" s="1"/>
  <c r="U11" i="12"/>
  <c r="U26" i="12" s="1"/>
  <c r="T11" i="12"/>
  <c r="T26" i="12" s="1"/>
  <c r="S11" i="12"/>
  <c r="S26" i="12" s="1"/>
  <c r="R11" i="12"/>
  <c r="R26" i="12" s="1"/>
  <c r="E11" i="12"/>
  <c r="E26" i="12" s="1"/>
  <c r="S10" i="11"/>
  <c r="E13" i="12"/>
  <c r="E28" i="12" s="1"/>
  <c r="E14" i="12"/>
  <c r="E29" i="12" s="1"/>
  <c r="E12" i="12"/>
  <c r="E27" i="12" s="1"/>
  <c r="B14" i="12"/>
  <c r="B13" i="12"/>
  <c r="B12" i="12"/>
  <c r="S2" i="12"/>
  <c r="T2" i="12" s="1"/>
  <c r="U2" i="12" s="1"/>
  <c r="V2" i="12" s="1"/>
  <c r="W2" i="12" s="1"/>
  <c r="X2" i="12" s="1"/>
  <c r="Y2" i="12" s="1"/>
  <c r="Z2" i="12" s="1"/>
  <c r="O18" i="1"/>
  <c r="S13" i="11"/>
  <c r="S12" i="11"/>
  <c r="S11" i="11"/>
  <c r="AN5" i="11"/>
  <c r="AM5" i="11"/>
  <c r="AL5" i="11"/>
  <c r="AK5" i="11"/>
  <c r="AJ5" i="11"/>
  <c r="AI5" i="11"/>
  <c r="AH5" i="11"/>
  <c r="AG5" i="11"/>
  <c r="AF5" i="11"/>
  <c r="S5" i="11"/>
  <c r="E61" i="9"/>
  <c r="T61" i="9"/>
  <c r="R61" i="9"/>
  <c r="Q61" i="9"/>
  <c r="P61" i="9"/>
  <c r="O61" i="9"/>
  <c r="N61" i="9"/>
  <c r="M61" i="9"/>
  <c r="L61" i="9"/>
  <c r="K61" i="9"/>
  <c r="J61" i="9"/>
  <c r="I61" i="9"/>
  <c r="H61" i="9"/>
  <c r="G61" i="9"/>
  <c r="F61" i="9"/>
  <c r="E59" i="9"/>
  <c r="Q57" i="9"/>
  <c r="P57" i="9"/>
  <c r="O57" i="9"/>
  <c r="N57" i="9"/>
  <c r="M57" i="9"/>
  <c r="L57" i="9"/>
  <c r="K57" i="9"/>
  <c r="J57" i="9"/>
  <c r="I57" i="9"/>
  <c r="H57" i="9"/>
  <c r="G57" i="9"/>
  <c r="F57" i="9"/>
  <c r="Q59" i="9"/>
  <c r="P59" i="9"/>
  <c r="O59" i="9"/>
  <c r="N59" i="9"/>
  <c r="M59" i="9"/>
  <c r="L59" i="9"/>
  <c r="K59" i="9"/>
  <c r="J59" i="9"/>
  <c r="I59" i="9"/>
  <c r="H59" i="9"/>
  <c r="G59" i="9"/>
  <c r="F59" i="9"/>
  <c r="T25" i="9"/>
  <c r="Q22" i="9"/>
  <c r="P22" i="9"/>
  <c r="O22" i="9"/>
  <c r="N22" i="9"/>
  <c r="M22" i="9"/>
  <c r="L22" i="9"/>
  <c r="K22" i="9"/>
  <c r="J22" i="9"/>
  <c r="I22" i="9"/>
  <c r="H22" i="9"/>
  <c r="G22" i="9"/>
  <c r="F22" i="9"/>
  <c r="R22" i="9"/>
  <c r="T21" i="9"/>
  <c r="T20" i="9"/>
  <c r="T19" i="9"/>
  <c r="T18" i="9"/>
  <c r="I17" i="4"/>
  <c r="Q21" i="9"/>
  <c r="P21" i="9"/>
  <c r="O21" i="9"/>
  <c r="N21" i="9"/>
  <c r="M21" i="9"/>
  <c r="L21" i="9"/>
  <c r="K21" i="9"/>
  <c r="J21" i="9"/>
  <c r="I21" i="9"/>
  <c r="H21" i="9"/>
  <c r="G21" i="9"/>
  <c r="F21" i="9"/>
  <c r="Q20" i="9"/>
  <c r="P20" i="9"/>
  <c r="O20" i="9"/>
  <c r="N20" i="9"/>
  <c r="M20" i="9"/>
  <c r="L20" i="9"/>
  <c r="K20" i="9"/>
  <c r="J20" i="9"/>
  <c r="I20" i="9"/>
  <c r="H20" i="9"/>
  <c r="G20" i="9"/>
  <c r="F20" i="9"/>
  <c r="R21" i="9"/>
  <c r="R20" i="9"/>
  <c r="R19" i="9"/>
  <c r="K19" i="9"/>
  <c r="J19" i="9"/>
  <c r="I19" i="9"/>
  <c r="H19" i="9"/>
  <c r="G19" i="9"/>
  <c r="F19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Q14" i="9"/>
  <c r="P14" i="9"/>
  <c r="O14" i="9"/>
  <c r="N14" i="9"/>
  <c r="M14" i="9"/>
  <c r="L14" i="9"/>
  <c r="K14" i="9"/>
  <c r="J14" i="9"/>
  <c r="I14" i="9"/>
  <c r="H14" i="9"/>
  <c r="G14" i="9"/>
  <c r="F14" i="9"/>
  <c r="R14" i="9"/>
  <c r="Q13" i="9"/>
  <c r="P13" i="9"/>
  <c r="O13" i="9"/>
  <c r="N13" i="9"/>
  <c r="M13" i="9"/>
  <c r="L13" i="9"/>
  <c r="K13" i="9"/>
  <c r="J13" i="9"/>
  <c r="I13" i="9"/>
  <c r="H13" i="9"/>
  <c r="G13" i="9"/>
  <c r="F13" i="9"/>
  <c r="R13" i="9"/>
  <c r="Q12" i="9"/>
  <c r="P12" i="9"/>
  <c r="O12" i="9"/>
  <c r="N12" i="9"/>
  <c r="M12" i="9"/>
  <c r="L12" i="9"/>
  <c r="K12" i="9"/>
  <c r="J12" i="9"/>
  <c r="I12" i="9"/>
  <c r="H12" i="9"/>
  <c r="G12" i="9"/>
  <c r="F12" i="9"/>
  <c r="Q11" i="9"/>
  <c r="P11" i="9"/>
  <c r="O11" i="9"/>
  <c r="N11" i="9"/>
  <c r="M11" i="9"/>
  <c r="L11" i="9"/>
  <c r="K11" i="9"/>
  <c r="J11" i="9"/>
  <c r="I11" i="9"/>
  <c r="H11" i="9"/>
  <c r="G11" i="9"/>
  <c r="F11" i="9"/>
  <c r="R12" i="9"/>
  <c r="R11" i="9"/>
  <c r="S11" i="9"/>
  <c r="B4" i="10"/>
  <c r="B3" i="10"/>
  <c r="B2" i="10"/>
  <c r="B1" i="10"/>
  <c r="I3" i="10" s="1"/>
  <c r="N26" i="10"/>
  <c r="N25" i="10"/>
  <c r="N24" i="10"/>
  <c r="N23" i="10"/>
  <c r="N22" i="10"/>
  <c r="N21" i="10"/>
  <c r="N20" i="10"/>
  <c r="N19" i="10"/>
  <c r="R58" i="9" s="1"/>
  <c r="Q58" i="9" s="1"/>
  <c r="R56" i="9"/>
  <c r="E56" i="9"/>
  <c r="D56" i="1"/>
  <c r="D45" i="1"/>
  <c r="D55" i="1"/>
  <c r="D44" i="1"/>
  <c r="D20" i="1"/>
  <c r="N54" i="1"/>
  <c r="N53" i="1"/>
  <c r="N49" i="1"/>
  <c r="Q50" i="9"/>
  <c r="P50" i="9"/>
  <c r="O50" i="9"/>
  <c r="N50" i="9"/>
  <c r="M50" i="9"/>
  <c r="L50" i="9"/>
  <c r="K50" i="9"/>
  <c r="J50" i="9"/>
  <c r="I50" i="9"/>
  <c r="H50" i="9"/>
  <c r="G50" i="9"/>
  <c r="F50" i="9"/>
  <c r="Q49" i="9"/>
  <c r="P49" i="9"/>
  <c r="O49" i="9"/>
  <c r="N49" i="9"/>
  <c r="M49" i="9"/>
  <c r="L49" i="9"/>
  <c r="K49" i="9"/>
  <c r="J49" i="9"/>
  <c r="I49" i="9"/>
  <c r="H49" i="9"/>
  <c r="G49" i="9"/>
  <c r="F49" i="9"/>
  <c r="Q48" i="9"/>
  <c r="P48" i="9"/>
  <c r="O48" i="9"/>
  <c r="N48" i="9"/>
  <c r="M48" i="9"/>
  <c r="L48" i="9"/>
  <c r="K48" i="9"/>
  <c r="J48" i="9"/>
  <c r="I48" i="9"/>
  <c r="H48" i="9"/>
  <c r="G48" i="9"/>
  <c r="F48" i="9"/>
  <c r="Q47" i="9"/>
  <c r="P47" i="9"/>
  <c r="O47" i="9"/>
  <c r="N47" i="9"/>
  <c r="M47" i="9"/>
  <c r="L47" i="9"/>
  <c r="K47" i="9"/>
  <c r="J47" i="9"/>
  <c r="I47" i="9"/>
  <c r="H47" i="9"/>
  <c r="G47" i="9"/>
  <c r="F47" i="9"/>
  <c r="Q46" i="9"/>
  <c r="P46" i="9"/>
  <c r="O46" i="9"/>
  <c r="N46" i="9"/>
  <c r="M46" i="9"/>
  <c r="L46" i="9"/>
  <c r="K46" i="9"/>
  <c r="J46" i="9"/>
  <c r="I46" i="9"/>
  <c r="H46" i="9"/>
  <c r="G46" i="9"/>
  <c r="F46" i="9"/>
  <c r="Q45" i="9"/>
  <c r="P45" i="9"/>
  <c r="O45" i="9"/>
  <c r="N45" i="9"/>
  <c r="M45" i="9"/>
  <c r="L45" i="9"/>
  <c r="K45" i="9"/>
  <c r="J45" i="9"/>
  <c r="I45" i="9"/>
  <c r="H45" i="9"/>
  <c r="G45" i="9"/>
  <c r="F45" i="9"/>
  <c r="Q44" i="9"/>
  <c r="P44" i="9"/>
  <c r="P51" i="9" s="1"/>
  <c r="O44" i="9"/>
  <c r="O51" i="9" s="1"/>
  <c r="N44" i="9"/>
  <c r="N51" i="9" s="1"/>
  <c r="M44" i="9"/>
  <c r="L44" i="9"/>
  <c r="L51" i="9" s="1"/>
  <c r="K44" i="9"/>
  <c r="K51" i="9" s="1"/>
  <c r="J44" i="9"/>
  <c r="J51" i="9" s="1"/>
  <c r="I44" i="9"/>
  <c r="H44" i="9"/>
  <c r="G44" i="9"/>
  <c r="G51" i="9" s="1"/>
  <c r="F44" i="9"/>
  <c r="E50" i="9"/>
  <c r="E49" i="9"/>
  <c r="E48" i="9"/>
  <c r="E47" i="9"/>
  <c r="E46" i="9"/>
  <c r="E45" i="9"/>
  <c r="E44" i="9"/>
  <c r="Q37" i="9"/>
  <c r="P37" i="9"/>
  <c r="O37" i="9"/>
  <c r="N37" i="9"/>
  <c r="M37" i="9"/>
  <c r="L37" i="9"/>
  <c r="K37" i="9"/>
  <c r="J37" i="9"/>
  <c r="I37" i="9"/>
  <c r="H37" i="9"/>
  <c r="G37" i="9"/>
  <c r="F37" i="9"/>
  <c r="Q36" i="9"/>
  <c r="P36" i="9"/>
  <c r="O36" i="9"/>
  <c r="N36" i="9"/>
  <c r="M36" i="9"/>
  <c r="L36" i="9"/>
  <c r="K36" i="9"/>
  <c r="J36" i="9"/>
  <c r="I36" i="9"/>
  <c r="H36" i="9"/>
  <c r="G36" i="9"/>
  <c r="F36" i="9"/>
  <c r="Q35" i="9"/>
  <c r="P35" i="9"/>
  <c r="O35" i="9"/>
  <c r="N35" i="9"/>
  <c r="M35" i="9"/>
  <c r="L35" i="9"/>
  <c r="K35" i="9"/>
  <c r="J35" i="9"/>
  <c r="I35" i="9"/>
  <c r="H35" i="9"/>
  <c r="G35" i="9"/>
  <c r="F35" i="9"/>
  <c r="Q34" i="9"/>
  <c r="P34" i="9"/>
  <c r="O34" i="9"/>
  <c r="N34" i="9"/>
  <c r="M34" i="9"/>
  <c r="L34" i="9"/>
  <c r="K34" i="9"/>
  <c r="J34" i="9"/>
  <c r="I34" i="9"/>
  <c r="H34" i="9"/>
  <c r="G34" i="9"/>
  <c r="F34" i="9"/>
  <c r="Q33" i="9"/>
  <c r="P33" i="9"/>
  <c r="O33" i="9"/>
  <c r="N33" i="9"/>
  <c r="M33" i="9"/>
  <c r="L33" i="9"/>
  <c r="K33" i="9"/>
  <c r="J33" i="9"/>
  <c r="I33" i="9"/>
  <c r="H33" i="9"/>
  <c r="G33" i="9"/>
  <c r="F33" i="9"/>
  <c r="Q32" i="9"/>
  <c r="P32" i="9"/>
  <c r="O32" i="9"/>
  <c r="N32" i="9"/>
  <c r="M32" i="9"/>
  <c r="L32" i="9"/>
  <c r="K32" i="9"/>
  <c r="J32" i="9"/>
  <c r="I32" i="9"/>
  <c r="H32" i="9"/>
  <c r="G32" i="9"/>
  <c r="F32" i="9"/>
  <c r="Q31" i="9"/>
  <c r="P31" i="9"/>
  <c r="O31" i="9"/>
  <c r="N31" i="9"/>
  <c r="M31" i="9"/>
  <c r="L31" i="9"/>
  <c r="K31" i="9"/>
  <c r="J31" i="9"/>
  <c r="I31" i="9"/>
  <c r="H31" i="9"/>
  <c r="G31" i="9"/>
  <c r="F31" i="9"/>
  <c r="Q30" i="9"/>
  <c r="P30" i="9"/>
  <c r="O30" i="9"/>
  <c r="N30" i="9"/>
  <c r="M30" i="9"/>
  <c r="L30" i="9"/>
  <c r="K30" i="9"/>
  <c r="J30" i="9"/>
  <c r="I30" i="9"/>
  <c r="H30" i="9"/>
  <c r="G30" i="9"/>
  <c r="F30" i="9"/>
  <c r="Q29" i="9"/>
  <c r="P29" i="9"/>
  <c r="O29" i="9"/>
  <c r="N29" i="9"/>
  <c r="M29" i="9"/>
  <c r="L29" i="9"/>
  <c r="K29" i="9"/>
  <c r="J29" i="9"/>
  <c r="I29" i="9"/>
  <c r="H29" i="9"/>
  <c r="G29" i="9"/>
  <c r="F29" i="9"/>
  <c r="R28" i="9"/>
  <c r="E28" i="9"/>
  <c r="E39" i="9" s="1"/>
  <c r="E41" i="9" s="1"/>
  <c r="R18" i="9"/>
  <c r="J18" i="9" s="1"/>
  <c r="U12" i="13" l="1"/>
  <c r="U17" i="13" s="1"/>
  <c r="U13" i="13"/>
  <c r="U18" i="13" s="1"/>
  <c r="W13" i="13"/>
  <c r="W18" i="13" s="1"/>
  <c r="X13" i="13"/>
  <c r="X18" i="13" s="1"/>
  <c r="S24" i="13"/>
  <c r="U24" i="13"/>
  <c r="V24" i="13"/>
  <c r="V13" i="13"/>
  <c r="V18" i="13" s="1"/>
  <c r="T24" i="13"/>
  <c r="X24" i="13"/>
  <c r="S11" i="13"/>
  <c r="S16" i="13" s="1"/>
  <c r="T21" i="13"/>
  <c r="S22" i="13"/>
  <c r="Z11" i="13"/>
  <c r="Z16" i="13" s="1"/>
  <c r="AA11" i="13"/>
  <c r="AA16" i="13" s="1"/>
  <c r="S12" i="13"/>
  <c r="S17" i="13" s="1"/>
  <c r="T12" i="13"/>
  <c r="T17" i="13" s="1"/>
  <c r="W24" i="13"/>
  <c r="U14" i="13"/>
  <c r="U19" i="13" s="1"/>
  <c r="U29" i="13" s="1"/>
  <c r="U39" i="13" s="1"/>
  <c r="V11" i="13"/>
  <c r="V16" i="13" s="1"/>
  <c r="Y12" i="13"/>
  <c r="Y17" i="13" s="1"/>
  <c r="V14" i="13"/>
  <c r="V19" i="13" s="1"/>
  <c r="V29" i="13" s="1"/>
  <c r="V39" i="13" s="1"/>
  <c r="Y24" i="13"/>
  <c r="W11" i="13"/>
  <c r="W16" i="13" s="1"/>
  <c r="Z12" i="13"/>
  <c r="Z17" i="13" s="1"/>
  <c r="W14" i="13"/>
  <c r="W19" i="13" s="1"/>
  <c r="Z24" i="13"/>
  <c r="X11" i="13"/>
  <c r="X16" i="13" s="1"/>
  <c r="S13" i="13"/>
  <c r="S18" i="13" s="1"/>
  <c r="X14" i="13"/>
  <c r="X19" i="13" s="1"/>
  <c r="AA24" i="13"/>
  <c r="Y13" i="13"/>
  <c r="Y18" i="13" s="1"/>
  <c r="V12" i="13"/>
  <c r="V17" i="13" s="1"/>
  <c r="S14" i="13"/>
  <c r="S19" i="13" s="1"/>
  <c r="S29" i="13" s="1"/>
  <c r="T11" i="13"/>
  <c r="T16" i="13" s="1"/>
  <c r="W12" i="13"/>
  <c r="W17" i="13" s="1"/>
  <c r="T14" i="13"/>
  <c r="T19" i="13" s="1"/>
  <c r="U11" i="13"/>
  <c r="U16" i="13" s="1"/>
  <c r="X12" i="13"/>
  <c r="X17" i="13" s="1"/>
  <c r="Y11" i="13"/>
  <c r="Y16" i="13" s="1"/>
  <c r="T13" i="13"/>
  <c r="T18" i="13" s="1"/>
  <c r="S21" i="13"/>
  <c r="AB24" i="13"/>
  <c r="S23" i="13"/>
  <c r="U21" i="13"/>
  <c r="W21" i="13"/>
  <c r="W23" i="13"/>
  <c r="W28" i="13" s="1"/>
  <c r="W38" i="13" s="1"/>
  <c r="Z13" i="13"/>
  <c r="Z18" i="13" s="1"/>
  <c r="AB11" i="13"/>
  <c r="AB16" i="13" s="1"/>
  <c r="AB12" i="13"/>
  <c r="AB17" i="13" s="1"/>
  <c r="AB13" i="13"/>
  <c r="AB18" i="13" s="1"/>
  <c r="AB14" i="13"/>
  <c r="AB19" i="13" s="1"/>
  <c r="AB21" i="13"/>
  <c r="AB22" i="13"/>
  <c r="AB23" i="13"/>
  <c r="T22" i="13"/>
  <c r="U23" i="13"/>
  <c r="U28" i="13" s="1"/>
  <c r="U38" i="13" s="1"/>
  <c r="V22" i="13"/>
  <c r="V27" i="13" s="1"/>
  <c r="V37" i="13" s="1"/>
  <c r="V23" i="13"/>
  <c r="V28" i="13" s="1"/>
  <c r="V38" i="13" s="1"/>
  <c r="W22" i="13"/>
  <c r="X22" i="13"/>
  <c r="Y21" i="13"/>
  <c r="Y23" i="13"/>
  <c r="Z21" i="13"/>
  <c r="Z23" i="13"/>
  <c r="AA12" i="13"/>
  <c r="AA17" i="13" s="1"/>
  <c r="AA14" i="13"/>
  <c r="AA19" i="13" s="1"/>
  <c r="AA21" i="13"/>
  <c r="AA26" i="13" s="1"/>
  <c r="AA36" i="13" s="1"/>
  <c r="AA23" i="13"/>
  <c r="AC11" i="13"/>
  <c r="AC16" i="13" s="1"/>
  <c r="AC12" i="13"/>
  <c r="AC17" i="13" s="1"/>
  <c r="AC13" i="13"/>
  <c r="AC18" i="13" s="1"/>
  <c r="AC14" i="13"/>
  <c r="AC19" i="13" s="1"/>
  <c r="AC21" i="13"/>
  <c r="AC22" i="13"/>
  <c r="AC23" i="13"/>
  <c r="AC24" i="13"/>
  <c r="T23" i="13"/>
  <c r="U22" i="13"/>
  <c r="U27" i="13" s="1"/>
  <c r="U37" i="13" s="1"/>
  <c r="V21" i="13"/>
  <c r="X21" i="13"/>
  <c r="X23" i="13"/>
  <c r="X28" i="13" s="1"/>
  <c r="X38" i="13" s="1"/>
  <c r="Y14" i="13"/>
  <c r="Y19" i="13" s="1"/>
  <c r="Y22" i="13"/>
  <c r="Z14" i="13"/>
  <c r="Z19" i="13" s="1"/>
  <c r="Z22" i="13"/>
  <c r="AA13" i="13"/>
  <c r="AA18" i="13" s="1"/>
  <c r="AA22" i="13"/>
  <c r="AD11" i="13"/>
  <c r="AD16" i="13" s="1"/>
  <c r="AD26" i="13" s="1"/>
  <c r="AD36" i="13" s="1"/>
  <c r="AD12" i="13"/>
  <c r="AD17" i="13" s="1"/>
  <c r="AD27" i="13" s="1"/>
  <c r="AD37" i="13" s="1"/>
  <c r="AD13" i="13"/>
  <c r="AD18" i="13" s="1"/>
  <c r="AD28" i="13" s="1"/>
  <c r="AD38" i="13" s="1"/>
  <c r="AD14" i="13"/>
  <c r="AD19" i="13" s="1"/>
  <c r="AD29" i="13" s="1"/>
  <c r="AD39" i="13" s="1"/>
  <c r="U3" i="13"/>
  <c r="F22" i="13"/>
  <c r="J22" i="13"/>
  <c r="L22" i="13"/>
  <c r="M22" i="13"/>
  <c r="K22" i="13"/>
  <c r="M23" i="13"/>
  <c r="P23" i="13"/>
  <c r="J21" i="13"/>
  <c r="K21" i="13"/>
  <c r="AR28" i="13"/>
  <c r="AR38" i="13" s="1"/>
  <c r="N14" i="13"/>
  <c r="N19" i="13" s="1"/>
  <c r="N23" i="13"/>
  <c r="O23" i="13"/>
  <c r="G21" i="13"/>
  <c r="F21" i="13"/>
  <c r="J24" i="13"/>
  <c r="L21" i="13"/>
  <c r="K24" i="13"/>
  <c r="P22" i="13"/>
  <c r="P27" i="13" s="1"/>
  <c r="P37" i="13" s="1"/>
  <c r="AX27" i="13"/>
  <c r="AX37" i="13" s="1"/>
  <c r="L11" i="13"/>
  <c r="L16" i="13" s="1"/>
  <c r="Q22" i="13"/>
  <c r="E29" i="13"/>
  <c r="E39" i="13" s="1"/>
  <c r="R17" i="13"/>
  <c r="R27" i="13" s="1"/>
  <c r="R37" i="13" s="1"/>
  <c r="N12" i="13"/>
  <c r="N17" i="13" s="1"/>
  <c r="O21" i="13"/>
  <c r="J23" i="13"/>
  <c r="N24" i="13"/>
  <c r="Q23" i="13"/>
  <c r="N22" i="13"/>
  <c r="O22" i="13"/>
  <c r="AX26" i="13"/>
  <c r="AX36" i="13" s="1"/>
  <c r="K11" i="13"/>
  <c r="K16" i="13" s="1"/>
  <c r="K26" i="13" s="1"/>
  <c r="K36" i="13" s="1"/>
  <c r="M21" i="13"/>
  <c r="M26" i="13" s="1"/>
  <c r="M36" i="13" s="1"/>
  <c r="L24" i="13"/>
  <c r="AW26" i="13"/>
  <c r="AW36" i="13" s="1"/>
  <c r="M24" i="13"/>
  <c r="E28" i="13"/>
  <c r="E38" i="13" s="1"/>
  <c r="O12" i="13"/>
  <c r="O17" i="13" s="1"/>
  <c r="P21" i="13"/>
  <c r="K23" i="13"/>
  <c r="O24" i="13"/>
  <c r="O29" i="13" s="1"/>
  <c r="O39" i="13" s="1"/>
  <c r="N21" i="13"/>
  <c r="Q21" i="13"/>
  <c r="L23" i="13"/>
  <c r="P24" i="13"/>
  <c r="J13" i="13"/>
  <c r="J18" i="13" s="1"/>
  <c r="F13" i="13"/>
  <c r="F18" i="13" s="1"/>
  <c r="I13" i="13"/>
  <c r="I18" i="13" s="1"/>
  <c r="I28" i="13" s="1"/>
  <c r="I38" i="13" s="1"/>
  <c r="H13" i="13"/>
  <c r="H18" i="13" s="1"/>
  <c r="G13" i="13"/>
  <c r="G18" i="13" s="1"/>
  <c r="Q13" i="13"/>
  <c r="Q18" i="13" s="1"/>
  <c r="R19" i="13"/>
  <c r="R29" i="13" s="1"/>
  <c r="R39" i="13" s="1"/>
  <c r="J14" i="13"/>
  <c r="J19" i="13" s="1"/>
  <c r="H14" i="13"/>
  <c r="H19" i="13" s="1"/>
  <c r="G14" i="13"/>
  <c r="G19" i="13" s="1"/>
  <c r="I14" i="13"/>
  <c r="I19" i="13" s="1"/>
  <c r="I29" i="13" s="1"/>
  <c r="I39" i="13" s="1"/>
  <c r="F14" i="13"/>
  <c r="F19" i="13" s="1"/>
  <c r="Q14" i="13"/>
  <c r="Q19" i="13" s="1"/>
  <c r="P14" i="13"/>
  <c r="P19" i="13" s="1"/>
  <c r="J12" i="13"/>
  <c r="J17" i="13" s="1"/>
  <c r="H12" i="13"/>
  <c r="H17" i="13" s="1"/>
  <c r="Q12" i="13"/>
  <c r="Q17" i="13" s="1"/>
  <c r="I12" i="13"/>
  <c r="I17" i="13" s="1"/>
  <c r="I27" i="13" s="1"/>
  <c r="I37" i="13" s="1"/>
  <c r="G12" i="13"/>
  <c r="G17" i="13" s="1"/>
  <c r="F12" i="13"/>
  <c r="F17" i="13" s="1"/>
  <c r="L13" i="13"/>
  <c r="L18" i="13" s="1"/>
  <c r="R16" i="13"/>
  <c r="R26" i="13" s="1"/>
  <c r="J11" i="13"/>
  <c r="J16" i="13" s="1"/>
  <c r="H11" i="13"/>
  <c r="H16" i="13" s="1"/>
  <c r="G11" i="13"/>
  <c r="G16" i="13" s="1"/>
  <c r="F11" i="13"/>
  <c r="F16" i="13" s="1"/>
  <c r="I11" i="13"/>
  <c r="I16" i="13" s="1"/>
  <c r="I26" i="13" s="1"/>
  <c r="I36" i="13" s="1"/>
  <c r="Q11" i="13"/>
  <c r="Q16" i="13" s="1"/>
  <c r="R18" i="13"/>
  <c r="R28" i="13" s="1"/>
  <c r="R38" i="13" s="1"/>
  <c r="O13" i="13"/>
  <c r="O18" i="13" s="1"/>
  <c r="P13" i="13"/>
  <c r="P18" i="13" s="1"/>
  <c r="K14" i="13"/>
  <c r="K19" i="13" s="1"/>
  <c r="L12" i="13"/>
  <c r="L17" i="13" s="1"/>
  <c r="L14" i="13"/>
  <c r="L19" i="13" s="1"/>
  <c r="K13" i="13"/>
  <c r="K18" i="13" s="1"/>
  <c r="M13" i="13"/>
  <c r="M18" i="13" s="1"/>
  <c r="N11" i="13"/>
  <c r="N16" i="13" s="1"/>
  <c r="N13" i="13"/>
  <c r="N18" i="13" s="1"/>
  <c r="O11" i="13"/>
  <c r="O16" i="13" s="1"/>
  <c r="P11" i="13"/>
  <c r="P16" i="13" s="1"/>
  <c r="K12" i="13"/>
  <c r="K17" i="13" s="1"/>
  <c r="M12" i="13"/>
  <c r="M17" i="13" s="1"/>
  <c r="M27" i="13" s="1"/>
  <c r="M37" i="13" s="1"/>
  <c r="M14" i="13"/>
  <c r="M19" i="13" s="1"/>
  <c r="Q24" i="13"/>
  <c r="AT27" i="13"/>
  <c r="AT37" i="13" s="1"/>
  <c r="AU28" i="13"/>
  <c r="AU38" i="13" s="1"/>
  <c r="F24" i="13"/>
  <c r="AT26" i="13"/>
  <c r="AT36" i="13" s="1"/>
  <c r="AV28" i="13"/>
  <c r="AV38" i="13" s="1"/>
  <c r="G24" i="13"/>
  <c r="AU26" i="13"/>
  <c r="AU36" i="13" s="1"/>
  <c r="AV27" i="13"/>
  <c r="AV37" i="13" s="1"/>
  <c r="AW28" i="13"/>
  <c r="AW38" i="13" s="1"/>
  <c r="AX29" i="13"/>
  <c r="AX39" i="13" s="1"/>
  <c r="H21" i="13"/>
  <c r="H22" i="13"/>
  <c r="H23" i="13"/>
  <c r="H24" i="13"/>
  <c r="AS26" i="13"/>
  <c r="AS36" i="13" s="1"/>
  <c r="AV29" i="13"/>
  <c r="AV39" i="13" s="1"/>
  <c r="F23" i="13"/>
  <c r="AU27" i="13"/>
  <c r="AU37" i="13" s="1"/>
  <c r="AW29" i="13"/>
  <c r="AW39" i="13" s="1"/>
  <c r="G22" i="13"/>
  <c r="G23" i="13"/>
  <c r="AE26" i="13"/>
  <c r="AE36" i="13" s="1"/>
  <c r="AR27" i="13"/>
  <c r="AR37" i="13" s="1"/>
  <c r="AS28" i="13"/>
  <c r="AS38" i="13" s="1"/>
  <c r="AV26" i="13"/>
  <c r="AV36" i="13" s="1"/>
  <c r="AW27" i="13"/>
  <c r="AW37" i="13" s="1"/>
  <c r="AX28" i="13"/>
  <c r="AX38" i="13" s="1"/>
  <c r="AE29" i="13"/>
  <c r="AE39" i="13" s="1"/>
  <c r="AS29" i="13"/>
  <c r="AS39" i="13" s="1"/>
  <c r="E27" i="13"/>
  <c r="E37" i="13" s="1"/>
  <c r="AT29" i="13"/>
  <c r="AT39" i="13" s="1"/>
  <c r="E26" i="13"/>
  <c r="E36" i="13" s="1"/>
  <c r="AR29" i="13"/>
  <c r="AR39" i="13" s="1"/>
  <c r="AE27" i="13"/>
  <c r="AE37" i="13" s="1"/>
  <c r="AR26" i="13"/>
  <c r="AR36" i="13" s="1"/>
  <c r="AS27" i="13"/>
  <c r="AS37" i="13" s="1"/>
  <c r="AT28" i="13"/>
  <c r="AT38" i="13" s="1"/>
  <c r="AU29" i="13"/>
  <c r="AU39" i="13" s="1"/>
  <c r="AE28" i="13"/>
  <c r="AE38" i="13" s="1"/>
  <c r="W32" i="12"/>
  <c r="W42" i="12" s="1"/>
  <c r="AK11" i="11" s="1"/>
  <c r="Z31" i="12"/>
  <c r="Z41" i="12" s="1"/>
  <c r="AN10" i="11" s="1"/>
  <c r="U31" i="12"/>
  <c r="U41" i="12" s="1"/>
  <c r="AI10" i="11" s="1"/>
  <c r="W34" i="12"/>
  <c r="W44" i="12" s="1"/>
  <c r="AK13" i="11" s="1"/>
  <c r="Z33" i="12"/>
  <c r="Z43" i="12" s="1"/>
  <c r="AN12" i="11" s="1"/>
  <c r="R32" i="12"/>
  <c r="R42" i="12" s="1"/>
  <c r="AF11" i="11" s="1"/>
  <c r="U33" i="12"/>
  <c r="U43" i="12" s="1"/>
  <c r="AI12" i="11" s="1"/>
  <c r="E34" i="12"/>
  <c r="E44" i="12" s="1"/>
  <c r="S32" i="12"/>
  <c r="S42" i="12" s="1"/>
  <c r="AG11" i="11" s="1"/>
  <c r="R34" i="12"/>
  <c r="R44" i="12" s="1"/>
  <c r="AF13" i="11" s="1"/>
  <c r="E31" i="12"/>
  <c r="E41" i="12" s="1"/>
  <c r="E33" i="12"/>
  <c r="E43" i="12" s="1"/>
  <c r="T33" i="12"/>
  <c r="T43" i="12" s="1"/>
  <c r="AH12" i="11" s="1"/>
  <c r="X32" i="12"/>
  <c r="X42" i="12" s="1"/>
  <c r="AL11" i="11" s="1"/>
  <c r="Y33" i="12"/>
  <c r="Y43" i="12" s="1"/>
  <c r="AM12" i="11" s="1"/>
  <c r="Y32" i="12"/>
  <c r="Y42" i="12" s="1"/>
  <c r="AM11" i="11" s="1"/>
  <c r="R31" i="12"/>
  <c r="R41" i="12" s="1"/>
  <c r="AF10" i="11" s="1"/>
  <c r="X34" i="12"/>
  <c r="X44" i="12" s="1"/>
  <c r="AL13" i="11" s="1"/>
  <c r="T34" i="12"/>
  <c r="T44" i="12" s="1"/>
  <c r="AH13" i="11" s="1"/>
  <c r="U32" i="12"/>
  <c r="U42" i="12" s="1"/>
  <c r="AI11" i="11" s="1"/>
  <c r="Y34" i="12"/>
  <c r="Y44" i="12" s="1"/>
  <c r="AM13" i="11" s="1"/>
  <c r="V31" i="12"/>
  <c r="V41" i="12" s="1"/>
  <c r="AJ10" i="11" s="1"/>
  <c r="T32" i="12"/>
  <c r="T42" i="12" s="1"/>
  <c r="AH11" i="11" s="1"/>
  <c r="W31" i="12"/>
  <c r="W41" i="12" s="1"/>
  <c r="AK10" i="11" s="1"/>
  <c r="S31" i="12"/>
  <c r="S41" i="12" s="1"/>
  <c r="AG10" i="11" s="1"/>
  <c r="W33" i="12"/>
  <c r="W43" i="12" s="1"/>
  <c r="AK12" i="11" s="1"/>
  <c r="X31" i="12"/>
  <c r="X41" i="12" s="1"/>
  <c r="AL10" i="11" s="1"/>
  <c r="R33" i="12"/>
  <c r="R43" i="12" s="1"/>
  <c r="AF12" i="11" s="1"/>
  <c r="U34" i="12"/>
  <c r="U44" i="12" s="1"/>
  <c r="AI13" i="11" s="1"/>
  <c r="T31" i="12"/>
  <c r="T41" i="12" s="1"/>
  <c r="AH10" i="11" s="1"/>
  <c r="V32" i="12"/>
  <c r="V42" i="12" s="1"/>
  <c r="AJ11" i="11" s="1"/>
  <c r="X33" i="12"/>
  <c r="X43" i="12" s="1"/>
  <c r="AL12" i="11" s="1"/>
  <c r="Z34" i="12"/>
  <c r="Z44" i="12" s="1"/>
  <c r="AN13" i="11" s="1"/>
  <c r="S34" i="12"/>
  <c r="S44" i="12" s="1"/>
  <c r="AG13" i="11" s="1"/>
  <c r="V33" i="12"/>
  <c r="V43" i="12" s="1"/>
  <c r="AJ12" i="11" s="1"/>
  <c r="Z32" i="12"/>
  <c r="Z42" i="12" s="1"/>
  <c r="AN11" i="11" s="1"/>
  <c r="E32" i="12"/>
  <c r="E42" i="12" s="1"/>
  <c r="Y31" i="12"/>
  <c r="Y41" i="12" s="1"/>
  <c r="AM10" i="11" s="1"/>
  <c r="S33" i="12"/>
  <c r="S43" i="12" s="1"/>
  <c r="AG12" i="11" s="1"/>
  <c r="V34" i="12"/>
  <c r="V44" i="12" s="1"/>
  <c r="AJ13" i="11" s="1"/>
  <c r="T22" i="9"/>
  <c r="J23" i="9"/>
  <c r="J25" i="9" s="1"/>
  <c r="Q38" i="9"/>
  <c r="P38" i="9"/>
  <c r="N38" i="9"/>
  <c r="L38" i="9"/>
  <c r="K38" i="9"/>
  <c r="J38" i="9"/>
  <c r="I38" i="9"/>
  <c r="H38" i="9"/>
  <c r="F38" i="9"/>
  <c r="M38" i="9"/>
  <c r="O38" i="9"/>
  <c r="G38" i="9"/>
  <c r="P39" i="9"/>
  <c r="L39" i="9"/>
  <c r="Q19" i="9"/>
  <c r="P19" i="9"/>
  <c r="O19" i="9"/>
  <c r="N19" i="9"/>
  <c r="M19" i="9"/>
  <c r="L19" i="9"/>
  <c r="F3" i="10"/>
  <c r="G3" i="10" s="1"/>
  <c r="B5" i="10"/>
  <c r="H10" i="10" s="1"/>
  <c r="G12" i="10"/>
  <c r="F13" i="10"/>
  <c r="H7" i="10"/>
  <c r="G9" i="10"/>
  <c r="F16" i="10"/>
  <c r="F4" i="10"/>
  <c r="F15" i="10"/>
  <c r="G11" i="10"/>
  <c r="H9" i="10"/>
  <c r="H12" i="10"/>
  <c r="F6" i="10"/>
  <c r="G13" i="10"/>
  <c r="G4" i="10"/>
  <c r="G16" i="10"/>
  <c r="F7" i="10"/>
  <c r="G5" i="10"/>
  <c r="G17" i="10"/>
  <c r="H15" i="10"/>
  <c r="H16" i="10"/>
  <c r="G7" i="10"/>
  <c r="H5" i="10"/>
  <c r="G8" i="10"/>
  <c r="H6" i="10"/>
  <c r="F12" i="10"/>
  <c r="G10" i="10"/>
  <c r="I51" i="9"/>
  <c r="Q51" i="9"/>
  <c r="F51" i="9"/>
  <c r="H51" i="9"/>
  <c r="F58" i="9"/>
  <c r="E51" i="9"/>
  <c r="E53" i="9" s="1"/>
  <c r="G58" i="9"/>
  <c r="H58" i="9"/>
  <c r="I58" i="9"/>
  <c r="J58" i="9"/>
  <c r="K58" i="9"/>
  <c r="L58" i="9"/>
  <c r="M58" i="9"/>
  <c r="N58" i="9"/>
  <c r="O58" i="9"/>
  <c r="P58" i="9"/>
  <c r="M51" i="9"/>
  <c r="F39" i="9"/>
  <c r="Q39" i="9"/>
  <c r="K39" i="9"/>
  <c r="R44" i="9"/>
  <c r="R45" i="9"/>
  <c r="R46" i="9"/>
  <c r="R47" i="9"/>
  <c r="R48" i="9"/>
  <c r="R49" i="9"/>
  <c r="R50" i="9"/>
  <c r="I39" i="9"/>
  <c r="J39" i="9"/>
  <c r="G39" i="9"/>
  <c r="N39" i="9"/>
  <c r="O39" i="9"/>
  <c r="M39" i="9"/>
  <c r="R30" i="9"/>
  <c r="R31" i="9"/>
  <c r="R32" i="9"/>
  <c r="R33" i="9"/>
  <c r="R34" i="9"/>
  <c r="R35" i="9"/>
  <c r="R36" i="9"/>
  <c r="R37" i="9"/>
  <c r="H39" i="9"/>
  <c r="R29" i="9"/>
  <c r="R23" i="9"/>
  <c r="T23" i="9" s="1"/>
  <c r="G18" i="9"/>
  <c r="G23" i="9" s="1"/>
  <c r="G25" i="9" s="1"/>
  <c r="H18" i="9"/>
  <c r="I18" i="9"/>
  <c r="K18" i="9"/>
  <c r="L18" i="9"/>
  <c r="M18" i="9"/>
  <c r="N18" i="9"/>
  <c r="O18" i="9"/>
  <c r="O23" i="9" s="1"/>
  <c r="O25" i="9" s="1"/>
  <c r="P18" i="9"/>
  <c r="Q18" i="9"/>
  <c r="Q23" i="9" s="1"/>
  <c r="Q25" i="9" s="1"/>
  <c r="F18" i="9"/>
  <c r="F23" i="9" s="1"/>
  <c r="F25" i="9" s="1"/>
  <c r="E15" i="9"/>
  <c r="Q5" i="9"/>
  <c r="Q6" i="9" s="1"/>
  <c r="P5" i="9"/>
  <c r="P6" i="9" s="1"/>
  <c r="O5" i="9"/>
  <c r="O6" i="9" s="1"/>
  <c r="N5" i="9"/>
  <c r="N6" i="9" s="1"/>
  <c r="M5" i="9"/>
  <c r="M6" i="9" s="1"/>
  <c r="L5" i="9"/>
  <c r="L6" i="9" s="1"/>
  <c r="K5" i="9"/>
  <c r="K6" i="9" s="1"/>
  <c r="J5" i="9"/>
  <c r="J6" i="9" s="1"/>
  <c r="I5" i="9"/>
  <c r="I6" i="9" s="1"/>
  <c r="H5" i="9"/>
  <c r="H6" i="9" s="1"/>
  <c r="G5" i="9"/>
  <c r="G6" i="9" s="1"/>
  <c r="F5" i="9"/>
  <c r="F6" i="9" s="1"/>
  <c r="R4" i="9"/>
  <c r="P41" i="8"/>
  <c r="P40" i="8"/>
  <c r="P39" i="8"/>
  <c r="P38" i="8"/>
  <c r="P35" i="8"/>
  <c r="P34" i="8"/>
  <c r="P33" i="8"/>
  <c r="P32" i="8"/>
  <c r="P31" i="8"/>
  <c r="P30" i="8"/>
  <c r="P29" i="8"/>
  <c r="P26" i="8"/>
  <c r="P25" i="8"/>
  <c r="P24" i="8"/>
  <c r="P23" i="8"/>
  <c r="P19" i="8"/>
  <c r="P18" i="8"/>
  <c r="P17" i="8"/>
  <c r="P16" i="8"/>
  <c r="P12" i="8"/>
  <c r="P11" i="8"/>
  <c r="P10" i="8"/>
  <c r="P13" i="8"/>
  <c r="P4" i="8"/>
  <c r="O5" i="8"/>
  <c r="P5" i="8" s="1"/>
  <c r="N5" i="8"/>
  <c r="N6" i="8" s="1"/>
  <c r="M5" i="8"/>
  <c r="M6" i="8" s="1"/>
  <c r="L5" i="8"/>
  <c r="L6" i="8" s="1"/>
  <c r="K5" i="8"/>
  <c r="K6" i="8" s="1"/>
  <c r="J5" i="8"/>
  <c r="J6" i="8" s="1"/>
  <c r="I5" i="8"/>
  <c r="I6" i="8" s="1"/>
  <c r="H5" i="8"/>
  <c r="H6" i="8" s="1"/>
  <c r="G5" i="8"/>
  <c r="G6" i="8" s="1"/>
  <c r="F5" i="8"/>
  <c r="F6" i="8" s="1"/>
  <c r="E5" i="8"/>
  <c r="E6" i="8" s="1"/>
  <c r="D5" i="8"/>
  <c r="D6" i="8" s="1"/>
  <c r="O67" i="7"/>
  <c r="N67" i="7"/>
  <c r="M67" i="7"/>
  <c r="L67" i="7"/>
  <c r="K67" i="7"/>
  <c r="J67" i="7"/>
  <c r="I67" i="7"/>
  <c r="H67" i="7"/>
  <c r="O66" i="7"/>
  <c r="N66" i="7"/>
  <c r="M66" i="7"/>
  <c r="L66" i="7"/>
  <c r="K66" i="7"/>
  <c r="J66" i="7"/>
  <c r="I66" i="7"/>
  <c r="H66" i="7"/>
  <c r="G67" i="7"/>
  <c r="G66" i="7"/>
  <c r="F64" i="7" a="1"/>
  <c r="F64" i="7" s="1"/>
  <c r="O62" i="7"/>
  <c r="N62" i="7"/>
  <c r="M62" i="7"/>
  <c r="L62" i="7"/>
  <c r="K62" i="7"/>
  <c r="J62" i="7"/>
  <c r="I62" i="7"/>
  <c r="H62" i="7"/>
  <c r="O61" i="7"/>
  <c r="N61" i="7"/>
  <c r="M61" i="7"/>
  <c r="L61" i="7"/>
  <c r="K61" i="7"/>
  <c r="J61" i="7"/>
  <c r="I61" i="7"/>
  <c r="H61" i="7"/>
  <c r="G62" i="7"/>
  <c r="G61" i="7"/>
  <c r="F59" i="7" a="1"/>
  <c r="F59" i="7" s="1"/>
  <c r="O51" i="7"/>
  <c r="N51" i="7"/>
  <c r="M51" i="7"/>
  <c r="L51" i="7"/>
  <c r="K51" i="7"/>
  <c r="J51" i="7"/>
  <c r="I51" i="7"/>
  <c r="H51" i="7"/>
  <c r="O50" i="7"/>
  <c r="N50" i="7"/>
  <c r="M50" i="7"/>
  <c r="L50" i="7"/>
  <c r="K50" i="7"/>
  <c r="J50" i="7"/>
  <c r="I50" i="7"/>
  <c r="H50" i="7"/>
  <c r="O56" i="7"/>
  <c r="N56" i="7"/>
  <c r="M56" i="7"/>
  <c r="L56" i="7"/>
  <c r="K56" i="7"/>
  <c r="J56" i="7"/>
  <c r="I56" i="7"/>
  <c r="H56" i="7"/>
  <c r="O55" i="7"/>
  <c r="N55" i="7"/>
  <c r="M55" i="7"/>
  <c r="L55" i="7"/>
  <c r="K55" i="7"/>
  <c r="J55" i="7"/>
  <c r="I55" i="7"/>
  <c r="H55" i="7"/>
  <c r="G56" i="7"/>
  <c r="G55" i="7"/>
  <c r="G51" i="7"/>
  <c r="G50" i="7"/>
  <c r="O45" i="7"/>
  <c r="N45" i="7"/>
  <c r="M45" i="7"/>
  <c r="L45" i="7"/>
  <c r="K45" i="7"/>
  <c r="J45" i="7"/>
  <c r="I45" i="7"/>
  <c r="H45" i="7"/>
  <c r="G45" i="7"/>
  <c r="O44" i="7"/>
  <c r="N44" i="7"/>
  <c r="M44" i="7"/>
  <c r="L44" i="7"/>
  <c r="K44" i="7"/>
  <c r="J44" i="7"/>
  <c r="I44" i="7"/>
  <c r="H44" i="7"/>
  <c r="G44" i="7"/>
  <c r="O40" i="7"/>
  <c r="N40" i="7"/>
  <c r="M40" i="7"/>
  <c r="L40" i="7"/>
  <c r="K40" i="7"/>
  <c r="J40" i="7"/>
  <c r="I40" i="7"/>
  <c r="H40" i="7"/>
  <c r="G40" i="7"/>
  <c r="O39" i="7"/>
  <c r="N39" i="7"/>
  <c r="M39" i="7"/>
  <c r="F37" i="7" s="1" a="1"/>
  <c r="F37" i="7" s="1"/>
  <c r="L39" i="7"/>
  <c r="K39" i="7"/>
  <c r="J39" i="7"/>
  <c r="I39" i="7"/>
  <c r="H39" i="7"/>
  <c r="G39" i="7"/>
  <c r="O35" i="7"/>
  <c r="N35" i="7"/>
  <c r="M35" i="7"/>
  <c r="L35" i="7"/>
  <c r="K35" i="7"/>
  <c r="J35" i="7"/>
  <c r="I35" i="7"/>
  <c r="H35" i="7"/>
  <c r="G35" i="7"/>
  <c r="O34" i="7"/>
  <c r="N34" i="7"/>
  <c r="M34" i="7"/>
  <c r="F32" i="7" s="1" a="1"/>
  <c r="F32" i="7" s="1"/>
  <c r="L34" i="7"/>
  <c r="K34" i="7"/>
  <c r="J34" i="7"/>
  <c r="I34" i="7"/>
  <c r="H34" i="7"/>
  <c r="G34" i="7"/>
  <c r="O28" i="7"/>
  <c r="N28" i="7"/>
  <c r="M28" i="7"/>
  <c r="L28" i="7"/>
  <c r="K28" i="7"/>
  <c r="J28" i="7"/>
  <c r="I28" i="7"/>
  <c r="H28" i="7"/>
  <c r="G28" i="7"/>
  <c r="O27" i="7"/>
  <c r="N27" i="7"/>
  <c r="M27" i="7"/>
  <c r="F25" i="7" s="1" a="1"/>
  <c r="F25" i="7" s="1"/>
  <c r="L27" i="7"/>
  <c r="K27" i="7"/>
  <c r="J27" i="7"/>
  <c r="I27" i="7"/>
  <c r="H27" i="7"/>
  <c r="G27" i="7"/>
  <c r="O23" i="7"/>
  <c r="N23" i="7"/>
  <c r="M23" i="7"/>
  <c r="L23" i="7"/>
  <c r="K23" i="7"/>
  <c r="J23" i="7"/>
  <c r="I23" i="7"/>
  <c r="H23" i="7"/>
  <c r="G23" i="7"/>
  <c r="O22" i="7"/>
  <c r="N22" i="7"/>
  <c r="M22" i="7"/>
  <c r="L22" i="7"/>
  <c r="K22" i="7"/>
  <c r="J22" i="7"/>
  <c r="I22" i="7"/>
  <c r="H22" i="7"/>
  <c r="G22" i="7"/>
  <c r="O18" i="7"/>
  <c r="N18" i="7"/>
  <c r="M18" i="7"/>
  <c r="L18" i="7"/>
  <c r="K18" i="7"/>
  <c r="J18" i="7"/>
  <c r="I18" i="7"/>
  <c r="H18" i="7"/>
  <c r="G18" i="7"/>
  <c r="O17" i="7"/>
  <c r="N17" i="7"/>
  <c r="M17" i="7"/>
  <c r="L17" i="7"/>
  <c r="K17" i="7"/>
  <c r="J17" i="7"/>
  <c r="I17" i="7"/>
  <c r="H17" i="7"/>
  <c r="G17" i="7"/>
  <c r="F15" i="7" s="1" a="1"/>
  <c r="F15" i="7" s="1"/>
  <c r="F35" i="7"/>
  <c r="F34" i="7"/>
  <c r="F28" i="7"/>
  <c r="F27" i="7"/>
  <c r="F23" i="7"/>
  <c r="F22" i="7"/>
  <c r="F53" i="7" a="1"/>
  <c r="F53" i="7" s="1"/>
  <c r="F48" i="7" a="1"/>
  <c r="F48" i="7" s="1"/>
  <c r="F20" i="7" a="1"/>
  <c r="F20" i="7" s="1"/>
  <c r="I13" i="7"/>
  <c r="I12" i="7"/>
  <c r="F10" i="7" a="1"/>
  <c r="F10" i="7" s="1"/>
  <c r="F18" i="7"/>
  <c r="F17" i="7"/>
  <c r="O13" i="7"/>
  <c r="N13" i="7"/>
  <c r="M13" i="7"/>
  <c r="L13" i="7"/>
  <c r="K13" i="7"/>
  <c r="J13" i="7"/>
  <c r="H13" i="7"/>
  <c r="G13" i="7"/>
  <c r="F13" i="7"/>
  <c r="O12" i="7"/>
  <c r="N12" i="7"/>
  <c r="M12" i="7"/>
  <c r="L12" i="7"/>
  <c r="K12" i="7"/>
  <c r="J12" i="7"/>
  <c r="H12" i="7"/>
  <c r="G12" i="7"/>
  <c r="F12" i="7"/>
  <c r="O5" i="7"/>
  <c r="N5" i="7"/>
  <c r="M5" i="7"/>
  <c r="L5" i="7"/>
  <c r="K5" i="7"/>
  <c r="J5" i="7"/>
  <c r="I5" i="7"/>
  <c r="H5" i="7"/>
  <c r="G5" i="7"/>
  <c r="F5" i="7"/>
  <c r="P57" i="5"/>
  <c r="O57" i="5"/>
  <c r="N57" i="5"/>
  <c r="M57" i="5"/>
  <c r="L57" i="5"/>
  <c r="K57" i="5"/>
  <c r="J57" i="5"/>
  <c r="I57" i="5"/>
  <c r="H57" i="5"/>
  <c r="G57" i="5"/>
  <c r="J50" i="6"/>
  <c r="I50" i="6"/>
  <c r="B48" i="6"/>
  <c r="H50" i="6" s="1"/>
  <c r="M45" i="6"/>
  <c r="L45" i="6"/>
  <c r="K45" i="6"/>
  <c r="I44" i="6"/>
  <c r="K43" i="6"/>
  <c r="J43" i="6"/>
  <c r="I43" i="6"/>
  <c r="H43" i="6"/>
  <c r="G43" i="6"/>
  <c r="D42" i="6"/>
  <c r="D46" i="6" s="1"/>
  <c r="G55" i="5" s="1"/>
  <c r="H42" i="6"/>
  <c r="H46" i="6" s="1"/>
  <c r="K55" i="5" s="1"/>
  <c r="B41" i="6"/>
  <c r="M44" i="6" s="1"/>
  <c r="B33" i="6"/>
  <c r="J35" i="6" s="1"/>
  <c r="C33" i="6"/>
  <c r="L29" i="6"/>
  <c r="K29" i="6"/>
  <c r="B25" i="6"/>
  <c r="M30" i="6" s="1"/>
  <c r="B15" i="6"/>
  <c r="M22" i="6" s="1"/>
  <c r="B13" i="6"/>
  <c r="L13" i="6" s="1"/>
  <c r="L14" i="6" s="1"/>
  <c r="E11" i="6"/>
  <c r="F11" i="6" s="1"/>
  <c r="G11" i="6" s="1"/>
  <c r="H11" i="6" s="1"/>
  <c r="I11" i="6" s="1"/>
  <c r="J11" i="6" s="1"/>
  <c r="K11" i="6" s="1"/>
  <c r="L11" i="6" s="1"/>
  <c r="M11" i="6" s="1"/>
  <c r="E3" i="6"/>
  <c r="F3" i="6" s="1"/>
  <c r="G3" i="6" s="1"/>
  <c r="H3" i="6" s="1"/>
  <c r="I3" i="6" s="1"/>
  <c r="J3" i="6" s="1"/>
  <c r="K3" i="6" s="1"/>
  <c r="L3" i="6" s="1"/>
  <c r="M3" i="6" s="1"/>
  <c r="H53" i="5"/>
  <c r="I53" i="5" s="1"/>
  <c r="J53" i="5" s="1"/>
  <c r="K53" i="5" s="1"/>
  <c r="L53" i="5" s="1"/>
  <c r="M53" i="5" s="1"/>
  <c r="N53" i="5" s="1"/>
  <c r="O53" i="5" s="1"/>
  <c r="P53" i="5" s="1"/>
  <c r="G53" i="5"/>
  <c r="H52" i="5"/>
  <c r="I52" i="5"/>
  <c r="J52" i="5"/>
  <c r="K52" i="5" s="1"/>
  <c r="L52" i="5" s="1"/>
  <c r="M52" i="5" s="1"/>
  <c r="N52" i="5" s="1"/>
  <c r="O52" i="5" s="1"/>
  <c r="P52" i="5" s="1"/>
  <c r="G52" i="5"/>
  <c r="P37" i="5"/>
  <c r="O37" i="5"/>
  <c r="N37" i="5"/>
  <c r="M37" i="5"/>
  <c r="L37" i="5"/>
  <c r="K37" i="5"/>
  <c r="J37" i="5"/>
  <c r="I37" i="5"/>
  <c r="H37" i="5"/>
  <c r="G37" i="5"/>
  <c r="P36" i="5"/>
  <c r="O36" i="5"/>
  <c r="N36" i="5"/>
  <c r="M36" i="5"/>
  <c r="L36" i="5"/>
  <c r="K36" i="5"/>
  <c r="J36" i="5"/>
  <c r="I36" i="5"/>
  <c r="H36" i="5"/>
  <c r="P35" i="5"/>
  <c r="O35" i="5"/>
  <c r="N35" i="5"/>
  <c r="M35" i="5"/>
  <c r="L35" i="5"/>
  <c r="K35" i="5"/>
  <c r="J35" i="5"/>
  <c r="I35" i="5"/>
  <c r="H35" i="5"/>
  <c r="P34" i="5"/>
  <c r="O34" i="5"/>
  <c r="N34" i="5"/>
  <c r="M34" i="5"/>
  <c r="L34" i="5"/>
  <c r="K34" i="5"/>
  <c r="J34" i="5"/>
  <c r="I34" i="5"/>
  <c r="H34" i="5"/>
  <c r="P33" i="5"/>
  <c r="O33" i="5"/>
  <c r="N33" i="5"/>
  <c r="M33" i="5"/>
  <c r="L33" i="5"/>
  <c r="K33" i="5"/>
  <c r="J33" i="5"/>
  <c r="I33" i="5"/>
  <c r="H33" i="5"/>
  <c r="P32" i="5"/>
  <c r="O32" i="5"/>
  <c r="N32" i="5"/>
  <c r="M32" i="5"/>
  <c r="L32" i="5"/>
  <c r="K32" i="5"/>
  <c r="J32" i="5"/>
  <c r="I32" i="5"/>
  <c r="H32" i="5"/>
  <c r="P31" i="5"/>
  <c r="P38" i="5" s="1"/>
  <c r="O31" i="5"/>
  <c r="O38" i="5" s="1"/>
  <c r="N31" i="5"/>
  <c r="N38" i="5" s="1"/>
  <c r="M31" i="5"/>
  <c r="M38" i="5" s="1"/>
  <c r="L31" i="5"/>
  <c r="L38" i="5" s="1"/>
  <c r="K31" i="5"/>
  <c r="K38" i="5" s="1"/>
  <c r="J31" i="5"/>
  <c r="J38" i="5" s="1"/>
  <c r="I31" i="5"/>
  <c r="I38" i="5" s="1"/>
  <c r="H31" i="5"/>
  <c r="H38" i="5" s="1"/>
  <c r="P28" i="5"/>
  <c r="O28" i="5"/>
  <c r="N28" i="5"/>
  <c r="M28" i="5"/>
  <c r="L28" i="5"/>
  <c r="K28" i="5"/>
  <c r="J28" i="5"/>
  <c r="I28" i="5"/>
  <c r="H28" i="5"/>
  <c r="G28" i="5"/>
  <c r="G16" i="5"/>
  <c r="G36" i="5" s="1"/>
  <c r="G15" i="5"/>
  <c r="G35" i="5" s="1"/>
  <c r="G14" i="5"/>
  <c r="G34" i="5" s="1"/>
  <c r="G13" i="5"/>
  <c r="G33" i="5" s="1"/>
  <c r="G12" i="5"/>
  <c r="G32" i="5" s="1"/>
  <c r="G11" i="5"/>
  <c r="P5" i="5"/>
  <c r="O5" i="5"/>
  <c r="N5" i="5"/>
  <c r="M5" i="5"/>
  <c r="L5" i="5"/>
  <c r="K5" i="5"/>
  <c r="J5" i="5"/>
  <c r="I5" i="5"/>
  <c r="H5" i="5"/>
  <c r="G5" i="5"/>
  <c r="T28" i="4"/>
  <c r="T24" i="4"/>
  <c r="T22" i="4"/>
  <c r="T20" i="4"/>
  <c r="R16" i="4"/>
  <c r="Q16" i="4"/>
  <c r="P16" i="4"/>
  <c r="O16" i="4"/>
  <c r="N16" i="4"/>
  <c r="M16" i="4"/>
  <c r="L16" i="4"/>
  <c r="K16" i="4"/>
  <c r="J16" i="4"/>
  <c r="R15" i="4"/>
  <c r="Q15" i="4"/>
  <c r="P15" i="4"/>
  <c r="O15" i="4"/>
  <c r="N15" i="4"/>
  <c r="M15" i="4"/>
  <c r="L15" i="4"/>
  <c r="K15" i="4"/>
  <c r="J15" i="4"/>
  <c r="R14" i="4"/>
  <c r="Q14" i="4"/>
  <c r="P14" i="4"/>
  <c r="O14" i="4"/>
  <c r="N14" i="4"/>
  <c r="M14" i="4"/>
  <c r="L14" i="4"/>
  <c r="K14" i="4"/>
  <c r="J14" i="4"/>
  <c r="R13" i="4"/>
  <c r="Q13" i="4"/>
  <c r="P13" i="4"/>
  <c r="O13" i="4"/>
  <c r="N13" i="4"/>
  <c r="M13" i="4"/>
  <c r="L13" i="4"/>
  <c r="K13" i="4"/>
  <c r="J13" i="4"/>
  <c r="R12" i="4"/>
  <c r="Q12" i="4"/>
  <c r="P12" i="4"/>
  <c r="O12" i="4"/>
  <c r="N12" i="4"/>
  <c r="M12" i="4"/>
  <c r="L12" i="4"/>
  <c r="K12" i="4"/>
  <c r="J12" i="4"/>
  <c r="R11" i="4"/>
  <c r="Q11" i="4"/>
  <c r="P11" i="4"/>
  <c r="O11" i="4"/>
  <c r="N11" i="4"/>
  <c r="M11" i="4"/>
  <c r="L11" i="4"/>
  <c r="K11" i="4"/>
  <c r="J11" i="4"/>
  <c r="R10" i="4"/>
  <c r="Q10" i="4"/>
  <c r="P10" i="4"/>
  <c r="O10" i="4"/>
  <c r="N10" i="4"/>
  <c r="M10" i="4"/>
  <c r="L10" i="4"/>
  <c r="K10" i="4"/>
  <c r="J10" i="4"/>
  <c r="R9" i="4"/>
  <c r="Q9" i="4"/>
  <c r="P9" i="4"/>
  <c r="O9" i="4"/>
  <c r="N9" i="4"/>
  <c r="M9" i="4"/>
  <c r="L9" i="4"/>
  <c r="K9" i="4"/>
  <c r="J9" i="4"/>
  <c r="I16" i="4"/>
  <c r="I15" i="4"/>
  <c r="I14" i="4"/>
  <c r="I13" i="4"/>
  <c r="I12" i="4"/>
  <c r="I11" i="4"/>
  <c r="I10" i="4"/>
  <c r="I9" i="4"/>
  <c r="B16" i="4"/>
  <c r="B15" i="4"/>
  <c r="B14" i="4"/>
  <c r="B13" i="4"/>
  <c r="B12" i="4"/>
  <c r="B11" i="4"/>
  <c r="B10" i="4"/>
  <c r="B9" i="4"/>
  <c r="I84" i="4"/>
  <c r="J84" i="4" s="1"/>
  <c r="K84" i="4" s="1"/>
  <c r="L84" i="4" s="1"/>
  <c r="M84" i="4" s="1"/>
  <c r="N84" i="4" s="1"/>
  <c r="O84" i="4" s="1"/>
  <c r="P84" i="4" s="1"/>
  <c r="Q84" i="4" s="1"/>
  <c r="R84" i="4" s="1"/>
  <c r="I83" i="4"/>
  <c r="J83" i="4" s="1"/>
  <c r="K83" i="4" s="1"/>
  <c r="L83" i="4" s="1"/>
  <c r="M83" i="4" s="1"/>
  <c r="N83" i="4" s="1"/>
  <c r="O83" i="4" s="1"/>
  <c r="P83" i="4" s="1"/>
  <c r="Q83" i="4" s="1"/>
  <c r="R83" i="4" s="1"/>
  <c r="I85" i="4"/>
  <c r="J85" i="4" s="1"/>
  <c r="K85" i="4" s="1"/>
  <c r="L85" i="4" s="1"/>
  <c r="M85" i="4" s="1"/>
  <c r="N85" i="4" s="1"/>
  <c r="O85" i="4" s="1"/>
  <c r="P85" i="4" s="1"/>
  <c r="Q85" i="4" s="1"/>
  <c r="R85" i="4" s="1"/>
  <c r="I86" i="4"/>
  <c r="J86" i="4" s="1"/>
  <c r="K86" i="4" s="1"/>
  <c r="L86" i="4" s="1"/>
  <c r="M86" i="4" s="1"/>
  <c r="N86" i="4" s="1"/>
  <c r="O86" i="4" s="1"/>
  <c r="P86" i="4" s="1"/>
  <c r="Q86" i="4" s="1"/>
  <c r="R86" i="4" s="1"/>
  <c r="I82" i="4"/>
  <c r="J82" i="4" s="1"/>
  <c r="K82" i="4" s="1"/>
  <c r="L82" i="4" s="1"/>
  <c r="M82" i="4" s="1"/>
  <c r="N82" i="4" s="1"/>
  <c r="O82" i="4" s="1"/>
  <c r="P82" i="4" s="1"/>
  <c r="Q82" i="4" s="1"/>
  <c r="R82" i="4" s="1"/>
  <c r="I81" i="4"/>
  <c r="J81" i="4" s="1"/>
  <c r="K81" i="4" s="1"/>
  <c r="L81" i="4" s="1"/>
  <c r="M81" i="4" s="1"/>
  <c r="N81" i="4" s="1"/>
  <c r="O81" i="4" s="1"/>
  <c r="P81" i="4" s="1"/>
  <c r="Q81" i="4" s="1"/>
  <c r="R81" i="4" s="1"/>
  <c r="I80" i="4"/>
  <c r="I74" i="4"/>
  <c r="J74" i="4" s="1"/>
  <c r="K74" i="4" s="1"/>
  <c r="L74" i="4" s="1"/>
  <c r="M74" i="4" s="1"/>
  <c r="N74" i="4" s="1"/>
  <c r="O74" i="4" s="1"/>
  <c r="P74" i="4" s="1"/>
  <c r="Q74" i="4" s="1"/>
  <c r="R74" i="4" s="1"/>
  <c r="I76" i="4"/>
  <c r="J76" i="4" s="1"/>
  <c r="K76" i="4" s="1"/>
  <c r="L76" i="4" s="1"/>
  <c r="M76" i="4" s="1"/>
  <c r="N76" i="4" s="1"/>
  <c r="O76" i="4" s="1"/>
  <c r="P76" i="4" s="1"/>
  <c r="Q76" i="4" s="1"/>
  <c r="R76" i="4" s="1"/>
  <c r="I75" i="4"/>
  <c r="J75" i="4" s="1"/>
  <c r="K75" i="4" s="1"/>
  <c r="L75" i="4" s="1"/>
  <c r="M75" i="4" s="1"/>
  <c r="N75" i="4" s="1"/>
  <c r="O75" i="4" s="1"/>
  <c r="P75" i="4" s="1"/>
  <c r="Q75" i="4" s="1"/>
  <c r="R75" i="4" s="1"/>
  <c r="I73" i="4"/>
  <c r="J73" i="4" s="1"/>
  <c r="K73" i="4" s="1"/>
  <c r="L73" i="4" s="1"/>
  <c r="M73" i="4" s="1"/>
  <c r="N73" i="4" s="1"/>
  <c r="O73" i="4" s="1"/>
  <c r="P73" i="4" s="1"/>
  <c r="Q73" i="4" s="1"/>
  <c r="R73" i="4" s="1"/>
  <c r="I72" i="4"/>
  <c r="I66" i="4"/>
  <c r="J66" i="4" s="1"/>
  <c r="K66" i="4" s="1"/>
  <c r="L66" i="4" s="1"/>
  <c r="M66" i="4" s="1"/>
  <c r="N66" i="4" s="1"/>
  <c r="O66" i="4" s="1"/>
  <c r="P66" i="4" s="1"/>
  <c r="Q66" i="4" s="1"/>
  <c r="R66" i="4" s="1"/>
  <c r="I65" i="4"/>
  <c r="J65" i="4" s="1"/>
  <c r="K65" i="4" s="1"/>
  <c r="L65" i="4" s="1"/>
  <c r="M65" i="4" s="1"/>
  <c r="N65" i="4" s="1"/>
  <c r="O65" i="4" s="1"/>
  <c r="P65" i="4" s="1"/>
  <c r="Q65" i="4" s="1"/>
  <c r="R65" i="4" s="1"/>
  <c r="I68" i="4"/>
  <c r="J68" i="4" s="1"/>
  <c r="K68" i="4" s="1"/>
  <c r="L68" i="4" s="1"/>
  <c r="M68" i="4" s="1"/>
  <c r="N68" i="4" s="1"/>
  <c r="O68" i="4" s="1"/>
  <c r="P68" i="4" s="1"/>
  <c r="Q68" i="4" s="1"/>
  <c r="R68" i="4" s="1"/>
  <c r="I67" i="4"/>
  <c r="I61" i="4"/>
  <c r="J61" i="4" s="1"/>
  <c r="K61" i="4" s="1"/>
  <c r="L61" i="4" s="1"/>
  <c r="M61" i="4" s="1"/>
  <c r="N61" i="4" s="1"/>
  <c r="O61" i="4" s="1"/>
  <c r="P61" i="4" s="1"/>
  <c r="Q61" i="4" s="1"/>
  <c r="R61" i="4" s="1"/>
  <c r="I60" i="4"/>
  <c r="J60" i="4" s="1"/>
  <c r="K60" i="4" s="1"/>
  <c r="L60" i="4" s="1"/>
  <c r="M60" i="4" s="1"/>
  <c r="N60" i="4" s="1"/>
  <c r="O60" i="4" s="1"/>
  <c r="P60" i="4" s="1"/>
  <c r="Q60" i="4" s="1"/>
  <c r="R60" i="4" s="1"/>
  <c r="K59" i="4"/>
  <c r="L59" i="4" s="1"/>
  <c r="M59" i="4" s="1"/>
  <c r="N59" i="4" s="1"/>
  <c r="O59" i="4" s="1"/>
  <c r="P59" i="4" s="1"/>
  <c r="Q59" i="4" s="1"/>
  <c r="R59" i="4" s="1"/>
  <c r="J58" i="4"/>
  <c r="K58" i="4" s="1"/>
  <c r="L58" i="4" s="1"/>
  <c r="M58" i="4" s="1"/>
  <c r="N58" i="4" s="1"/>
  <c r="O58" i="4" s="1"/>
  <c r="P58" i="4" s="1"/>
  <c r="Q58" i="4" s="1"/>
  <c r="R58" i="4" s="1"/>
  <c r="I54" i="4"/>
  <c r="J54" i="4" s="1"/>
  <c r="K54" i="4" s="1"/>
  <c r="L54" i="4" s="1"/>
  <c r="M54" i="4" s="1"/>
  <c r="N54" i="4" s="1"/>
  <c r="O54" i="4" s="1"/>
  <c r="P54" i="4" s="1"/>
  <c r="Q54" i="4" s="1"/>
  <c r="R54" i="4" s="1"/>
  <c r="I53" i="4"/>
  <c r="J53" i="4" s="1"/>
  <c r="K53" i="4" s="1"/>
  <c r="L53" i="4" s="1"/>
  <c r="M53" i="4" s="1"/>
  <c r="N53" i="4" s="1"/>
  <c r="O53" i="4" s="1"/>
  <c r="P53" i="4" s="1"/>
  <c r="Q53" i="4" s="1"/>
  <c r="R53" i="4" s="1"/>
  <c r="I52" i="4"/>
  <c r="J52" i="4" s="1"/>
  <c r="K52" i="4" s="1"/>
  <c r="L52" i="4" s="1"/>
  <c r="M52" i="4" s="1"/>
  <c r="N52" i="4" s="1"/>
  <c r="O52" i="4" s="1"/>
  <c r="P52" i="4" s="1"/>
  <c r="Q52" i="4" s="1"/>
  <c r="R52" i="4" s="1"/>
  <c r="I51" i="4"/>
  <c r="J51" i="4" s="1"/>
  <c r="K51" i="4" s="1"/>
  <c r="L51" i="4" s="1"/>
  <c r="M51" i="4" s="1"/>
  <c r="N51" i="4" s="1"/>
  <c r="O51" i="4" s="1"/>
  <c r="P51" i="4" s="1"/>
  <c r="Q51" i="4" s="1"/>
  <c r="R51" i="4" s="1"/>
  <c r="I50" i="4"/>
  <c r="J50" i="4" s="1"/>
  <c r="K50" i="4" s="1"/>
  <c r="L50" i="4" s="1"/>
  <c r="M50" i="4" s="1"/>
  <c r="N50" i="4" s="1"/>
  <c r="O50" i="4" s="1"/>
  <c r="P50" i="4" s="1"/>
  <c r="Q50" i="4" s="1"/>
  <c r="R50" i="4" s="1"/>
  <c r="I49" i="4"/>
  <c r="J49" i="4" s="1"/>
  <c r="K49" i="4" s="1"/>
  <c r="L49" i="4" s="1"/>
  <c r="M49" i="4" s="1"/>
  <c r="N49" i="4" s="1"/>
  <c r="O49" i="4" s="1"/>
  <c r="P49" i="4" s="1"/>
  <c r="Q49" i="4" s="1"/>
  <c r="R49" i="4" s="1"/>
  <c r="I48" i="4"/>
  <c r="I44" i="4"/>
  <c r="J44" i="4" s="1"/>
  <c r="K44" i="4" s="1"/>
  <c r="L44" i="4" s="1"/>
  <c r="M44" i="4" s="1"/>
  <c r="N44" i="4" s="1"/>
  <c r="O44" i="4" s="1"/>
  <c r="P44" i="4" s="1"/>
  <c r="Q44" i="4" s="1"/>
  <c r="R44" i="4" s="1"/>
  <c r="I43" i="4"/>
  <c r="J43" i="4" s="1"/>
  <c r="K43" i="4" s="1"/>
  <c r="L43" i="4" s="1"/>
  <c r="M43" i="4" s="1"/>
  <c r="N43" i="4" s="1"/>
  <c r="O43" i="4" s="1"/>
  <c r="P43" i="4" s="1"/>
  <c r="Q43" i="4" s="1"/>
  <c r="R43" i="4" s="1"/>
  <c r="I42" i="4"/>
  <c r="J42" i="4" s="1"/>
  <c r="K42" i="4" s="1"/>
  <c r="L42" i="4" s="1"/>
  <c r="M42" i="4" s="1"/>
  <c r="N42" i="4" s="1"/>
  <c r="O42" i="4" s="1"/>
  <c r="P42" i="4" s="1"/>
  <c r="Q42" i="4" s="1"/>
  <c r="R42" i="4" s="1"/>
  <c r="I41" i="4"/>
  <c r="I37" i="4"/>
  <c r="J37" i="4" s="1"/>
  <c r="K37" i="4" s="1"/>
  <c r="L37" i="4" s="1"/>
  <c r="M37" i="4" s="1"/>
  <c r="N37" i="4" s="1"/>
  <c r="O37" i="4" s="1"/>
  <c r="P37" i="4" s="1"/>
  <c r="Q37" i="4" s="1"/>
  <c r="R37" i="4" s="1"/>
  <c r="I36" i="4"/>
  <c r="J36" i="4" s="1"/>
  <c r="K36" i="4" s="1"/>
  <c r="L36" i="4" s="1"/>
  <c r="M36" i="4" s="1"/>
  <c r="N36" i="4" s="1"/>
  <c r="O36" i="4" s="1"/>
  <c r="P36" i="4" s="1"/>
  <c r="Q36" i="4" s="1"/>
  <c r="R36" i="4" s="1"/>
  <c r="I29" i="4"/>
  <c r="J29" i="4" s="1"/>
  <c r="K29" i="4" s="1"/>
  <c r="L29" i="4" s="1"/>
  <c r="M29" i="4" s="1"/>
  <c r="N29" i="4" s="1"/>
  <c r="O29" i="4" s="1"/>
  <c r="P29" i="4" s="1"/>
  <c r="Q29" i="4" s="1"/>
  <c r="R29" i="4" s="1"/>
  <c r="I28" i="4"/>
  <c r="J28" i="4" s="1"/>
  <c r="K28" i="4" s="1"/>
  <c r="L28" i="4" s="1"/>
  <c r="M28" i="4" s="1"/>
  <c r="N28" i="4" s="1"/>
  <c r="O28" i="4" s="1"/>
  <c r="P28" i="4" s="1"/>
  <c r="Q28" i="4" s="1"/>
  <c r="R28" i="4" s="1"/>
  <c r="I35" i="4"/>
  <c r="J35" i="4" s="1"/>
  <c r="K35" i="4" s="1"/>
  <c r="L35" i="4" s="1"/>
  <c r="M35" i="4" s="1"/>
  <c r="N35" i="4" s="1"/>
  <c r="O35" i="4" s="1"/>
  <c r="P35" i="4" s="1"/>
  <c r="Q35" i="4" s="1"/>
  <c r="R35" i="4" s="1"/>
  <c r="I34" i="4"/>
  <c r="J34" i="4" s="1"/>
  <c r="K34" i="4" s="1"/>
  <c r="L34" i="4" s="1"/>
  <c r="M34" i="4" s="1"/>
  <c r="N34" i="4" s="1"/>
  <c r="O34" i="4" s="1"/>
  <c r="P34" i="4" s="1"/>
  <c r="Q34" i="4" s="1"/>
  <c r="R34" i="4" s="1"/>
  <c r="I33" i="4"/>
  <c r="I27" i="4"/>
  <c r="J27" i="4" s="1"/>
  <c r="I26" i="4"/>
  <c r="J26" i="4" s="1"/>
  <c r="K26" i="4" s="1"/>
  <c r="L26" i="4" s="1"/>
  <c r="M26" i="4" s="1"/>
  <c r="N26" i="4" s="1"/>
  <c r="O26" i="4" s="1"/>
  <c r="P26" i="4" s="1"/>
  <c r="Q26" i="4" s="1"/>
  <c r="R26" i="4" s="1"/>
  <c r="I25" i="4"/>
  <c r="J25" i="4" s="1"/>
  <c r="K25" i="4" s="1"/>
  <c r="L25" i="4" s="1"/>
  <c r="M25" i="4" s="1"/>
  <c r="N25" i="4" s="1"/>
  <c r="O25" i="4" s="1"/>
  <c r="P25" i="4" s="1"/>
  <c r="Q25" i="4" s="1"/>
  <c r="R25" i="4" s="1"/>
  <c r="I24" i="4"/>
  <c r="J24" i="4" s="1"/>
  <c r="K24" i="4" s="1"/>
  <c r="L24" i="4" s="1"/>
  <c r="M24" i="4" s="1"/>
  <c r="N24" i="4" s="1"/>
  <c r="O24" i="4" s="1"/>
  <c r="P24" i="4" s="1"/>
  <c r="Q24" i="4" s="1"/>
  <c r="R24" i="4" s="1"/>
  <c r="I23" i="4"/>
  <c r="R18" i="4"/>
  <c r="Q18" i="4"/>
  <c r="P18" i="4"/>
  <c r="O18" i="4"/>
  <c r="N18" i="4"/>
  <c r="M18" i="4"/>
  <c r="L18" i="4"/>
  <c r="K18" i="4"/>
  <c r="J18" i="4"/>
  <c r="I18" i="4"/>
  <c r="R5" i="4"/>
  <c r="Q5" i="4"/>
  <c r="P5" i="4"/>
  <c r="O5" i="4"/>
  <c r="N5" i="4"/>
  <c r="M5" i="4"/>
  <c r="L5" i="4"/>
  <c r="K5" i="4"/>
  <c r="J5" i="4"/>
  <c r="I5" i="4"/>
  <c r="R51" i="3"/>
  <c r="R47" i="3"/>
  <c r="R50" i="3"/>
  <c r="R45" i="3"/>
  <c r="R44" i="3"/>
  <c r="R43" i="3"/>
  <c r="R42" i="3"/>
  <c r="R41" i="3"/>
  <c r="R40" i="3"/>
  <c r="R39" i="3"/>
  <c r="R38" i="3"/>
  <c r="R37" i="3"/>
  <c r="R36" i="3"/>
  <c r="R35" i="3"/>
  <c r="R34" i="3"/>
  <c r="R33" i="3"/>
  <c r="P44" i="3"/>
  <c r="P43" i="3"/>
  <c r="P42" i="3"/>
  <c r="P41" i="3"/>
  <c r="P40" i="3"/>
  <c r="P39" i="3"/>
  <c r="P38" i="3"/>
  <c r="P37" i="3"/>
  <c r="P36" i="3"/>
  <c r="P35" i="3"/>
  <c r="P34" i="3"/>
  <c r="P33" i="3"/>
  <c r="R28" i="3"/>
  <c r="R27" i="3"/>
  <c r="R26" i="3"/>
  <c r="R23" i="3"/>
  <c r="R21" i="3"/>
  <c r="R19" i="3"/>
  <c r="R18" i="3"/>
  <c r="R17" i="3"/>
  <c r="R16" i="3"/>
  <c r="R15" i="3"/>
  <c r="R14" i="3"/>
  <c r="R13" i="3"/>
  <c r="R12" i="3"/>
  <c r="R11" i="3"/>
  <c r="R10" i="3"/>
  <c r="R9" i="3"/>
  <c r="P19" i="3"/>
  <c r="P18" i="3"/>
  <c r="P17" i="3"/>
  <c r="P16" i="3"/>
  <c r="P15" i="3"/>
  <c r="P14" i="3"/>
  <c r="P13" i="3"/>
  <c r="P12" i="3"/>
  <c r="P11" i="3"/>
  <c r="P10" i="3"/>
  <c r="P9" i="3"/>
  <c r="L13" i="1"/>
  <c r="L12" i="1"/>
  <c r="L11" i="1"/>
  <c r="L10" i="1"/>
  <c r="L9" i="1"/>
  <c r="L8" i="1"/>
  <c r="L7" i="1"/>
  <c r="H7" i="2"/>
  <c r="H12" i="2" s="1"/>
  <c r="H18" i="2" s="1"/>
  <c r="D21" i="2"/>
  <c r="D9" i="2"/>
  <c r="D12" i="2" s="1"/>
  <c r="D25" i="2" s="1"/>
  <c r="D31" i="2" s="1"/>
  <c r="L22" i="1"/>
  <c r="H7" i="1"/>
  <c r="D29" i="1"/>
  <c r="D23" i="1"/>
  <c r="Y27" i="13" l="1"/>
  <c r="Y37" i="13" s="1"/>
  <c r="T26" i="13"/>
  <c r="T36" i="13" s="1"/>
  <c r="S37" i="13"/>
  <c r="S27" i="13"/>
  <c r="S28" i="13"/>
  <c r="Y26" i="13"/>
  <c r="Y36" i="13" s="1"/>
  <c r="J27" i="13"/>
  <c r="J37" i="13" s="1"/>
  <c r="S36" i="13"/>
  <c r="X27" i="13"/>
  <c r="X37" i="13" s="1"/>
  <c r="T29" i="13"/>
  <c r="T39" i="13" s="1"/>
  <c r="X29" i="13"/>
  <c r="X39" i="13" s="1"/>
  <c r="W26" i="13"/>
  <c r="W36" i="13" s="1"/>
  <c r="X26" i="13"/>
  <c r="X36" i="13" s="1"/>
  <c r="T27" i="13"/>
  <c r="T37" i="13" s="1"/>
  <c r="S38" i="13"/>
  <c r="W27" i="13"/>
  <c r="W37" i="13" s="1"/>
  <c r="Z27" i="13"/>
  <c r="Z37" i="13" s="1"/>
  <c r="W29" i="13"/>
  <c r="W39" i="13" s="1"/>
  <c r="F27" i="13"/>
  <c r="F37" i="13" s="1"/>
  <c r="Z26" i="13"/>
  <c r="Z36" i="13" s="1"/>
  <c r="AB29" i="13"/>
  <c r="AB39" i="13" s="1"/>
  <c r="G27" i="13"/>
  <c r="G37" i="13" s="1"/>
  <c r="Y28" i="13"/>
  <c r="Y38" i="13" s="1"/>
  <c r="S26" i="13"/>
  <c r="Y29" i="13"/>
  <c r="Y39" i="13" s="1"/>
  <c r="V26" i="13"/>
  <c r="V36" i="13" s="1"/>
  <c r="T28" i="13"/>
  <c r="T38" i="13" s="1"/>
  <c r="AA27" i="13"/>
  <c r="AA37" i="13" s="1"/>
  <c r="Z29" i="13"/>
  <c r="Z39" i="13" s="1"/>
  <c r="U26" i="13"/>
  <c r="U36" i="13" s="1"/>
  <c r="M28" i="13"/>
  <c r="M38" i="13" s="1"/>
  <c r="AA29" i="13"/>
  <c r="AA39" i="13" s="1"/>
  <c r="S39" i="13"/>
  <c r="L27" i="13"/>
  <c r="L37" i="13" s="1"/>
  <c r="AB28" i="13"/>
  <c r="AB38" i="13" s="1"/>
  <c r="AB27" i="13"/>
  <c r="AB37" i="13" s="1"/>
  <c r="AC28" i="13"/>
  <c r="AC38" i="13" s="1"/>
  <c r="Z28" i="13"/>
  <c r="Z38" i="13" s="1"/>
  <c r="AA28" i="13"/>
  <c r="AA38" i="13" s="1"/>
  <c r="AC29" i="13"/>
  <c r="AC39" i="13" s="1"/>
  <c r="AC27" i="13"/>
  <c r="AC37" i="13" s="1"/>
  <c r="AB26" i="13"/>
  <c r="AB36" i="13" s="1"/>
  <c r="AC26" i="13"/>
  <c r="AC36" i="13" s="1"/>
  <c r="V2" i="13"/>
  <c r="V3" i="13" s="1"/>
  <c r="J26" i="13"/>
  <c r="J36" i="13" s="1"/>
  <c r="Q28" i="13"/>
  <c r="Q38" i="13" s="1"/>
  <c r="K27" i="13"/>
  <c r="K37" i="13" s="1"/>
  <c r="P28" i="13"/>
  <c r="P38" i="13" s="1"/>
  <c r="P26" i="13"/>
  <c r="P36" i="13" s="1"/>
  <c r="N28" i="13"/>
  <c r="N38" i="13" s="1"/>
  <c r="M29" i="13"/>
  <c r="M39" i="13" s="1"/>
  <c r="O28" i="13"/>
  <c r="O38" i="13" s="1"/>
  <c r="N29" i="13"/>
  <c r="N39" i="13" s="1"/>
  <c r="O26" i="13"/>
  <c r="O36" i="13" s="1"/>
  <c r="G29" i="13"/>
  <c r="G39" i="13" s="1"/>
  <c r="J28" i="13"/>
  <c r="J38" i="13" s="1"/>
  <c r="L26" i="13"/>
  <c r="L36" i="13" s="1"/>
  <c r="G26" i="13"/>
  <c r="G36" i="13" s="1"/>
  <c r="K28" i="13"/>
  <c r="K38" i="13" s="1"/>
  <c r="K29" i="13"/>
  <c r="K39" i="13" s="1"/>
  <c r="J29" i="13"/>
  <c r="J39" i="13" s="1"/>
  <c r="L29" i="13"/>
  <c r="L39" i="13" s="1"/>
  <c r="L28" i="13"/>
  <c r="L38" i="13" s="1"/>
  <c r="O27" i="13"/>
  <c r="O37" i="13" s="1"/>
  <c r="Q27" i="13"/>
  <c r="Q37" i="13" s="1"/>
  <c r="Q26" i="13"/>
  <c r="Q36" i="13" s="1"/>
  <c r="P29" i="13"/>
  <c r="P39" i="13" s="1"/>
  <c r="N26" i="13"/>
  <c r="N36" i="13" s="1"/>
  <c r="N27" i="13"/>
  <c r="N37" i="13" s="1"/>
  <c r="R36" i="13"/>
  <c r="W10" i="11"/>
  <c r="U10" i="11"/>
  <c r="AE10" i="11"/>
  <c r="AD10" i="11"/>
  <c r="V10" i="11"/>
  <c r="T10" i="11"/>
  <c r="Z10" i="11"/>
  <c r="AB10" i="11"/>
  <c r="Y10" i="11"/>
  <c r="X10" i="11"/>
  <c r="AC10" i="11"/>
  <c r="AA10" i="11"/>
  <c r="H28" i="13"/>
  <c r="H38" i="13" s="1"/>
  <c r="F36" i="13"/>
  <c r="F26" i="13"/>
  <c r="H29" i="13"/>
  <c r="H39" i="13" s="1"/>
  <c r="H27" i="13"/>
  <c r="H37" i="13" s="1"/>
  <c r="Q29" i="13"/>
  <c r="Q39" i="13" s="1"/>
  <c r="F28" i="13"/>
  <c r="F38" i="13" s="1"/>
  <c r="G28" i="13"/>
  <c r="G38" i="13" s="1"/>
  <c r="H26" i="13"/>
  <c r="H36" i="13" s="1"/>
  <c r="F29" i="13"/>
  <c r="F39" i="13" s="1"/>
  <c r="H23" i="9"/>
  <c r="H25" i="9" s="1"/>
  <c r="I23" i="9"/>
  <c r="I25" i="9" s="1"/>
  <c r="K23" i="9"/>
  <c r="K25" i="9" s="1"/>
  <c r="L23" i="9"/>
  <c r="L25" i="9" s="1"/>
  <c r="L41" i="9" s="1"/>
  <c r="L53" i="9" s="1"/>
  <c r="M23" i="9"/>
  <c r="M25" i="9" s="1"/>
  <c r="N23" i="9"/>
  <c r="N25" i="9" s="1"/>
  <c r="N41" i="9" s="1"/>
  <c r="N53" i="9" s="1"/>
  <c r="P23" i="9"/>
  <c r="P25" i="9" s="1"/>
  <c r="P41" i="9" s="1"/>
  <c r="P53" i="9" s="1"/>
  <c r="R25" i="9"/>
  <c r="R38" i="9"/>
  <c r="R39" i="9" s="1"/>
  <c r="R41" i="9" s="1"/>
  <c r="R53" i="9" s="1"/>
  <c r="T53" i="9" s="1"/>
  <c r="F41" i="9"/>
  <c r="F53" i="9" s="1"/>
  <c r="H17" i="10"/>
  <c r="H11" i="10"/>
  <c r="G6" i="10"/>
  <c r="F17" i="10"/>
  <c r="H4" i="10"/>
  <c r="I4" i="10" s="1"/>
  <c r="I5" i="10" s="1"/>
  <c r="I6" i="10" s="1"/>
  <c r="I7" i="10" s="1"/>
  <c r="F5" i="10"/>
  <c r="F8" i="10"/>
  <c r="G15" i="10"/>
  <c r="F11" i="10"/>
  <c r="G14" i="10"/>
  <c r="H8" i="10"/>
  <c r="F10" i="10"/>
  <c r="H14" i="10"/>
  <c r="H13" i="10"/>
  <c r="F9" i="10"/>
  <c r="F14" i="10"/>
  <c r="R57" i="9"/>
  <c r="O41" i="9"/>
  <c r="O53" i="9" s="1"/>
  <c r="K41" i="9"/>
  <c r="K53" i="9" s="1"/>
  <c r="H41" i="9"/>
  <c r="H53" i="9" s="1"/>
  <c r="G41" i="9"/>
  <c r="G53" i="9" s="1"/>
  <c r="M41" i="9"/>
  <c r="M53" i="9" s="1"/>
  <c r="I41" i="9"/>
  <c r="I53" i="9" s="1"/>
  <c r="J41" i="9"/>
  <c r="J53" i="9" s="1"/>
  <c r="R51" i="9"/>
  <c r="Q41" i="9"/>
  <c r="Q53" i="9" s="1"/>
  <c r="R6" i="9"/>
  <c r="R5" i="9"/>
  <c r="M46" i="6"/>
  <c r="P55" i="5" s="1"/>
  <c r="I46" i="6"/>
  <c r="L55" i="5" s="1"/>
  <c r="O6" i="8"/>
  <c r="P6" i="8" s="1"/>
  <c r="G34" i="6"/>
  <c r="F49" i="6"/>
  <c r="F53" i="6" s="1"/>
  <c r="I56" i="5" s="1"/>
  <c r="K35" i="6"/>
  <c r="L35" i="6"/>
  <c r="M35" i="6"/>
  <c r="K50" i="6"/>
  <c r="K53" i="6" s="1"/>
  <c r="N56" i="5" s="1"/>
  <c r="J36" i="6"/>
  <c r="L50" i="6"/>
  <c r="K36" i="6"/>
  <c r="H34" i="6"/>
  <c r="I34" i="6"/>
  <c r="L37" i="6"/>
  <c r="M37" i="6"/>
  <c r="M51" i="6"/>
  <c r="H35" i="6"/>
  <c r="E42" i="6"/>
  <c r="E46" i="6" s="1"/>
  <c r="H55" i="5" s="1"/>
  <c r="K44" i="6"/>
  <c r="K46" i="6" s="1"/>
  <c r="N55" i="5" s="1"/>
  <c r="J49" i="6"/>
  <c r="L52" i="6"/>
  <c r="I35" i="6"/>
  <c r="F42" i="6"/>
  <c r="F46" i="6" s="1"/>
  <c r="I55" i="5" s="1"/>
  <c r="L44" i="6"/>
  <c r="L46" i="6" s="1"/>
  <c r="O55" i="5" s="1"/>
  <c r="G50" i="6"/>
  <c r="M52" i="6"/>
  <c r="D34" i="6"/>
  <c r="D39" i="6" s="1"/>
  <c r="G54" i="5" s="1"/>
  <c r="E34" i="6"/>
  <c r="E39" i="6" s="1"/>
  <c r="H54" i="5" s="1"/>
  <c r="F34" i="6"/>
  <c r="F39" i="6" s="1"/>
  <c r="I54" i="5" s="1"/>
  <c r="D49" i="6"/>
  <c r="D53" i="6" s="1"/>
  <c r="G56" i="5" s="1"/>
  <c r="E49" i="6"/>
  <c r="E53" i="6" s="1"/>
  <c r="H56" i="5" s="1"/>
  <c r="M50" i="6"/>
  <c r="M53" i="6" s="1"/>
  <c r="P56" i="5" s="1"/>
  <c r="L36" i="6"/>
  <c r="J51" i="6"/>
  <c r="M36" i="6"/>
  <c r="G49" i="6"/>
  <c r="K51" i="6"/>
  <c r="J34" i="6"/>
  <c r="H49" i="6"/>
  <c r="H53" i="6" s="1"/>
  <c r="K56" i="5" s="1"/>
  <c r="L51" i="6"/>
  <c r="G35" i="6"/>
  <c r="J44" i="6"/>
  <c r="J46" i="6" s="1"/>
  <c r="M55" i="5" s="1"/>
  <c r="I49" i="6"/>
  <c r="I53" i="6" s="1"/>
  <c r="L56" i="5" s="1"/>
  <c r="M38" i="6"/>
  <c r="G42" i="6"/>
  <c r="G46" i="6" s="1"/>
  <c r="J55" i="5" s="1"/>
  <c r="L26" i="6"/>
  <c r="J26" i="6"/>
  <c r="K26" i="6"/>
  <c r="M26" i="6"/>
  <c r="K27" i="6"/>
  <c r="D26" i="6"/>
  <c r="D31" i="6" s="1"/>
  <c r="M27" i="6"/>
  <c r="J28" i="6"/>
  <c r="H26" i="6"/>
  <c r="H31" i="6" s="1"/>
  <c r="L28" i="6"/>
  <c r="J27" i="6"/>
  <c r="L27" i="6"/>
  <c r="E26" i="6"/>
  <c r="E31" i="6" s="1"/>
  <c r="F26" i="6"/>
  <c r="F31" i="6" s="1"/>
  <c r="G26" i="6"/>
  <c r="G31" i="6" s="1"/>
  <c r="K28" i="6"/>
  <c r="I26" i="6"/>
  <c r="M28" i="6"/>
  <c r="H27" i="6"/>
  <c r="M29" i="6"/>
  <c r="I27" i="6"/>
  <c r="M16" i="6"/>
  <c r="M19" i="6"/>
  <c r="L16" i="6"/>
  <c r="J20" i="6"/>
  <c r="K16" i="6"/>
  <c r="J16" i="6"/>
  <c r="I16" i="6"/>
  <c r="M13" i="6"/>
  <c r="M14" i="6" s="1"/>
  <c r="K17" i="6"/>
  <c r="G18" i="6"/>
  <c r="J17" i="6"/>
  <c r="I19" i="6"/>
  <c r="I17" i="6"/>
  <c r="J19" i="6"/>
  <c r="I13" i="6"/>
  <c r="I14" i="6" s="1"/>
  <c r="J13" i="6"/>
  <c r="J14" i="6" s="1"/>
  <c r="H16" i="6"/>
  <c r="K13" i="6"/>
  <c r="K14" i="6" s="1"/>
  <c r="G16" i="6"/>
  <c r="H17" i="6"/>
  <c r="K19" i="6"/>
  <c r="G17" i="6"/>
  <c r="L19" i="6"/>
  <c r="H18" i="6"/>
  <c r="K20" i="6"/>
  <c r="F16" i="6"/>
  <c r="D13" i="6"/>
  <c r="D14" i="6" s="1"/>
  <c r="D56" i="6" s="1"/>
  <c r="I18" i="6"/>
  <c r="L20" i="6"/>
  <c r="E16" i="6"/>
  <c r="E23" i="6" s="1"/>
  <c r="E13" i="6"/>
  <c r="E14" i="6" s="1"/>
  <c r="J18" i="6"/>
  <c r="M20" i="6"/>
  <c r="F17" i="6"/>
  <c r="F13" i="6"/>
  <c r="F14" i="6" s="1"/>
  <c r="K18" i="6"/>
  <c r="L21" i="6"/>
  <c r="M17" i="6"/>
  <c r="G13" i="6"/>
  <c r="G14" i="6" s="1"/>
  <c r="L18" i="6"/>
  <c r="M21" i="6"/>
  <c r="D16" i="6"/>
  <c r="D23" i="6" s="1"/>
  <c r="L17" i="6"/>
  <c r="H13" i="6"/>
  <c r="H14" i="6" s="1"/>
  <c r="M18" i="6"/>
  <c r="G18" i="5"/>
  <c r="G31" i="5"/>
  <c r="G38" i="5" s="1"/>
  <c r="I87" i="4"/>
  <c r="J80" i="4"/>
  <c r="I77" i="4"/>
  <c r="J72" i="4"/>
  <c r="I69" i="4"/>
  <c r="J67" i="4"/>
  <c r="I62" i="4"/>
  <c r="I55" i="4"/>
  <c r="J48" i="4"/>
  <c r="J33" i="4"/>
  <c r="I38" i="4"/>
  <c r="J23" i="4"/>
  <c r="I30" i="4"/>
  <c r="I45" i="4"/>
  <c r="J41" i="4"/>
  <c r="K27" i="4"/>
  <c r="R52" i="3"/>
  <c r="W2" i="13" l="1"/>
  <c r="W3" i="13" s="1"/>
  <c r="R59" i="9"/>
  <c r="I8" i="10"/>
  <c r="I9" i="10" s="1"/>
  <c r="I10" i="10" s="1"/>
  <c r="I11" i="10" s="1"/>
  <c r="I12" i="10" s="1"/>
  <c r="I13" i="10" s="1"/>
  <c r="I14" i="10" s="1"/>
  <c r="I15" i="10" s="1"/>
  <c r="I16" i="10" s="1"/>
  <c r="I17" i="10" s="1"/>
  <c r="L53" i="6"/>
  <c r="O56" i="5" s="1"/>
  <c r="I58" i="5"/>
  <c r="I59" i="5" s="1"/>
  <c r="H58" i="5"/>
  <c r="H59" i="5" s="1"/>
  <c r="G58" i="5"/>
  <c r="G59" i="5" s="1"/>
  <c r="G53" i="6"/>
  <c r="J56" i="5" s="1"/>
  <c r="M39" i="6"/>
  <c r="P54" i="5" s="1"/>
  <c r="P58" i="5" s="1"/>
  <c r="P59" i="5" s="1"/>
  <c r="L39" i="6"/>
  <c r="O54" i="5" s="1"/>
  <c r="O58" i="5" s="1"/>
  <c r="O59" i="5" s="1"/>
  <c r="G39" i="6"/>
  <c r="J54" i="5" s="1"/>
  <c r="J58" i="5" s="1"/>
  <c r="J59" i="5" s="1"/>
  <c r="J39" i="6"/>
  <c r="M54" i="5" s="1"/>
  <c r="M58" i="5" s="1"/>
  <c r="M59" i="5" s="1"/>
  <c r="K39" i="6"/>
  <c r="N54" i="5" s="1"/>
  <c r="N58" i="5" s="1"/>
  <c r="N59" i="5" s="1"/>
  <c r="H56" i="6"/>
  <c r="E56" i="6"/>
  <c r="I39" i="6"/>
  <c r="L54" i="5" s="1"/>
  <c r="L58" i="5" s="1"/>
  <c r="L59" i="5" s="1"/>
  <c r="L31" i="6"/>
  <c r="J53" i="6"/>
  <c r="M56" i="5" s="1"/>
  <c r="H39" i="6"/>
  <c r="K54" i="5" s="1"/>
  <c r="K58" i="5" s="1"/>
  <c r="K59" i="5" s="1"/>
  <c r="J31" i="6"/>
  <c r="M31" i="6"/>
  <c r="K31" i="6"/>
  <c r="I31" i="6"/>
  <c r="M23" i="6"/>
  <c r="M56" i="6" s="1"/>
  <c r="I23" i="6"/>
  <c r="I56" i="6" s="1"/>
  <c r="G23" i="6"/>
  <c r="L23" i="6"/>
  <c r="J23" i="6"/>
  <c r="H23" i="6"/>
  <c r="K23" i="6"/>
  <c r="F23" i="6"/>
  <c r="F56" i="6" s="1"/>
  <c r="K80" i="4"/>
  <c r="J87" i="4"/>
  <c r="K67" i="4"/>
  <c r="J69" i="4"/>
  <c r="K72" i="4"/>
  <c r="J77" i="4"/>
  <c r="J62" i="4"/>
  <c r="K23" i="4"/>
  <c r="J30" i="4"/>
  <c r="K48" i="4"/>
  <c r="J55" i="4"/>
  <c r="J38" i="4"/>
  <c r="K33" i="4"/>
  <c r="K41" i="4"/>
  <c r="J45" i="4"/>
  <c r="L27" i="4"/>
  <c r="X2" i="13" l="1"/>
  <c r="X3" i="13" s="1"/>
  <c r="J56" i="6"/>
  <c r="K56" i="6"/>
  <c r="L56" i="6"/>
  <c r="G56" i="6"/>
  <c r="L67" i="4"/>
  <c r="M67" i="4" s="1"/>
  <c r="N67" i="4" s="1"/>
  <c r="O67" i="4" s="1"/>
  <c r="P67" i="4" s="1"/>
  <c r="Q67" i="4" s="1"/>
  <c r="R67" i="4" s="1"/>
  <c r="K69" i="4"/>
  <c r="L80" i="4"/>
  <c r="K87" i="4"/>
  <c r="L23" i="4"/>
  <c r="K30" i="4"/>
  <c r="L72" i="4"/>
  <c r="K77" i="4"/>
  <c r="L69" i="4"/>
  <c r="K62" i="4"/>
  <c r="L48" i="4"/>
  <c r="K55" i="4"/>
  <c r="K38" i="4"/>
  <c r="L33" i="4"/>
  <c r="L41" i="4"/>
  <c r="K45" i="4"/>
  <c r="M27" i="4"/>
  <c r="Y2" i="13" l="1"/>
  <c r="Y3" i="13" s="1"/>
  <c r="M23" i="4"/>
  <c r="N23" i="4" s="1"/>
  <c r="O23" i="4" s="1"/>
  <c r="P23" i="4" s="1"/>
  <c r="Q23" i="4" s="1"/>
  <c r="R23" i="4" s="1"/>
  <c r="L30" i="4"/>
  <c r="M80" i="4"/>
  <c r="L87" i="4"/>
  <c r="M72" i="4"/>
  <c r="L77" i="4"/>
  <c r="M69" i="4"/>
  <c r="L62" i="4"/>
  <c r="M48" i="4"/>
  <c r="L55" i="4"/>
  <c r="L38" i="4"/>
  <c r="M33" i="4"/>
  <c r="M41" i="4"/>
  <c r="L45" i="4"/>
  <c r="M30" i="4"/>
  <c r="N27" i="4"/>
  <c r="Z2" i="13" l="1"/>
  <c r="Z3" i="13" s="1"/>
  <c r="N80" i="4"/>
  <c r="M87" i="4"/>
  <c r="N72" i="4"/>
  <c r="M77" i="4"/>
  <c r="N69" i="4"/>
  <c r="M62" i="4"/>
  <c r="N48" i="4"/>
  <c r="M55" i="4"/>
  <c r="M38" i="4"/>
  <c r="N33" i="4"/>
  <c r="N41" i="4"/>
  <c r="M45" i="4"/>
  <c r="N30" i="4"/>
  <c r="O27" i="4"/>
  <c r="AA2" i="13" l="1"/>
  <c r="AA3" i="13" s="1"/>
  <c r="O80" i="4"/>
  <c r="N87" i="4"/>
  <c r="O72" i="4"/>
  <c r="N77" i="4"/>
  <c r="O69" i="4"/>
  <c r="N62" i="4"/>
  <c r="O48" i="4"/>
  <c r="N55" i="4"/>
  <c r="N38" i="4"/>
  <c r="O33" i="4"/>
  <c r="O41" i="4"/>
  <c r="N45" i="4"/>
  <c r="O30" i="4"/>
  <c r="P27" i="4"/>
  <c r="AB2" i="13" l="1"/>
  <c r="AB3" i="13" s="1"/>
  <c r="AC2" i="13" s="1"/>
  <c r="AC3" i="13" s="1"/>
  <c r="AD2" i="13" s="1"/>
  <c r="AD3" i="13" s="1"/>
  <c r="P80" i="4"/>
  <c r="O87" i="4"/>
  <c r="P72" i="4"/>
  <c r="O77" i="4"/>
  <c r="P69" i="4"/>
  <c r="O62" i="4"/>
  <c r="P48" i="4"/>
  <c r="O55" i="4"/>
  <c r="O38" i="4"/>
  <c r="P33" i="4"/>
  <c r="P41" i="4"/>
  <c r="O45" i="4"/>
  <c r="P30" i="4"/>
  <c r="Q27" i="4"/>
  <c r="Q80" i="4" l="1"/>
  <c r="P87" i="4"/>
  <c r="Q72" i="4"/>
  <c r="P77" i="4"/>
  <c r="R69" i="4"/>
  <c r="Q69" i="4"/>
  <c r="P62" i="4"/>
  <c r="Q48" i="4"/>
  <c r="P55" i="4"/>
  <c r="P38" i="4"/>
  <c r="Q33" i="4"/>
  <c r="Q41" i="4"/>
  <c r="P45" i="4"/>
  <c r="Q30" i="4"/>
  <c r="R27" i="4"/>
  <c r="R30" i="4" s="1"/>
  <c r="R80" i="4" l="1"/>
  <c r="R87" i="4" s="1"/>
  <c r="Q87" i="4"/>
  <c r="R72" i="4"/>
  <c r="R77" i="4" s="1"/>
  <c r="Q77" i="4"/>
  <c r="R62" i="4"/>
  <c r="Q62" i="4"/>
  <c r="R48" i="4"/>
  <c r="R55" i="4" s="1"/>
  <c r="Q55" i="4"/>
  <c r="Q38" i="4"/>
  <c r="R33" i="4"/>
  <c r="R38" i="4" s="1"/>
  <c r="R41" i="4"/>
  <c r="R45" i="4" s="1"/>
  <c r="Q45" i="4"/>
  <c r="F42" i="7" l="1" a="1"/>
  <c r="F42" i="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Prince Jogani</author>
  </authors>
  <commentList>
    <comment ref="R19" authorId="0" shapeId="0" xr:uid="{8B67E53F-22A1-464B-8401-644E283B3AF4}">
      <text>
        <r>
          <rPr>
            <b/>
            <sz val="9"/>
            <color indexed="81"/>
            <rFont val="Tahoma"/>
            <charset val="1"/>
          </rPr>
          <t>Prince Jogani:</t>
        </r>
        <r>
          <rPr>
            <sz val="9"/>
            <color indexed="81"/>
            <rFont val="Tahoma"/>
            <charset val="1"/>
          </rPr>
          <t xml:space="preserve">
here is a 500k diff</t>
        </r>
      </text>
    </comment>
    <comment ref="F44" authorId="0" shapeId="0" xr:uid="{49CD3860-F93C-40E7-8214-8EA63090A5C1}">
      <text>
        <r>
          <rPr>
            <b/>
            <sz val="9"/>
            <color indexed="81"/>
            <rFont val="Tahoma"/>
            <family val="2"/>
          </rPr>
          <t>Prince Jogani:</t>
        </r>
        <r>
          <rPr>
            <sz val="9"/>
            <color indexed="81"/>
            <rFont val="Tahoma"/>
            <family val="2"/>
          </rPr>
          <t xml:space="preserve">
check this again-tagged next year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<sst xmlns="http://schemas.openxmlformats.org/spreadsheetml/2006/main" count="901" uniqueCount="386">
  <si>
    <t>Business Name</t>
  </si>
  <si>
    <t>x</t>
  </si>
  <si>
    <t>Business Sector</t>
  </si>
  <si>
    <t>Address/City</t>
  </si>
  <si>
    <t>Country</t>
  </si>
  <si>
    <t>Business General Info</t>
  </si>
  <si>
    <t>Reporting Metrics</t>
  </si>
  <si>
    <t>Reporting Starting Year</t>
  </si>
  <si>
    <t>Reposrting Starting Dare</t>
  </si>
  <si>
    <t>Analysis Periods</t>
  </si>
  <si>
    <t>Reporting Currency</t>
  </si>
  <si>
    <t>10 Years</t>
  </si>
  <si>
    <t>USD</t>
  </si>
  <si>
    <t>Uses &amp; Sources of Cash</t>
  </si>
  <si>
    <t>Development Costs</t>
  </si>
  <si>
    <t>Uses of Cash (Initial Investments)</t>
  </si>
  <si>
    <t>Startup Expenses</t>
  </si>
  <si>
    <t>Working Capital</t>
  </si>
  <si>
    <t>Total Uses</t>
  </si>
  <si>
    <t>Sourches of Cash</t>
  </si>
  <si>
    <t>Equity</t>
  </si>
  <si>
    <t>CHIPS Grant</t>
  </si>
  <si>
    <t>Debt</t>
  </si>
  <si>
    <t>Total Sources</t>
  </si>
  <si>
    <t>Debt Financing</t>
  </si>
  <si>
    <t>Loan 1</t>
  </si>
  <si>
    <t>Assumptions</t>
  </si>
  <si>
    <t>Loan to Development Costs</t>
  </si>
  <si>
    <t>Annual Interest Rate</t>
  </si>
  <si>
    <t>Loan Term</t>
  </si>
  <si>
    <t>Interest Only Years</t>
  </si>
  <si>
    <t>%</t>
  </si>
  <si>
    <t>years</t>
  </si>
  <si>
    <t>Loan Amount</t>
  </si>
  <si>
    <t>Annual Payment</t>
  </si>
  <si>
    <t>$</t>
  </si>
  <si>
    <t>Loan 2</t>
  </si>
  <si>
    <t>Factory Operating Assumptions</t>
  </si>
  <si>
    <t>Operating Days</t>
  </si>
  <si>
    <t>Weekly Operating Days</t>
  </si>
  <si>
    <t>days / week</t>
  </si>
  <si>
    <t># of days</t>
  </si>
  <si>
    <t>Annual Holdings</t>
  </si>
  <si>
    <t>Annual Operating Days</t>
  </si>
  <si>
    <t>Divisions &amp; Production Maximum Capacity</t>
  </si>
  <si>
    <t>Memory Chips</t>
  </si>
  <si>
    <t>Microprocessors</t>
  </si>
  <si>
    <t>Standard Chips</t>
  </si>
  <si>
    <t>Systems-on-a-Chip (SoCs)</t>
  </si>
  <si>
    <t>units / day</t>
  </si>
  <si>
    <t>Revenue Assumotions</t>
  </si>
  <si>
    <t>Avg.Sale Prices</t>
  </si>
  <si>
    <t>Standard Chips (CICs)</t>
  </si>
  <si>
    <t>$ / unit</t>
  </si>
  <si>
    <t>Cost of Sales</t>
  </si>
  <si>
    <t>Raw Materials</t>
  </si>
  <si>
    <t>Silicon Wafers</t>
  </si>
  <si>
    <t>Metals</t>
  </si>
  <si>
    <t>Chemicals</t>
  </si>
  <si>
    <t>Other</t>
  </si>
  <si>
    <t>$ / year</t>
  </si>
  <si>
    <t>Electricity Cost</t>
  </si>
  <si>
    <t>power Requirement</t>
  </si>
  <si>
    <t>Power Price</t>
  </si>
  <si>
    <t>Utilities</t>
  </si>
  <si>
    <t>MWH / Year</t>
  </si>
  <si>
    <t>$ / MWH</t>
  </si>
  <si>
    <t>Grant to Development Cost</t>
  </si>
  <si>
    <t>% of Dev. Costs</t>
  </si>
  <si>
    <t>CHIPS Financing Contribution</t>
  </si>
  <si>
    <t>Fuel Cost</t>
  </si>
  <si>
    <t>Fuel Requirement</t>
  </si>
  <si>
    <t>Fuel Price</t>
  </si>
  <si>
    <t>MMBTU / Year</t>
  </si>
  <si>
    <t>$ / MMBTU</t>
  </si>
  <si>
    <t>Water Cost</t>
  </si>
  <si>
    <t>Water Requirement</t>
  </si>
  <si>
    <t>Water Price</t>
  </si>
  <si>
    <t>000 gallons / year</t>
  </si>
  <si>
    <t>$ / '000 gallons</t>
  </si>
  <si>
    <t>Logistics</t>
  </si>
  <si>
    <t>Packaging</t>
  </si>
  <si>
    <t>Shipping</t>
  </si>
  <si>
    <t>$ of revenue</t>
  </si>
  <si>
    <t>Taxes Assumption</t>
  </si>
  <si>
    <t>Taxes</t>
  </si>
  <si>
    <t>Income Tax Rate</t>
  </si>
  <si>
    <t>payroll Taxes &amp; Benefits</t>
  </si>
  <si>
    <t>Tax Incentives</t>
  </si>
  <si>
    <t>Investment Tax Credit (ITC)</t>
  </si>
  <si>
    <t>Production Tax Credit (PTC)</t>
  </si>
  <si>
    <t>Tax Credits</t>
  </si>
  <si>
    <t>% of Production</t>
  </si>
  <si>
    <t>Startup CapEx</t>
  </si>
  <si>
    <t>Select Development or Acquisition</t>
  </si>
  <si>
    <t>select</t>
  </si>
  <si>
    <t>Acquisition</t>
  </si>
  <si>
    <t>Development</t>
  </si>
  <si>
    <t>Factory Investment method</t>
  </si>
  <si>
    <t>Initial capital Expenditures</t>
  </si>
  <si>
    <t>Land Costs</t>
  </si>
  <si>
    <t>Buildings</t>
  </si>
  <si>
    <t>Plant &amp; Machinery</t>
  </si>
  <si>
    <t>Factory Equipment</t>
  </si>
  <si>
    <t>Furniture &amp; Fitings</t>
  </si>
  <si>
    <t>Computers &amp; IT Equipment</t>
  </si>
  <si>
    <t>Total Startup CapEx</t>
  </si>
  <si>
    <t>select &gt;</t>
  </si>
  <si>
    <t>land lease Fees</t>
  </si>
  <si>
    <t>Website Development</t>
  </si>
  <si>
    <t>Hydrogeological Investigations</t>
  </si>
  <si>
    <t>Lithographical Research and producrement</t>
  </si>
  <si>
    <t>Licenses &amp; permits</t>
  </si>
  <si>
    <t xml:space="preserve">Other </t>
  </si>
  <si>
    <t>Total Startup OpEx</t>
  </si>
  <si>
    <t>Valuation Metrics</t>
  </si>
  <si>
    <t>WACC Calculation</t>
  </si>
  <si>
    <t>Debt to Capital</t>
  </si>
  <si>
    <t>Equity to Capital</t>
  </si>
  <si>
    <t>Risk Free Rate</t>
  </si>
  <si>
    <t>Equity Risk Premium</t>
  </si>
  <si>
    <t>Beta</t>
  </si>
  <si>
    <t>#</t>
  </si>
  <si>
    <t>Cost of Equity</t>
  </si>
  <si>
    <t>Cost of Debt</t>
  </si>
  <si>
    <t>Tax Rate</t>
  </si>
  <si>
    <t>After Tax Cost of Debt</t>
  </si>
  <si>
    <t>WACC (Discount Rate)</t>
  </si>
  <si>
    <t>Terminal value Assumptions</t>
  </si>
  <si>
    <t>EV/EBITDA (exit Multiple)</t>
  </si>
  <si>
    <t>Equity Investors</t>
  </si>
  <si>
    <t>Equity Contributors</t>
  </si>
  <si>
    <t>Limited partners</t>
  </si>
  <si>
    <t>General Partners</t>
  </si>
  <si>
    <t xml:space="preserve">Limited Partners </t>
  </si>
  <si>
    <t xml:space="preserve">$ </t>
  </si>
  <si>
    <t>Accounts Receivable</t>
  </si>
  <si>
    <t>Inventory</t>
  </si>
  <si>
    <t>Accounts Payable</t>
  </si>
  <si>
    <t>Days</t>
  </si>
  <si>
    <t>Cinema Development / Acquisition Assumptions</t>
  </si>
  <si>
    <t>Development Assumptions</t>
  </si>
  <si>
    <t>Land Assumptions</t>
  </si>
  <si>
    <t>Land Acquisitions Assumptions</t>
  </si>
  <si>
    <t>Land Area</t>
  </si>
  <si>
    <t>Prince</t>
  </si>
  <si>
    <t>Land Purchase price</t>
  </si>
  <si>
    <t>Land Ownership Status</t>
  </si>
  <si>
    <t>Acres</t>
  </si>
  <si>
    <t>USD / Acre</t>
  </si>
  <si>
    <t>Acquisition Costs</t>
  </si>
  <si>
    <t>% of asking Price</t>
  </si>
  <si>
    <t>Total Land Acquisition Costs</t>
  </si>
  <si>
    <t>Lease Assumptions</t>
  </si>
  <si>
    <t>Starting Land Lease</t>
  </si>
  <si>
    <t>Admin &amp; Legal Fees</t>
  </si>
  <si>
    <t>Broker / Finder Fee</t>
  </si>
  <si>
    <t>Other Fees</t>
  </si>
  <si>
    <t>Total Admin &amp; Legal Fees</t>
  </si>
  <si>
    <t>% of lease</t>
  </si>
  <si>
    <t>USD / year</t>
  </si>
  <si>
    <t>Development Summary</t>
  </si>
  <si>
    <t>Initial capital Expenditure</t>
  </si>
  <si>
    <t>Furniture &amp; Fittings</t>
  </si>
  <si>
    <t>Computer &amp; IT Equipment</t>
  </si>
  <si>
    <t>Total Development Costs</t>
  </si>
  <si>
    <t>Acquisition Assumptions</t>
  </si>
  <si>
    <t>Building Acquisition Assumptions</t>
  </si>
  <si>
    <t>Purchase Price</t>
  </si>
  <si>
    <t>Total Building Acquisition Costs</t>
  </si>
  <si>
    <t>Acquisition Summary</t>
  </si>
  <si>
    <t>Initial Capital Expenditures</t>
  </si>
  <si>
    <t>Amount</t>
  </si>
  <si>
    <t>Building Improvements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</si>
  <si>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</si>
  <si>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</si>
  <si>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</si>
  <si>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</si>
  <si>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</si>
  <si>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</si>
  <si>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</si>
  <si>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</si>
  <si>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</si>
  <si>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</si>
  <si>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Production Unit</t>
  </si>
  <si>
    <t>Position</t>
  </si>
  <si>
    <t>Starting Salary</t>
  </si>
  <si>
    <t>($ / FTE)</t>
  </si>
  <si>
    <t>Production Manager</t>
  </si>
  <si>
    <t>Production Supervisor</t>
  </si>
  <si>
    <t>Testing Engineers</t>
  </si>
  <si>
    <t>Electronics Engineer</t>
  </si>
  <si>
    <t>Safety Staff</t>
  </si>
  <si>
    <t>Sorting and Packaging</t>
  </si>
  <si>
    <t>R&amp;D head</t>
  </si>
  <si>
    <t>R&amp;D Scientist</t>
  </si>
  <si>
    <t>Quality Control</t>
  </si>
  <si>
    <t>(Add Position)</t>
  </si>
  <si>
    <t>FTE's Hired (#)</t>
  </si>
  <si>
    <t>Calculation</t>
  </si>
  <si>
    <t>Salaries</t>
  </si>
  <si>
    <t>Total Salaries</t>
  </si>
  <si>
    <t>Total Headcount</t>
  </si>
  <si>
    <t>Total payroll Cost</t>
  </si>
  <si>
    <t>Tax &amp; Benefits</t>
  </si>
  <si>
    <t>Total Offices Payroll</t>
  </si>
  <si>
    <t>Payroll</t>
  </si>
  <si>
    <t>Indirect Payroll (offices)</t>
  </si>
  <si>
    <t>General manager</t>
  </si>
  <si>
    <t>CFO</t>
  </si>
  <si>
    <t>Accounting Assistants</t>
  </si>
  <si>
    <t>Sales Director</t>
  </si>
  <si>
    <t>Sales Assistants</t>
  </si>
  <si>
    <t>Marketing Specialist</t>
  </si>
  <si>
    <t>HR Director</t>
  </si>
  <si>
    <t>HR Assistants</t>
  </si>
  <si>
    <t>Sales Supervisor</t>
  </si>
  <si>
    <t>Admin Assistants</t>
  </si>
  <si>
    <t>Operating Expenses</t>
  </si>
  <si>
    <t>Year Beginning</t>
  </si>
  <si>
    <t>Year Ending</t>
  </si>
  <si>
    <t>year period</t>
  </si>
  <si>
    <t>Days in Year</t>
  </si>
  <si>
    <t>Accounting Treatment</t>
  </si>
  <si>
    <t>OpEx</t>
  </si>
  <si>
    <t>Total Operating Expenses</t>
  </si>
  <si>
    <t>R&amp;D</t>
  </si>
  <si>
    <t>Software</t>
  </si>
  <si>
    <t>IP Qualification</t>
  </si>
  <si>
    <t>Design</t>
  </si>
  <si>
    <t>Verification</t>
  </si>
  <si>
    <t>Studies and Consulting</t>
  </si>
  <si>
    <t>(Add item)</t>
  </si>
  <si>
    <t>Annual Expenses</t>
  </si>
  <si>
    <t>Cost Inflation</t>
  </si>
  <si>
    <t>Starting year</t>
  </si>
  <si>
    <t>Total R&amp;D</t>
  </si>
  <si>
    <t>Marketing</t>
  </si>
  <si>
    <t>marketing (Digital)</t>
  </si>
  <si>
    <t>Promotional Expenses</t>
  </si>
  <si>
    <t>other expenses</t>
  </si>
  <si>
    <t>Total Marketing</t>
  </si>
  <si>
    <t>Offices Building Expenses</t>
  </si>
  <si>
    <t>Utilities (Electrical, Heating, Water)</t>
  </si>
  <si>
    <t>Phone/ Internet/ TV</t>
  </si>
  <si>
    <t>I.T.</t>
  </si>
  <si>
    <t>Website</t>
  </si>
  <si>
    <t>CRM Software</t>
  </si>
  <si>
    <t>Accounting Software</t>
  </si>
  <si>
    <t>HR Software</t>
  </si>
  <si>
    <t>Other IT Expenses</t>
  </si>
  <si>
    <t>Repairs &amp; Maintenance</t>
  </si>
  <si>
    <t>Facilities</t>
  </si>
  <si>
    <t>Office Building</t>
  </si>
  <si>
    <t>Total Offices Building Expenses</t>
  </si>
  <si>
    <t>Total I.T.</t>
  </si>
  <si>
    <t>Total Repairs &amp; Maintenance</t>
  </si>
  <si>
    <t>Supplies</t>
  </si>
  <si>
    <t>Insurance</t>
  </si>
  <si>
    <t>Facilities Insurance</t>
  </si>
  <si>
    <t>General insurance</t>
  </si>
  <si>
    <t>Total Supplies</t>
  </si>
  <si>
    <t>Total Insurance</t>
  </si>
  <si>
    <t>Directors &amp; Officers Liability</t>
  </si>
  <si>
    <t>Miscellaneous</t>
  </si>
  <si>
    <t>Leases (land)</t>
  </si>
  <si>
    <t>Licenses</t>
  </si>
  <si>
    <t>Legal</t>
  </si>
  <si>
    <t>Professional Services</t>
  </si>
  <si>
    <t>Other Expenses</t>
  </si>
  <si>
    <t>Total Miscellaneous</t>
  </si>
  <si>
    <t>payments &amp; processing Fees</t>
  </si>
  <si>
    <t>% of Revenue</t>
  </si>
  <si>
    <t>Total OpEx</t>
  </si>
  <si>
    <t>&lt; will flow from Income statement</t>
  </si>
  <si>
    <t>CapEx</t>
  </si>
  <si>
    <t>Property, Plant &amp; Equipment</t>
  </si>
  <si>
    <t>PP&amp;E Opening</t>
  </si>
  <si>
    <t>Pplant &amp; Machinery</t>
  </si>
  <si>
    <t>Computers &amp; IT Equipments</t>
  </si>
  <si>
    <t>Total PP&amp;E Opening</t>
  </si>
  <si>
    <t>Additions</t>
  </si>
  <si>
    <t>Total CapEx Additions</t>
  </si>
  <si>
    <t xml:space="preserve">Total PP&amp;E </t>
  </si>
  <si>
    <t>Total PP&amp;E</t>
  </si>
  <si>
    <t>Depreciation</t>
  </si>
  <si>
    <t>Depreciation Years</t>
  </si>
  <si>
    <t xml:space="preserve">Depreciation </t>
  </si>
  <si>
    <t>Purchase Schedule</t>
  </si>
  <si>
    <t>Land</t>
  </si>
  <si>
    <t>Useful Life</t>
  </si>
  <si>
    <t>Building:</t>
  </si>
  <si>
    <t>Total - Building Deprecitation</t>
  </si>
  <si>
    <t>Total - Plant &amp; Machinery</t>
  </si>
  <si>
    <t>Total - Land</t>
  </si>
  <si>
    <t>Total - Factory Equipment</t>
  </si>
  <si>
    <t>Total - Computers &amp; IT Equipment</t>
  </si>
  <si>
    <t>Total - Furniture &amp; Fittings</t>
  </si>
  <si>
    <t>Total Depreciation</t>
  </si>
  <si>
    <t>Monthly Depreciation</t>
  </si>
  <si>
    <t>Scenarios</t>
  </si>
  <si>
    <t>Forecast Assumptions</t>
  </si>
  <si>
    <t>Capacity Utilisation</t>
  </si>
  <si>
    <t>Base Case</t>
  </si>
  <si>
    <t>Upside Case</t>
  </si>
  <si>
    <t>Down Side Case</t>
  </si>
  <si>
    <t>Select Scenario</t>
  </si>
  <si>
    <t>Live Scenario</t>
  </si>
  <si>
    <t>Microprocessor</t>
  </si>
  <si>
    <t>Systems-on-a-chips(SoCs)</t>
  </si>
  <si>
    <t>Standard Chips (CiCs)</t>
  </si>
  <si>
    <t>Revenue</t>
  </si>
  <si>
    <t>New Product Sales</t>
  </si>
  <si>
    <t>Inventory Stock Sales</t>
  </si>
  <si>
    <t>% of Inventory Balance</t>
  </si>
  <si>
    <t>Sale Prices Annual Increase/(Decrease)</t>
  </si>
  <si>
    <t>% Increase</t>
  </si>
  <si>
    <t>Direct Costs</t>
  </si>
  <si>
    <t>Fuels &amp; utilities</t>
  </si>
  <si>
    <t>G&amp;A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</si>
  <si>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</si>
  <si>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</si>
  <si>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</si>
  <si>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</si>
  <si>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</si>
  <si>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</si>
  <si>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</si>
  <si>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</si>
  <si>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</si>
  <si>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</si>
  <si>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</si>
  <si>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</si>
  <si>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</t>
  </si>
  <si>
    <t>BOM</t>
  </si>
  <si>
    <t>EOM</t>
  </si>
  <si>
    <t>Days in Month</t>
  </si>
  <si>
    <t>Total Year</t>
  </si>
  <si>
    <t>Income Statement</t>
  </si>
  <si>
    <t>COGS</t>
  </si>
  <si>
    <t>Direct Payroll</t>
  </si>
  <si>
    <t>Indirect Payroll</t>
  </si>
  <si>
    <t>Payments &amp; Processing Fees</t>
  </si>
  <si>
    <t>Capital Expenditures</t>
  </si>
  <si>
    <t>Other Budget Items</t>
  </si>
  <si>
    <t>Debt Issued</t>
  </si>
  <si>
    <t>interest</t>
  </si>
  <si>
    <t>Principal</t>
  </si>
  <si>
    <t>Income Taxes</t>
  </si>
  <si>
    <t>Budget</t>
  </si>
  <si>
    <t>Operating Cash Flow</t>
  </si>
  <si>
    <t>Prior Year</t>
  </si>
  <si>
    <t>Total Revenue</t>
  </si>
  <si>
    <t>Total COGS</t>
  </si>
  <si>
    <t>Total Capital Expenditures</t>
  </si>
  <si>
    <t>Gross Profit</t>
  </si>
  <si>
    <t>Current Year</t>
  </si>
  <si>
    <t>Setup Expenses</t>
  </si>
  <si>
    <t>Net Operating Income</t>
  </si>
  <si>
    <t>Net CashFlow before Debt</t>
  </si>
  <si>
    <t>Financing</t>
  </si>
  <si>
    <t>Loan Proceeds</t>
  </si>
  <si>
    <t>Year</t>
  </si>
  <si>
    <t>Repayment Formula</t>
  </si>
  <si>
    <t>Total Years</t>
  </si>
  <si>
    <t>Amortising years</t>
  </si>
  <si>
    <t>Calendar</t>
  </si>
  <si>
    <t>Total Payment</t>
  </si>
  <si>
    <t>Interest Paid</t>
  </si>
  <si>
    <t>Principal Paid</t>
  </si>
  <si>
    <t>Ending Balan</t>
  </si>
  <si>
    <t>p*c*251*70</t>
  </si>
  <si>
    <t>&lt;500 k diff due to fuels</t>
  </si>
  <si>
    <t xml:space="preserve">Total Debt Financing </t>
  </si>
  <si>
    <t>Net Cash Flow After Debt</t>
  </si>
  <si>
    <t>Income Tax</t>
  </si>
  <si>
    <t>&lt; will be flowed from income statemnt</t>
  </si>
  <si>
    <t>Balance Sheet Check</t>
  </si>
  <si>
    <t>Year 0</t>
  </si>
  <si>
    <t>days*price*production*utilisation*newproduct sales* inflation</t>
  </si>
  <si>
    <t>Current Year Production</t>
  </si>
  <si>
    <t>New Production Sales</t>
  </si>
  <si>
    <t>Inventory to Sales conversion</t>
  </si>
  <si>
    <t>Total Sales</t>
  </si>
  <si>
    <t>Unsold Inventory from last year</t>
  </si>
  <si>
    <t>Price (YoY)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</si>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</sst>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d\-mmm\-yy;@"/>
    <numFmt numFmtId="165" formatCode="_(* #,##0_);_(* \(#,##0\);_(* &quot;-&quot;??_);_(@_)"/>
    <numFmt numFmtId="166" formatCode="0.0%"/>
    <numFmt numFmtId="167" formatCode="0.00\x"/>
    <numFmt numFmtId="168" formatCode="[$-409]d\-mmm\-yy;@"/>
    <numFmt numFmtId="169" formatCode="&quot;$&quot;#,##0"/>
    <numFmt numFmtId="171" formatCode="_(&quot;$&quot;* #,##0_);_(&quot;$&quot;* \(#,##0\);_(&quot;$&quot;* &quot;-&quot;??_);_(@_)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2060"/>
      <name val="Aptos Narrow"/>
      <family val="2"/>
      <scheme val="minor"/>
    </font>
    <font>
      <b/>
      <sz val="11"/>
      <color rgb="FF00206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b/>
      <sz val="11"/>
      <color theme="0"/>
      <name val="Aptos Narrow"/>
      <scheme val="minor"/>
    </font>
    <font>
      <sz val="11"/>
      <color theme="0"/>
      <name val="Aptos Narrow"/>
      <scheme val="minor"/>
    </font>
    <font>
      <b/>
      <u/>
      <sz val="11"/>
      <color theme="1"/>
      <name val="Aptos Narrow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.6"/>
      <color theme="1"/>
      <name val="Segoe U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/>
    <xf numFmtId="0" fontId="3" fillId="0" borderId="1" xfId="0" applyFont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164" fontId="5" fillId="2" borderId="6" xfId="0" applyNumberFormat="1" applyFont="1" applyFill="1" applyBorder="1" applyAlignment="1">
      <alignment horizontal="center"/>
    </xf>
    <xf numFmtId="0" fontId="0" fillId="0" borderId="7" xfId="0" applyBorder="1"/>
    <xf numFmtId="0" fontId="5" fillId="2" borderId="8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9" xfId="0" applyBorder="1"/>
    <xf numFmtId="165" fontId="0" fillId="0" borderId="6" xfId="1" applyNumberFormat="1" applyFont="1" applyBorder="1" applyAlignment="1">
      <alignment horizontal="center"/>
    </xf>
    <xf numFmtId="165" fontId="5" fillId="0" borderId="6" xfId="1" applyNumberFormat="1" applyFont="1" applyBorder="1" applyAlignment="1">
      <alignment horizontal="center"/>
    </xf>
    <xf numFmtId="165" fontId="5" fillId="2" borderId="6" xfId="1" applyNumberFormat="1" applyFont="1" applyFill="1" applyBorder="1" applyAlignment="1">
      <alignment horizontal="center"/>
    </xf>
    <xf numFmtId="0" fontId="3" fillId="0" borderId="3" xfId="0" applyFont="1" applyBorder="1"/>
    <xf numFmtId="165" fontId="3" fillId="0" borderId="4" xfId="1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5" xfId="0" applyFont="1" applyBorder="1"/>
    <xf numFmtId="165" fontId="3" fillId="0" borderId="11" xfId="1" applyNumberFormat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2" xfId="0" applyBorder="1"/>
    <xf numFmtId="0" fontId="0" fillId="0" borderId="12" xfId="0" applyBorder="1" applyAlignment="1">
      <alignment horizontal="center"/>
    </xf>
    <xf numFmtId="9" fontId="5" fillId="2" borderId="6" xfId="0" applyNumberFormat="1" applyFont="1" applyFill="1" applyBorder="1" applyAlignment="1">
      <alignment horizontal="center"/>
    </xf>
    <xf numFmtId="0" fontId="3" fillId="0" borderId="7" xfId="0" applyFont="1" applyBorder="1"/>
    <xf numFmtId="0" fontId="3" fillId="0" borderId="12" xfId="0" applyFont="1" applyBorder="1" applyAlignment="1">
      <alignment horizontal="center"/>
    </xf>
    <xf numFmtId="0" fontId="0" fillId="0" borderId="1" xfId="0" applyBorder="1"/>
    <xf numFmtId="0" fontId="5" fillId="2" borderId="0" xfId="0" applyFont="1" applyFill="1"/>
    <xf numFmtId="0" fontId="0" fillId="0" borderId="0" xfId="0" applyAlignment="1">
      <alignment horizontal="right"/>
    </xf>
    <xf numFmtId="0" fontId="5" fillId="2" borderId="0" xfId="0" applyFont="1" applyFill="1" applyAlignment="1">
      <alignment horizontal="right"/>
    </xf>
    <xf numFmtId="43" fontId="5" fillId="2" borderId="6" xfId="1" applyFont="1" applyFill="1" applyBorder="1" applyAlignment="1">
      <alignment horizontal="right"/>
    </xf>
    <xf numFmtId="165" fontId="0" fillId="0" borderId="6" xfId="1" applyNumberFormat="1" applyFont="1" applyBorder="1" applyAlignment="1">
      <alignment horizontal="right"/>
    </xf>
    <xf numFmtId="165" fontId="5" fillId="2" borderId="6" xfId="1" applyNumberFormat="1" applyFont="1" applyFill="1" applyBorder="1" applyAlignment="1">
      <alignment horizontal="right"/>
    </xf>
    <xf numFmtId="165" fontId="6" fillId="2" borderId="4" xfId="1" applyNumberFormat="1" applyFont="1" applyFill="1" applyBorder="1" applyAlignment="1">
      <alignment horizontal="right"/>
    </xf>
    <xf numFmtId="165" fontId="0" fillId="0" borderId="0" xfId="1" applyNumberFormat="1" applyFont="1" applyAlignment="1">
      <alignment horizontal="right"/>
    </xf>
    <xf numFmtId="165" fontId="5" fillId="2" borderId="0" xfId="1" applyNumberFormat="1" applyFont="1" applyFill="1" applyAlignment="1">
      <alignment horizontal="right"/>
    </xf>
    <xf numFmtId="0" fontId="3" fillId="0" borderId="1" xfId="0" applyFont="1" applyBorder="1" applyAlignment="1">
      <alignment horizontal="center"/>
    </xf>
    <xf numFmtId="165" fontId="5" fillId="2" borderId="8" xfId="1" applyNumberFormat="1" applyFont="1" applyFill="1" applyBorder="1" applyAlignment="1">
      <alignment horizontal="right"/>
    </xf>
    <xf numFmtId="165" fontId="3" fillId="0" borderId="0" xfId="1" applyNumberFormat="1" applyFont="1" applyAlignment="1">
      <alignment horizontal="right"/>
    </xf>
    <xf numFmtId="165" fontId="0" fillId="0" borderId="8" xfId="1" applyNumberFormat="1" applyFont="1" applyBorder="1" applyAlignment="1">
      <alignment horizontal="right"/>
    </xf>
    <xf numFmtId="0" fontId="3" fillId="0" borderId="10" xfId="0" applyFont="1" applyBorder="1"/>
    <xf numFmtId="0" fontId="3" fillId="0" borderId="9" xfId="0" applyFont="1" applyBorder="1"/>
    <xf numFmtId="165" fontId="3" fillId="0" borderId="0" xfId="1" applyNumberFormat="1" applyFont="1" applyBorder="1" applyAlignment="1">
      <alignment horizontal="center"/>
    </xf>
    <xf numFmtId="9" fontId="5" fillId="2" borderId="6" xfId="2" applyFont="1" applyFill="1" applyBorder="1" applyAlignment="1">
      <alignment horizontal="center"/>
    </xf>
    <xf numFmtId="43" fontId="0" fillId="0" borderId="0" xfId="1" applyFont="1"/>
    <xf numFmtId="165" fontId="0" fillId="0" borderId="0" xfId="1" applyNumberFormat="1" applyFont="1"/>
    <xf numFmtId="0" fontId="0" fillId="0" borderId="0" xfId="0" quotePrefix="1" applyAlignment="1">
      <alignment horizontal="center"/>
    </xf>
    <xf numFmtId="166" fontId="5" fillId="2" borderId="6" xfId="2" applyNumberFormat="1" applyFont="1" applyFill="1" applyBorder="1" applyAlignment="1">
      <alignment horizontal="right"/>
    </xf>
    <xf numFmtId="166" fontId="5" fillId="2" borderId="8" xfId="2" applyNumberFormat="1" applyFont="1" applyFill="1" applyBorder="1" applyAlignment="1">
      <alignment horizontal="right"/>
    </xf>
    <xf numFmtId="9" fontId="5" fillId="2" borderId="6" xfId="2" applyFont="1" applyFill="1" applyBorder="1" applyAlignment="1">
      <alignment horizontal="right"/>
    </xf>
    <xf numFmtId="9" fontId="0" fillId="0" borderId="6" xfId="2" applyFont="1" applyBorder="1" applyAlignment="1">
      <alignment horizontal="center"/>
    </xf>
    <xf numFmtId="165" fontId="5" fillId="2" borderId="8" xfId="1" applyNumberFormat="1" applyFont="1" applyFill="1" applyBorder="1" applyAlignment="1">
      <alignment horizontal="center"/>
    </xf>
    <xf numFmtId="0" fontId="5" fillId="0" borderId="0" xfId="0" applyFont="1"/>
    <xf numFmtId="0" fontId="0" fillId="0" borderId="4" xfId="0" applyBorder="1"/>
    <xf numFmtId="0" fontId="0" fillId="0" borderId="8" xfId="0" applyBorder="1"/>
    <xf numFmtId="0" fontId="6" fillId="2" borderId="6" xfId="0" applyFont="1" applyFill="1" applyBorder="1"/>
    <xf numFmtId="0" fontId="0" fillId="0" borderId="6" xfId="0" applyBorder="1"/>
    <xf numFmtId="165" fontId="3" fillId="0" borderId="11" xfId="0" applyNumberFormat="1" applyFont="1" applyBorder="1"/>
    <xf numFmtId="0" fontId="3" fillId="0" borderId="9" xfId="0" applyFont="1" applyBorder="1" applyAlignment="1">
      <alignment horizontal="center"/>
    </xf>
    <xf numFmtId="0" fontId="5" fillId="2" borderId="8" xfId="0" applyFont="1" applyFill="1" applyBorder="1"/>
    <xf numFmtId="10" fontId="0" fillId="0" borderId="0" xfId="0" applyNumberFormat="1"/>
    <xf numFmtId="0" fontId="0" fillId="2" borderId="2" xfId="0" applyFill="1" applyBorder="1"/>
    <xf numFmtId="9" fontId="5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10" fontId="0" fillId="0" borderId="6" xfId="0" applyNumberFormat="1" applyBorder="1"/>
    <xf numFmtId="9" fontId="0" fillId="0" borderId="6" xfId="0" applyNumberFormat="1" applyBorder="1"/>
    <xf numFmtId="0" fontId="3" fillId="0" borderId="4" xfId="0" applyFont="1" applyBorder="1"/>
    <xf numFmtId="167" fontId="6" fillId="2" borderId="8" xfId="0" applyNumberFormat="1" applyFont="1" applyFill="1" applyBorder="1"/>
    <xf numFmtId="9" fontId="5" fillId="2" borderId="0" xfId="0" applyNumberFormat="1" applyFont="1" applyFill="1"/>
    <xf numFmtId="0" fontId="0" fillId="0" borderId="0" xfId="0" applyAlignment="1">
      <alignment horizontal="left" indent="1"/>
    </xf>
    <xf numFmtId="43" fontId="3" fillId="0" borderId="1" xfId="1" applyFont="1" applyBorder="1"/>
    <xf numFmtId="165" fontId="3" fillId="0" borderId="1" xfId="1" applyNumberFormat="1" applyFont="1" applyBorder="1"/>
    <xf numFmtId="10" fontId="5" fillId="2" borderId="0" xfId="0" applyNumberFormat="1" applyFont="1" applyFill="1"/>
    <xf numFmtId="165" fontId="3" fillId="0" borderId="9" xfId="1" applyNumberFormat="1" applyFont="1" applyBorder="1"/>
    <xf numFmtId="165" fontId="5" fillId="2" borderId="0" xfId="1" applyNumberFormat="1" applyFont="1" applyFill="1"/>
    <xf numFmtId="165" fontId="5" fillId="2" borderId="0" xfId="1" applyNumberFormat="1" applyFont="1" applyFill="1" applyAlignment="1"/>
    <xf numFmtId="0" fontId="3" fillId="2" borderId="0" xfId="0" applyFont="1" applyFill="1"/>
    <xf numFmtId="43" fontId="0" fillId="2" borderId="0" xfId="1" applyFont="1" applyFill="1"/>
    <xf numFmtId="165" fontId="0" fillId="2" borderId="0" xfId="1" applyNumberFormat="1" applyFont="1" applyFill="1"/>
    <xf numFmtId="0" fontId="3" fillId="2" borderId="9" xfId="0" applyFont="1" applyFill="1" applyBorder="1"/>
    <xf numFmtId="165" fontId="3" fillId="2" borderId="9" xfId="1" applyNumberFormat="1" applyFont="1" applyFill="1" applyBorder="1"/>
    <xf numFmtId="165" fontId="0" fillId="0" borderId="0" xfId="0" applyNumberFormat="1"/>
    <xf numFmtId="165" fontId="3" fillId="0" borderId="0" xfId="0" applyNumberFormat="1" applyFont="1"/>
    <xf numFmtId="0" fontId="3" fillId="0" borderId="0" xfId="0" applyFont="1" applyAlignment="1">
      <alignment horizontal="right"/>
    </xf>
    <xf numFmtId="0" fontId="0" fillId="2" borderId="0" xfId="0" applyFill="1" applyAlignment="1">
      <alignment horizontal="left" indent="1"/>
    </xf>
    <xf numFmtId="165" fontId="0" fillId="2" borderId="0" xfId="0" applyNumberFormat="1" applyFill="1"/>
    <xf numFmtId="9" fontId="0" fillId="2" borderId="0" xfId="0" applyNumberFormat="1" applyFill="1"/>
    <xf numFmtId="165" fontId="3" fillId="2" borderId="0" xfId="1" applyNumberFormat="1" applyFont="1" applyFill="1"/>
    <xf numFmtId="0" fontId="3" fillId="2" borderId="0" xfId="0" applyFont="1" applyFill="1" applyAlignment="1">
      <alignment horizontal="right"/>
    </xf>
    <xf numFmtId="0" fontId="0" fillId="2" borderId="9" xfId="0" applyFill="1" applyBorder="1" applyAlignment="1">
      <alignment horizontal="center"/>
    </xf>
    <xf numFmtId="0" fontId="2" fillId="4" borderId="0" xfId="0" applyFont="1" applyFill="1" applyAlignment="1">
      <alignment horizontal="left"/>
    </xf>
    <xf numFmtId="0" fontId="0" fillId="5" borderId="0" xfId="0" applyFill="1"/>
    <xf numFmtId="0" fontId="2" fillId="5" borderId="0" xfId="0" applyFont="1" applyFill="1"/>
    <xf numFmtId="0" fontId="2" fillId="5" borderId="0" xfId="0" applyFont="1" applyFill="1" applyAlignment="1">
      <alignment horizontal="left" indent="1"/>
    </xf>
    <xf numFmtId="0" fontId="0" fillId="0" borderId="0" xfId="0" applyAlignment="1">
      <alignment horizontal="left" indent="2"/>
    </xf>
    <xf numFmtId="0" fontId="3" fillId="0" borderId="9" xfId="0" applyFont="1" applyBorder="1" applyAlignment="1">
      <alignment horizontal="left" indent="1"/>
    </xf>
    <xf numFmtId="0" fontId="0" fillId="2" borderId="3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165" fontId="0" fillId="2" borderId="6" xfId="1" applyNumberFormat="1" applyFont="1" applyFill="1" applyBorder="1"/>
    <xf numFmtId="0" fontId="0" fillId="2" borderId="6" xfId="0" applyFill="1" applyBorder="1"/>
    <xf numFmtId="0" fontId="7" fillId="2" borderId="5" xfId="0" applyFont="1" applyFill="1" applyBorder="1"/>
    <xf numFmtId="0" fontId="0" fillId="2" borderId="5" xfId="0" applyFill="1" applyBorder="1" applyAlignment="1">
      <alignment horizontal="left" indent="1"/>
    </xf>
    <xf numFmtId="10" fontId="0" fillId="2" borderId="6" xfId="0" applyNumberFormat="1" applyFill="1" applyBorder="1"/>
    <xf numFmtId="0" fontId="3" fillId="2" borderId="10" xfId="0" applyFont="1" applyFill="1" applyBorder="1"/>
    <xf numFmtId="165" fontId="3" fillId="2" borderId="11" xfId="1" applyNumberFormat="1" applyFont="1" applyFill="1" applyBorder="1"/>
    <xf numFmtId="0" fontId="4" fillId="0" borderId="0" xfId="0" applyFont="1"/>
    <xf numFmtId="165" fontId="0" fillId="0" borderId="6" xfId="1" applyNumberFormat="1" applyFont="1" applyBorder="1"/>
    <xf numFmtId="165" fontId="3" fillId="0" borderId="11" xfId="1" applyNumberFormat="1" applyFont="1" applyBorder="1"/>
    <xf numFmtId="0" fontId="7" fillId="0" borderId="0" xfId="0" applyFont="1" applyAlignment="1">
      <alignment horizontal="left" indent="2"/>
    </xf>
    <xf numFmtId="165" fontId="5" fillId="0" borderId="0" xfId="1" applyNumberFormat="1" applyFont="1" applyFill="1"/>
    <xf numFmtId="0" fontId="7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0" fillId="4" borderId="0" xfId="0" applyFill="1"/>
    <xf numFmtId="0" fontId="2" fillId="4" borderId="0" xfId="0" applyFont="1" applyFill="1"/>
    <xf numFmtId="0" fontId="3" fillId="0" borderId="14" xfId="0" applyFont="1" applyBorder="1"/>
    <xf numFmtId="165" fontId="3" fillId="0" borderId="14" xfId="0" applyNumberFormat="1" applyFont="1" applyBorder="1"/>
    <xf numFmtId="168" fontId="0" fillId="0" borderId="0" xfId="0" applyNumberFormat="1" applyAlignment="1">
      <alignment horizontal="right"/>
    </xf>
    <xf numFmtId="2" fontId="0" fillId="0" borderId="0" xfId="0" applyNumberFormat="1"/>
    <xf numFmtId="0" fontId="6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 indent="1"/>
    </xf>
    <xf numFmtId="0" fontId="4" fillId="6" borderId="0" xfId="0" applyFont="1" applyFill="1"/>
    <xf numFmtId="0" fontId="2" fillId="6" borderId="0" xfId="0" applyFont="1" applyFill="1"/>
    <xf numFmtId="165" fontId="5" fillId="2" borderId="2" xfId="1" applyNumberFormat="1" applyFont="1" applyFill="1" applyBorder="1"/>
    <xf numFmtId="10" fontId="5" fillId="2" borderId="2" xfId="0" applyNumberFormat="1" applyFont="1" applyFill="1" applyBorder="1"/>
    <xf numFmtId="0" fontId="5" fillId="2" borderId="2" xfId="0" applyFont="1" applyFill="1" applyBorder="1"/>
    <xf numFmtId="43" fontId="5" fillId="2" borderId="2" xfId="1" applyFont="1" applyFill="1" applyBorder="1"/>
    <xf numFmtId="0" fontId="5" fillId="2" borderId="13" xfId="0" applyFont="1" applyFill="1" applyBorder="1"/>
    <xf numFmtId="43" fontId="3" fillId="0" borderId="1" xfId="1" applyFont="1" applyBorder="1" applyAlignment="1">
      <alignment horizontal="left" indent="1"/>
    </xf>
    <xf numFmtId="165" fontId="3" fillId="0" borderId="1" xfId="0" applyNumberFormat="1" applyFont="1" applyBorder="1"/>
    <xf numFmtId="165" fontId="5" fillId="2" borderId="13" xfId="1" applyNumberFormat="1" applyFont="1" applyFill="1" applyBorder="1"/>
    <xf numFmtId="165" fontId="0" fillId="0" borderId="9" xfId="1" applyNumberFormat="1" applyFont="1" applyBorder="1"/>
    <xf numFmtId="1" fontId="0" fillId="0" borderId="0" xfId="0" applyNumberFormat="1"/>
    <xf numFmtId="9" fontId="0" fillId="0" borderId="0" xfId="2" applyFont="1"/>
    <xf numFmtId="0" fontId="2" fillId="5" borderId="0" xfId="0" applyFont="1" applyFill="1" applyAlignment="1">
      <alignment horizontal="right"/>
    </xf>
    <xf numFmtId="168" fontId="3" fillId="0" borderId="0" xfId="0" applyNumberFormat="1" applyFont="1" applyAlignment="1">
      <alignment horizontal="right"/>
    </xf>
    <xf numFmtId="165" fontId="0" fillId="0" borderId="0" xfId="1" applyNumberFormat="1" applyFont="1" applyFill="1"/>
    <xf numFmtId="0" fontId="2" fillId="4" borderId="0" xfId="0" applyFont="1" applyFill="1" applyAlignment="1">
      <alignment horizontal="left" indent="1"/>
    </xf>
    <xf numFmtId="0" fontId="2" fillId="0" borderId="0" xfId="0" applyFont="1"/>
    <xf numFmtId="0" fontId="3" fillId="0" borderId="0" xfId="0" applyFont="1" applyAlignment="1">
      <alignment horizontal="left" indent="1"/>
    </xf>
    <xf numFmtId="0" fontId="0" fillId="0" borderId="2" xfId="0" applyBorder="1"/>
    <xf numFmtId="169" fontId="0" fillId="0" borderId="0" xfId="0" applyNumberFormat="1"/>
    <xf numFmtId="0" fontId="10" fillId="0" borderId="9" xfId="0" applyFont="1" applyBorder="1"/>
    <xf numFmtId="0" fontId="10" fillId="0" borderId="0" xfId="0" applyFont="1"/>
    <xf numFmtId="0" fontId="10" fillId="0" borderId="2" xfId="0" applyFont="1" applyBorder="1"/>
    <xf numFmtId="165" fontId="9" fillId="0" borderId="9" xfId="1" applyNumberFormat="1" applyFont="1" applyBorder="1"/>
    <xf numFmtId="0" fontId="10" fillId="0" borderId="14" xfId="0" applyFont="1" applyBorder="1"/>
    <xf numFmtId="165" fontId="10" fillId="0" borderId="14" xfId="0" applyNumberFormat="1" applyFont="1" applyBorder="1"/>
    <xf numFmtId="0" fontId="0" fillId="0" borderId="2" xfId="0" applyBorder="1" applyAlignment="1">
      <alignment horizontal="center"/>
    </xf>
    <xf numFmtId="0" fontId="10" fillId="0" borderId="1" xfId="0" applyFont="1" applyBorder="1" applyAlignment="1">
      <alignment horizontal="left" indent="1"/>
    </xf>
    <xf numFmtId="0" fontId="10" fillId="0" borderId="1" xfId="0" applyFont="1" applyBorder="1"/>
    <xf numFmtId="165" fontId="10" fillId="0" borderId="1" xfId="1" applyNumberFormat="1" applyFont="1" applyBorder="1"/>
    <xf numFmtId="0" fontId="11" fillId="0" borderId="0" xfId="0" applyFont="1"/>
    <xf numFmtId="0" fontId="10" fillId="0" borderId="12" xfId="0" applyFont="1" applyBorder="1"/>
    <xf numFmtId="0" fontId="10" fillId="0" borderId="12" xfId="0" applyFont="1" applyBorder="1" applyAlignment="1">
      <alignment horizontal="center"/>
    </xf>
    <xf numFmtId="9" fontId="0" fillId="0" borderId="0" xfId="0" applyNumberFormat="1"/>
    <xf numFmtId="9" fontId="10" fillId="0" borderId="12" xfId="2" applyFont="1" applyBorder="1"/>
    <xf numFmtId="9" fontId="5" fillId="0" borderId="0" xfId="2" applyFont="1"/>
    <xf numFmtId="9" fontId="5" fillId="7" borderId="0" xfId="2" applyFont="1" applyFill="1"/>
    <xf numFmtId="0" fontId="0" fillId="7" borderId="0" xfId="0" applyFill="1"/>
    <xf numFmtId="9" fontId="5" fillId="0" borderId="0" xfId="0" applyNumberFormat="1" applyFont="1"/>
    <xf numFmtId="9" fontId="5" fillId="0" borderId="0" xfId="0" applyNumberFormat="1" applyFont="1" applyAlignment="1">
      <alignment horizontal="center"/>
    </xf>
    <xf numFmtId="9" fontId="5" fillId="0" borderId="0" xfId="2" applyFont="1" applyAlignment="1">
      <alignment horizontal="center"/>
    </xf>
    <xf numFmtId="0" fontId="12" fillId="4" borderId="0" xfId="0" applyFont="1" applyFill="1"/>
    <xf numFmtId="0" fontId="13" fillId="8" borderId="0" xfId="0" applyFont="1" applyFill="1"/>
    <xf numFmtId="0" fontId="12" fillId="8" borderId="0" xfId="0" applyFont="1" applyFill="1"/>
    <xf numFmtId="9" fontId="1" fillId="0" borderId="0" xfId="2" applyFont="1" applyFill="1"/>
    <xf numFmtId="0" fontId="12" fillId="0" borderId="0" xfId="0" applyFont="1"/>
    <xf numFmtId="0" fontId="13" fillId="0" borderId="0" xfId="0" applyFont="1"/>
    <xf numFmtId="168" fontId="0" fillId="0" borderId="0" xfId="0" applyNumberFormat="1"/>
    <xf numFmtId="0" fontId="14" fillId="0" borderId="0" xfId="0" applyFont="1"/>
    <xf numFmtId="0" fontId="0" fillId="0" borderId="15" xfId="0" applyBorder="1"/>
    <xf numFmtId="168" fontId="3" fillId="0" borderId="15" xfId="0" applyNumberFormat="1" applyFont="1" applyBorder="1" applyAlignment="1">
      <alignment horizontal="right"/>
    </xf>
    <xf numFmtId="168" fontId="0" fillId="0" borderId="15" xfId="0" applyNumberFormat="1" applyBorder="1"/>
    <xf numFmtId="0" fontId="3" fillId="0" borderId="15" xfId="0" applyFont="1" applyBorder="1" applyAlignment="1">
      <alignment horizontal="right"/>
    </xf>
    <xf numFmtId="9" fontId="0" fillId="0" borderId="15" xfId="2" applyFont="1" applyBorder="1"/>
    <xf numFmtId="10" fontId="0" fillId="0" borderId="0" xfId="2" applyNumberFormat="1" applyFont="1"/>
    <xf numFmtId="10" fontId="5" fillId="0" borderId="0" xfId="2" applyNumberFormat="1" applyFont="1"/>
    <xf numFmtId="9" fontId="5" fillId="0" borderId="15" xfId="2" applyFont="1" applyBorder="1"/>
    <xf numFmtId="9" fontId="1" fillId="0" borderId="15" xfId="2" applyFont="1" applyBorder="1"/>
    <xf numFmtId="43" fontId="0" fillId="0" borderId="1" xfId="0" applyNumberFormat="1" applyBorder="1"/>
    <xf numFmtId="165" fontId="0" fillId="0" borderId="1" xfId="0" applyNumberFormat="1" applyBorder="1"/>
    <xf numFmtId="165" fontId="0" fillId="0" borderId="1" xfId="1" applyNumberFormat="1" applyFont="1" applyBorder="1"/>
    <xf numFmtId="165" fontId="0" fillId="0" borderId="0" xfId="1" applyNumberFormat="1" applyFont="1" applyBorder="1"/>
    <xf numFmtId="168" fontId="3" fillId="0" borderId="5" xfId="0" applyNumberFormat="1" applyFont="1" applyBorder="1" applyAlignment="1">
      <alignment horizontal="right"/>
    </xf>
    <xf numFmtId="168" fontId="0" fillId="0" borderId="5" xfId="0" applyNumberFormat="1" applyBorder="1"/>
    <xf numFmtId="0" fontId="3" fillId="0" borderId="5" xfId="0" applyFont="1" applyBorder="1" applyAlignment="1">
      <alignment horizontal="right"/>
    </xf>
    <xf numFmtId="0" fontId="10" fillId="0" borderId="5" xfId="0" applyFont="1" applyBorder="1"/>
    <xf numFmtId="165" fontId="0" fillId="0" borderId="5" xfId="1" applyNumberFormat="1" applyFont="1" applyBorder="1"/>
    <xf numFmtId="165" fontId="0" fillId="0" borderId="3" xfId="1" applyNumberFormat="1" applyFont="1" applyBorder="1"/>
    <xf numFmtId="165" fontId="0" fillId="0" borderId="10" xfId="1" applyNumberFormat="1" applyFont="1" applyBorder="1"/>
    <xf numFmtId="165" fontId="0" fillId="9" borderId="0" xfId="1" applyNumberFormat="1" applyFont="1" applyFill="1"/>
    <xf numFmtId="165" fontId="0" fillId="0" borderId="0" xfId="1" applyNumberFormat="1" applyFont="1" applyAlignment="1">
      <alignment horizontal="center"/>
    </xf>
    <xf numFmtId="165" fontId="0" fillId="0" borderId="8" xfId="1" applyNumberFormat="1" applyFont="1" applyBorder="1" applyAlignment="1">
      <alignment horizontal="center"/>
    </xf>
    <xf numFmtId="165" fontId="0" fillId="0" borderId="2" xfId="1" applyNumberFormat="1" applyFont="1" applyBorder="1"/>
    <xf numFmtId="165" fontId="17" fillId="0" borderId="2" xfId="1" applyNumberFormat="1" applyFont="1" applyBorder="1" applyAlignment="1">
      <alignment horizontal="left" vertical="top" wrapText="1"/>
    </xf>
    <xf numFmtId="9" fontId="0" fillId="0" borderId="2" xfId="0" applyNumberFormat="1" applyBorder="1"/>
    <xf numFmtId="165" fontId="0" fillId="0" borderId="3" xfId="0" applyNumberFormat="1" applyBorder="1"/>
    <xf numFmtId="165" fontId="3" fillId="0" borderId="0" xfId="1" applyNumberFormat="1" applyFont="1"/>
    <xf numFmtId="165" fontId="3" fillId="0" borderId="9" xfId="0" applyNumberFormat="1" applyFont="1" applyBorder="1"/>
    <xf numFmtId="0" fontId="0" fillId="9" borderId="0" xfId="0" applyFill="1"/>
    <xf numFmtId="0" fontId="0" fillId="9" borderId="5" xfId="0" applyFill="1" applyBorder="1"/>
    <xf numFmtId="0" fontId="0" fillId="0" borderId="0" xfId="0" applyAlignment="1">
      <alignment horizontal="left"/>
    </xf>
    <xf numFmtId="0" fontId="2" fillId="5" borderId="0" xfId="0" applyFont="1" applyFill="1"/>
    <xf numFmtId="0" fontId="3" fillId="0" borderId="0" xfId="0" applyFont="1" applyAlignment="1">
      <alignment horizontal="center"/>
    </xf>
    <xf numFmtId="0" fontId="2" fillId="5" borderId="0" xfId="0" applyFont="1" applyFill="1" applyAlignment="1">
      <alignment horizontal="right"/>
    </xf>
    <xf numFmtId="0" fontId="3" fillId="0" borderId="5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6" xfId="0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2" fillId="4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2" fillId="5" borderId="0" xfId="0" applyFont="1" applyFill="1"/>
    <xf numFmtId="0" fontId="3" fillId="0" borderId="0" xfId="0" applyFont="1" applyAlignment="1">
      <alignment horizontal="center"/>
    </xf>
    <xf numFmtId="0" fontId="2" fillId="5" borderId="0" xfId="0" applyFont="1" applyFill="1" applyAlignment="1">
      <alignment horizontal="right"/>
    </xf>
    <xf numFmtId="0" fontId="10" fillId="4" borderId="12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165" fontId="10" fillId="0" borderId="0" xfId="1" applyNumberFormat="1" applyFont="1" applyBorder="1" applyAlignment="1">
      <alignment horizontal="center"/>
    </xf>
    <xf numFmtId="165" fontId="10" fillId="0" borderId="19" xfId="1" applyNumberFormat="1" applyFont="1" applyBorder="1" applyAlignment="1">
      <alignment horizontal="center"/>
    </xf>
    <xf numFmtId="9" fontId="0" fillId="0" borderId="0" xfId="2" applyFont="1" applyAlignment="1">
      <alignment horizontal="center"/>
    </xf>
    <xf numFmtId="0" fontId="10" fillId="0" borderId="0" xfId="0" applyFont="1" applyAlignment="1">
      <alignment horizontal="left"/>
    </xf>
    <xf numFmtId="0" fontId="10" fillId="0" borderId="16" xfId="0" applyFont="1" applyBorder="1" applyAlignment="1">
      <alignment horizontal="left"/>
    </xf>
    <xf numFmtId="0" fontId="10" fillId="0" borderId="15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165" fontId="11" fillId="0" borderId="17" xfId="1" applyNumberFormat="1" applyFont="1" applyBorder="1" applyAlignment="1">
      <alignment horizontal="center"/>
    </xf>
    <xf numFmtId="165" fontId="11" fillId="0" borderId="18" xfId="1" applyNumberFormat="1" applyFont="1" applyBorder="1" applyAlignment="1">
      <alignment horizontal="center"/>
    </xf>
    <xf numFmtId="165" fontId="11" fillId="0" borderId="0" xfId="1" applyNumberFormat="1" applyFont="1" applyBorder="1" applyAlignment="1">
      <alignment horizontal="center"/>
    </xf>
    <xf numFmtId="165" fontId="11" fillId="0" borderId="19" xfId="1" applyNumberFormat="1" applyFont="1" applyBorder="1" applyAlignment="1">
      <alignment horizontal="center"/>
    </xf>
    <xf numFmtId="165" fontId="11" fillId="0" borderId="21" xfId="1" applyNumberFormat="1" applyFont="1" applyBorder="1" applyAlignment="1">
      <alignment horizontal="center"/>
    </xf>
    <xf numFmtId="165" fontId="11" fillId="0" borderId="22" xfId="1" applyNumberFormat="1" applyFont="1" applyBorder="1" applyAlignment="1">
      <alignment horizontal="center"/>
    </xf>
    <xf numFmtId="0" fontId="10" fillId="0" borderId="20" xfId="0" applyFont="1" applyBorder="1" applyAlignment="1">
      <alignment horizontal="left"/>
    </xf>
    <xf numFmtId="0" fontId="10" fillId="0" borderId="23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0" fontId="10" fillId="7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Fill="1" applyAlignment="1">
      <alignment horizontal="left"/>
    </xf>
    <xf numFmtId="0" fontId="10" fillId="4" borderId="23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0" fillId="4" borderId="25" xfId="0" applyFont="1" applyFill="1" applyBorder="1" applyAlignment="1">
      <alignment horizontal="center" vertical="center" wrapText="1"/>
    </xf>
    <xf numFmtId="171" fontId="11" fillId="0" borderId="17" xfId="3" applyNumberFormat="1" applyFont="1" applyBorder="1" applyAlignment="1">
      <alignment horizontal="center"/>
    </xf>
    <xf numFmtId="171" fontId="11" fillId="0" borderId="18" xfId="3" applyNumberFormat="1" applyFont="1" applyBorder="1" applyAlignment="1">
      <alignment horizontal="center"/>
    </xf>
    <xf numFmtId="171" fontId="11" fillId="0" borderId="0" xfId="3" applyNumberFormat="1" applyFont="1" applyBorder="1" applyAlignment="1">
      <alignment horizontal="center"/>
    </xf>
    <xf numFmtId="171" fontId="11" fillId="0" borderId="19" xfId="3" applyNumberFormat="1" applyFont="1" applyBorder="1" applyAlignment="1">
      <alignment horizontal="center"/>
    </xf>
    <xf numFmtId="171" fontId="11" fillId="0" borderId="21" xfId="3" applyNumberFormat="1" applyFont="1" applyBorder="1" applyAlignment="1">
      <alignment horizontal="center"/>
    </xf>
    <xf numFmtId="171" fontId="11" fillId="0" borderId="22" xfId="3" applyNumberFormat="1" applyFont="1" applyBorder="1" applyAlignment="1">
      <alignment horizontal="center"/>
    </xf>
    <xf numFmtId="171" fontId="10" fillId="4" borderId="23" xfId="3" applyNumberFormat="1" applyFont="1" applyFill="1" applyBorder="1" applyAlignment="1">
      <alignment horizontal="center" vertical="center" wrapText="1"/>
    </xf>
    <xf numFmtId="171" fontId="10" fillId="4" borderId="24" xfId="3" applyNumberFormat="1" applyFont="1" applyFill="1" applyBorder="1" applyAlignment="1">
      <alignment horizontal="center" vertical="center" wrapText="1"/>
    </xf>
    <xf numFmtId="171" fontId="10" fillId="4" borderId="25" xfId="3" applyNumberFormat="1" applyFont="1" applyFill="1" applyBorder="1" applyAlignment="1">
      <alignment horizontal="center" vertical="center" wrapText="1"/>
    </xf>
    <xf numFmtId="0" fontId="10" fillId="0" borderId="17" xfId="0" applyFont="1" applyBorder="1" applyAlignment="1">
      <alignment horizontal="left"/>
    </xf>
    <xf numFmtId="0" fontId="10" fillId="0" borderId="21" xfId="0" applyFont="1" applyBorder="1" applyAlignment="1">
      <alignment horizontal="left"/>
    </xf>
    <xf numFmtId="165" fontId="0" fillId="9" borderId="0" xfId="1" applyNumberFormat="1" applyFont="1" applyFill="1" applyAlignment="1">
      <alignment horizontal="center"/>
    </xf>
    <xf numFmtId="0" fontId="10" fillId="9" borderId="0" xfId="0" applyFont="1" applyFill="1" applyAlignment="1">
      <alignment horizontal="center"/>
    </xf>
    <xf numFmtId="165" fontId="11" fillId="9" borderId="17" xfId="1" applyNumberFormat="1" applyFont="1" applyFill="1" applyBorder="1" applyAlignment="1">
      <alignment horizontal="center"/>
    </xf>
    <xf numFmtId="165" fontId="11" fillId="9" borderId="0" xfId="1" applyNumberFormat="1" applyFont="1" applyFill="1" applyBorder="1" applyAlignment="1">
      <alignment horizontal="center"/>
    </xf>
    <xf numFmtId="165" fontId="11" fillId="9" borderId="21" xfId="1" applyNumberFormat="1" applyFont="1" applyFill="1" applyBorder="1" applyAlignment="1">
      <alignment horizontal="center"/>
    </xf>
    <xf numFmtId="165" fontId="10" fillId="9" borderId="0" xfId="1" applyNumberFormat="1" applyFont="1" applyFill="1" applyBorder="1" applyAlignment="1">
      <alignment horizontal="center"/>
    </xf>
    <xf numFmtId="171" fontId="11" fillId="9" borderId="17" xfId="3" applyNumberFormat="1" applyFont="1" applyFill="1" applyBorder="1" applyAlignment="1">
      <alignment horizontal="center"/>
    </xf>
    <xf numFmtId="171" fontId="11" fillId="9" borderId="0" xfId="3" applyNumberFormat="1" applyFont="1" applyFill="1" applyBorder="1" applyAlignment="1">
      <alignment horizontal="center"/>
    </xf>
    <xf numFmtId="171" fontId="11" fillId="9" borderId="21" xfId="3" applyNumberFormat="1" applyFont="1" applyFill="1" applyBorder="1" applyAlignment="1">
      <alignment horizontal="center"/>
    </xf>
    <xf numFmtId="165" fontId="0" fillId="0" borderId="0" xfId="1" applyNumberFormat="1" applyFont="1" applyFill="1" applyAlignment="1">
      <alignment horizontal="center"/>
    </xf>
    <xf numFmtId="168" fontId="3" fillId="0" borderId="0" xfId="0" applyNumberFormat="1" applyFont="1" applyFill="1" applyAlignment="1">
      <alignment horizontal="right"/>
    </xf>
    <xf numFmtId="165" fontId="11" fillId="0" borderId="17" xfId="1" applyNumberFormat="1" applyFont="1" applyFill="1" applyBorder="1" applyAlignment="1">
      <alignment horizontal="center"/>
    </xf>
    <xf numFmtId="165" fontId="11" fillId="0" borderId="0" xfId="1" applyNumberFormat="1" applyFont="1" applyFill="1" applyBorder="1" applyAlignment="1">
      <alignment horizontal="center"/>
    </xf>
    <xf numFmtId="165" fontId="11" fillId="0" borderId="21" xfId="1" applyNumberFormat="1" applyFont="1" applyFill="1" applyBorder="1" applyAlignment="1">
      <alignment horizontal="center"/>
    </xf>
    <xf numFmtId="165" fontId="10" fillId="0" borderId="0" xfId="1" applyNumberFormat="1" applyFont="1" applyFill="1" applyBorder="1" applyAlignment="1">
      <alignment horizontal="center"/>
    </xf>
    <xf numFmtId="171" fontId="11" fillId="0" borderId="17" xfId="3" applyNumberFormat="1" applyFont="1" applyFill="1" applyBorder="1" applyAlignment="1">
      <alignment horizontal="center"/>
    </xf>
    <xf numFmtId="171" fontId="11" fillId="0" borderId="0" xfId="3" applyNumberFormat="1" applyFont="1" applyFill="1" applyBorder="1" applyAlignment="1">
      <alignment horizontal="center"/>
    </xf>
    <xf numFmtId="171" fontId="11" fillId="0" borderId="21" xfId="3" applyNumberFormat="1" applyFont="1" applyFill="1" applyBorder="1" applyAlignment="1">
      <alignment horizontal="center"/>
    </xf>
  </cellXfs>
  <cellStyles count="4">
    <cellStyle name="Comma" xfId="1" builtinId="3"/>
    <cellStyle name="Currency" xfId="3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E3BAF-0EAF-4F72-9471-18BA9606D005}">
  <dimension ref="B2:O60"/>
  <sheetViews>
    <sheetView showGridLines="0" zoomScale="80" zoomScaleNormal="115" workbookViewId="0">
      <selection activeCell="H7" sqref="H7"/>
    </sheetView>
  </sheetViews>
  <sheetFormatPr defaultRowHeight="13.8"/>
  <cols>
    <col min="1" max="1" width="2.8984375" customWidth="1"/>
    <col min="2" max="2" width="30" bestFit="1" customWidth="1"/>
    <col min="3" max="3" width="30" customWidth="1"/>
    <col min="4" max="4" width="19.09765625" style="1" customWidth="1"/>
    <col min="5" max="5" width="2.19921875" customWidth="1"/>
    <col min="6" max="6" width="28.8984375" customWidth="1"/>
    <col min="7" max="7" width="16" style="1" bestFit="1" customWidth="1"/>
    <col min="8" max="8" width="13.296875" style="38" customWidth="1"/>
    <col min="9" max="9" width="2.19921875" customWidth="1"/>
    <col min="10" max="10" width="30.59765625" bestFit="1" customWidth="1"/>
    <col min="11" max="11" width="11.796875" customWidth="1"/>
    <col min="12" max="12" width="18.3984375" bestFit="1" customWidth="1"/>
    <col min="13" max="13" width="12.09765625" hidden="1" customWidth="1"/>
    <col min="14" max="14" width="15.8984375" bestFit="1" customWidth="1"/>
  </cols>
  <sheetData>
    <row r="2" spans="2:13">
      <c r="B2" s="214" t="s">
        <v>5</v>
      </c>
      <c r="C2" s="215"/>
      <c r="D2" s="216"/>
      <c r="F2" s="214" t="s">
        <v>37</v>
      </c>
      <c r="G2" s="215"/>
      <c r="H2" s="216"/>
      <c r="J2" s="18" t="s">
        <v>93</v>
      </c>
      <c r="K2" s="30"/>
      <c r="L2" s="57"/>
    </row>
    <row r="3" spans="2:13">
      <c r="B3" s="9"/>
      <c r="D3" s="8"/>
      <c r="F3" s="9"/>
      <c r="H3" s="35"/>
      <c r="J3" s="28" t="s">
        <v>98</v>
      </c>
      <c r="K3" s="25"/>
      <c r="L3" s="58"/>
      <c r="M3" s="25"/>
    </row>
    <row r="4" spans="2:13">
      <c r="B4" s="9" t="s">
        <v>0</v>
      </c>
      <c r="D4" s="13" t="s">
        <v>1</v>
      </c>
      <c r="F4" s="217" t="s">
        <v>38</v>
      </c>
      <c r="G4" s="218"/>
      <c r="H4" s="219"/>
      <c r="J4" s="9" t="s">
        <v>94</v>
      </c>
      <c r="K4" s="1" t="s">
        <v>107</v>
      </c>
      <c r="L4" s="59" t="s">
        <v>97</v>
      </c>
      <c r="M4" t="s">
        <v>96</v>
      </c>
    </row>
    <row r="5" spans="2:13">
      <c r="B5" s="9" t="s">
        <v>2</v>
      </c>
      <c r="D5" s="8" t="s">
        <v>1</v>
      </c>
      <c r="F5" s="9" t="s">
        <v>39</v>
      </c>
      <c r="G5" s="1" t="s">
        <v>40</v>
      </c>
      <c r="H5" s="36">
        <v>5</v>
      </c>
      <c r="J5" s="9"/>
      <c r="L5" s="60"/>
      <c r="M5" t="s">
        <v>97</v>
      </c>
    </row>
    <row r="6" spans="2:13">
      <c r="B6" s="9"/>
      <c r="D6" s="8"/>
      <c r="F6" s="9" t="s">
        <v>42</v>
      </c>
      <c r="G6" s="1" t="s">
        <v>41</v>
      </c>
      <c r="H6" s="36">
        <v>10</v>
      </c>
      <c r="J6" s="28" t="s">
        <v>99</v>
      </c>
      <c r="K6" s="25"/>
      <c r="L6" s="58"/>
    </row>
    <row r="7" spans="2:13">
      <c r="B7" s="9" t="s">
        <v>3</v>
      </c>
      <c r="D7" s="13" t="s">
        <v>1</v>
      </c>
      <c r="F7" s="18" t="s">
        <v>43</v>
      </c>
      <c r="G7" s="40" t="s">
        <v>41</v>
      </c>
      <c r="H7" s="37">
        <f>(365-H6)-(7-H5)*52</f>
        <v>251</v>
      </c>
      <c r="J7" s="9" t="s">
        <v>100</v>
      </c>
      <c r="K7" s="1" t="s">
        <v>35</v>
      </c>
      <c r="L7" s="112">
        <f>+'Development Assumptions'!D25</f>
        <v>54250000</v>
      </c>
    </row>
    <row r="8" spans="2:13">
      <c r="B8" s="11" t="s">
        <v>4</v>
      </c>
      <c r="C8" s="25"/>
      <c r="D8" s="12" t="s">
        <v>1</v>
      </c>
      <c r="F8" s="9"/>
      <c r="H8" s="35"/>
      <c r="J8" s="9" t="s">
        <v>101</v>
      </c>
      <c r="K8" s="1" t="s">
        <v>35</v>
      </c>
      <c r="L8" s="112">
        <f>+'Development Assumptions'!D26</f>
        <v>3000000000</v>
      </c>
    </row>
    <row r="9" spans="2:13">
      <c r="F9" s="211" t="s">
        <v>44</v>
      </c>
      <c r="G9" s="212"/>
      <c r="H9" s="213"/>
      <c r="J9" s="9" t="s">
        <v>102</v>
      </c>
      <c r="K9" s="1" t="s">
        <v>35</v>
      </c>
      <c r="L9" s="112">
        <f>+'Development Assumptions'!D27</f>
        <v>5000000000</v>
      </c>
    </row>
    <row r="10" spans="2:13">
      <c r="B10" s="214" t="s">
        <v>6</v>
      </c>
      <c r="C10" s="215"/>
      <c r="D10" s="216"/>
      <c r="F10" s="9" t="s">
        <v>45</v>
      </c>
      <c r="G10" s="1" t="s">
        <v>49</v>
      </c>
      <c r="H10" s="36">
        <v>900</v>
      </c>
      <c r="J10" s="9" t="s">
        <v>103</v>
      </c>
      <c r="K10" s="1" t="s">
        <v>35</v>
      </c>
      <c r="L10" s="112">
        <f>+'Development Assumptions'!D28</f>
        <v>2000000000</v>
      </c>
    </row>
    <row r="11" spans="2:13">
      <c r="B11" s="7"/>
      <c r="C11" s="1"/>
      <c r="D11" s="8"/>
      <c r="F11" s="9" t="s">
        <v>46</v>
      </c>
      <c r="G11" s="1" t="s">
        <v>49</v>
      </c>
      <c r="H11" s="36">
        <v>650</v>
      </c>
      <c r="J11" s="9" t="s">
        <v>104</v>
      </c>
      <c r="K11" s="1" t="s">
        <v>35</v>
      </c>
      <c r="L11" s="112">
        <f>+'Development Assumptions'!D29</f>
        <v>500000</v>
      </c>
    </row>
    <row r="12" spans="2:13">
      <c r="B12" s="9" t="s">
        <v>7</v>
      </c>
      <c r="D12" s="8">
        <v>2025</v>
      </c>
      <c r="F12" s="9" t="s">
        <v>47</v>
      </c>
      <c r="G12" s="1" t="s">
        <v>49</v>
      </c>
      <c r="H12" s="36">
        <v>2000</v>
      </c>
      <c r="J12" s="9" t="s">
        <v>105</v>
      </c>
      <c r="K12" s="1" t="s">
        <v>35</v>
      </c>
      <c r="L12" s="112">
        <f>+'Development Assumptions'!D30</f>
        <v>50000000</v>
      </c>
    </row>
    <row r="13" spans="2:13">
      <c r="B13" s="9" t="s">
        <v>8</v>
      </c>
      <c r="D13" s="10">
        <v>45658</v>
      </c>
      <c r="F13" s="11" t="s">
        <v>48</v>
      </c>
      <c r="G13" s="26" t="s">
        <v>49</v>
      </c>
      <c r="H13" s="41">
        <v>300</v>
      </c>
      <c r="J13" s="44" t="s">
        <v>106</v>
      </c>
      <c r="K13" s="62" t="s">
        <v>35</v>
      </c>
      <c r="L13" s="113">
        <f>SUM(L8:L12)</f>
        <v>10050500000</v>
      </c>
    </row>
    <row r="14" spans="2:13">
      <c r="B14" s="9" t="s">
        <v>9</v>
      </c>
      <c r="D14" s="8" t="s">
        <v>11</v>
      </c>
    </row>
    <row r="15" spans="2:13">
      <c r="B15" s="9"/>
      <c r="D15" s="8"/>
      <c r="F15" s="214" t="s">
        <v>50</v>
      </c>
      <c r="G15" s="215"/>
      <c r="H15" s="216"/>
      <c r="J15" s="214" t="s">
        <v>16</v>
      </c>
      <c r="K15" s="215"/>
      <c r="L15" s="216"/>
    </row>
    <row r="16" spans="2:13">
      <c r="B16" s="11" t="s">
        <v>10</v>
      </c>
      <c r="C16" s="25"/>
      <c r="D16" s="12" t="s">
        <v>12</v>
      </c>
      <c r="F16" s="9" t="s">
        <v>51</v>
      </c>
      <c r="H16" s="35"/>
      <c r="J16" s="9" t="s">
        <v>108</v>
      </c>
      <c r="K16" s="1" t="s">
        <v>35</v>
      </c>
      <c r="L16" s="35">
        <v>0</v>
      </c>
    </row>
    <row r="17" spans="2:15">
      <c r="F17" s="9" t="s">
        <v>45</v>
      </c>
      <c r="G17" s="1" t="s">
        <v>53</v>
      </c>
      <c r="H17" s="36">
        <v>6000</v>
      </c>
      <c r="J17" s="9" t="s">
        <v>109</v>
      </c>
      <c r="K17" s="1" t="s">
        <v>35</v>
      </c>
      <c r="L17" s="36">
        <v>20000</v>
      </c>
    </row>
    <row r="18" spans="2:15">
      <c r="B18" s="214" t="s">
        <v>13</v>
      </c>
      <c r="C18" s="215"/>
      <c r="D18" s="216"/>
      <c r="F18" s="9" t="s">
        <v>46</v>
      </c>
      <c r="G18" s="1" t="s">
        <v>53</v>
      </c>
      <c r="H18" s="36">
        <v>12000</v>
      </c>
      <c r="J18" s="9" t="s">
        <v>110</v>
      </c>
      <c r="K18" s="1" t="s">
        <v>35</v>
      </c>
      <c r="L18" s="36">
        <v>2000000</v>
      </c>
      <c r="O18">
        <f>6000*(1+4%)</f>
        <v>6240</v>
      </c>
    </row>
    <row r="19" spans="2:15">
      <c r="B19" s="7" t="s">
        <v>15</v>
      </c>
      <c r="C19" s="1"/>
      <c r="D19" s="8"/>
      <c r="F19" s="9" t="s">
        <v>52</v>
      </c>
      <c r="G19" s="1" t="s">
        <v>53</v>
      </c>
      <c r="H19" s="36">
        <v>1000</v>
      </c>
      <c r="J19" s="9" t="s">
        <v>111</v>
      </c>
      <c r="K19" s="1" t="s">
        <v>35</v>
      </c>
      <c r="L19" s="36">
        <v>30000000</v>
      </c>
    </row>
    <row r="20" spans="2:15">
      <c r="B20" s="9" t="s">
        <v>14</v>
      </c>
      <c r="D20" s="15">
        <f>+L13</f>
        <v>10050500000</v>
      </c>
      <c r="F20" s="11" t="s">
        <v>48</v>
      </c>
      <c r="G20" s="26" t="s">
        <v>53</v>
      </c>
      <c r="H20" s="41">
        <v>18000</v>
      </c>
      <c r="J20" s="9" t="s">
        <v>112</v>
      </c>
      <c r="K20" s="1" t="s">
        <v>35</v>
      </c>
      <c r="L20" s="36">
        <v>100000</v>
      </c>
    </row>
    <row r="21" spans="2:15">
      <c r="B21" s="9" t="s">
        <v>16</v>
      </c>
      <c r="D21" s="16">
        <v>32620000</v>
      </c>
      <c r="J21" s="11" t="s">
        <v>113</v>
      </c>
      <c r="K21" s="1" t="s">
        <v>35</v>
      </c>
      <c r="L21" s="63">
        <v>500000</v>
      </c>
    </row>
    <row r="22" spans="2:15">
      <c r="B22" s="9" t="s">
        <v>17</v>
      </c>
      <c r="D22" s="17">
        <v>50000000</v>
      </c>
      <c r="F22" s="214" t="s">
        <v>54</v>
      </c>
      <c r="G22" s="215"/>
      <c r="H22" s="216"/>
      <c r="J22" s="44" t="s">
        <v>114</v>
      </c>
      <c r="K22" s="62" t="s">
        <v>35</v>
      </c>
      <c r="L22" s="61">
        <f>SUM(L16:L21)</f>
        <v>32620000</v>
      </c>
    </row>
    <row r="23" spans="2:15">
      <c r="B23" s="18" t="s">
        <v>18</v>
      </c>
      <c r="C23" s="6"/>
      <c r="D23" s="19">
        <f>SUM(D20:D22)</f>
        <v>10133120000</v>
      </c>
      <c r="F23" s="9" t="s">
        <v>55</v>
      </c>
      <c r="H23" s="35"/>
    </row>
    <row r="24" spans="2:15">
      <c r="B24" s="9"/>
      <c r="D24" s="20"/>
      <c r="F24" s="9" t="s">
        <v>56</v>
      </c>
      <c r="G24" s="1" t="s">
        <v>60</v>
      </c>
      <c r="H24" s="36">
        <v>600000000</v>
      </c>
      <c r="J24" s="214" t="s">
        <v>115</v>
      </c>
      <c r="K24" s="215"/>
      <c r="L24" s="216"/>
    </row>
    <row r="25" spans="2:15">
      <c r="B25" s="21" t="s">
        <v>19</v>
      </c>
      <c r="C25" s="5"/>
      <c r="D25" s="8"/>
      <c r="F25" s="9" t="s">
        <v>57</v>
      </c>
      <c r="G25" s="1" t="s">
        <v>60</v>
      </c>
      <c r="H25" s="36">
        <v>300000000</v>
      </c>
      <c r="J25" s="9" t="s">
        <v>116</v>
      </c>
      <c r="L25" s="8"/>
    </row>
    <row r="26" spans="2:15">
      <c r="B26" s="9" t="s">
        <v>20</v>
      </c>
      <c r="D26" s="8"/>
      <c r="F26" s="9" t="s">
        <v>58</v>
      </c>
      <c r="G26" s="1" t="s">
        <v>60</v>
      </c>
      <c r="H26" s="36">
        <v>100000000</v>
      </c>
      <c r="J26" s="9" t="s">
        <v>117</v>
      </c>
      <c r="K26" s="1" t="s">
        <v>31</v>
      </c>
      <c r="L26" s="20"/>
    </row>
    <row r="27" spans="2:15">
      <c r="B27" s="9" t="s">
        <v>21</v>
      </c>
      <c r="D27" s="8"/>
      <c r="F27" s="11" t="s">
        <v>59</v>
      </c>
      <c r="G27" s="26" t="s">
        <v>60</v>
      </c>
      <c r="H27" s="41">
        <v>50000000</v>
      </c>
      <c r="J27" s="9" t="s">
        <v>118</v>
      </c>
      <c r="K27" s="1" t="s">
        <v>31</v>
      </c>
      <c r="L27" s="8"/>
    </row>
    <row r="28" spans="2:15">
      <c r="B28" s="9" t="s">
        <v>22</v>
      </c>
      <c r="D28" s="8"/>
      <c r="J28" s="9"/>
      <c r="K28" s="1"/>
      <c r="L28" s="8"/>
    </row>
    <row r="29" spans="2:15">
      <c r="B29" s="44" t="s">
        <v>23</v>
      </c>
      <c r="C29" s="45"/>
      <c r="D29" s="22">
        <f>SUM(D26:D28)</f>
        <v>0</v>
      </c>
      <c r="F29" s="214" t="s">
        <v>64</v>
      </c>
      <c r="G29" s="215"/>
      <c r="H29" s="216"/>
      <c r="J29" s="9" t="s">
        <v>119</v>
      </c>
      <c r="K29" s="1" t="s">
        <v>31</v>
      </c>
      <c r="L29" s="66">
        <v>0.05</v>
      </c>
    </row>
    <row r="30" spans="2:15">
      <c r="B30" s="5"/>
      <c r="C30" s="5"/>
      <c r="D30" s="46"/>
      <c r="F30" s="220" t="s">
        <v>61</v>
      </c>
      <c r="G30" s="221"/>
      <c r="H30" s="222"/>
      <c r="J30" s="9" t="s">
        <v>120</v>
      </c>
      <c r="K30" s="1" t="s">
        <v>31</v>
      </c>
      <c r="L30" s="66">
        <v>0.09</v>
      </c>
    </row>
    <row r="31" spans="2:15">
      <c r="B31" s="18" t="s">
        <v>21</v>
      </c>
      <c r="C31" s="6"/>
      <c r="D31" s="19"/>
      <c r="F31" s="9" t="s">
        <v>62</v>
      </c>
      <c r="G31" s="1" t="s">
        <v>65</v>
      </c>
      <c r="H31" s="36">
        <v>2500000</v>
      </c>
      <c r="J31" s="11" t="s">
        <v>121</v>
      </c>
      <c r="K31" s="26" t="s">
        <v>122</v>
      </c>
      <c r="L31" s="67">
        <v>1.3</v>
      </c>
    </row>
    <row r="32" spans="2:15">
      <c r="B32" s="9" t="s">
        <v>67</v>
      </c>
      <c r="C32" t="s">
        <v>68</v>
      </c>
      <c r="D32" s="47">
        <v>0.15</v>
      </c>
      <c r="F32" s="9" t="s">
        <v>63</v>
      </c>
      <c r="G32" s="1" t="s">
        <v>66</v>
      </c>
      <c r="H32" s="34">
        <v>32</v>
      </c>
      <c r="J32" s="18" t="s">
        <v>123</v>
      </c>
      <c r="K32" s="40" t="s">
        <v>31</v>
      </c>
      <c r="L32" s="57"/>
    </row>
    <row r="33" spans="2:14">
      <c r="B33" s="44" t="s">
        <v>69</v>
      </c>
      <c r="C33" s="45" t="s">
        <v>35</v>
      </c>
      <c r="D33" s="22"/>
      <c r="F33" s="9"/>
      <c r="H33" s="36"/>
      <c r="J33" s="9"/>
      <c r="K33" s="1"/>
      <c r="L33" s="60"/>
    </row>
    <row r="34" spans="2:14">
      <c r="B34" s="5"/>
      <c r="C34" s="5"/>
      <c r="D34" s="46"/>
      <c r="F34" s="220" t="s">
        <v>70</v>
      </c>
      <c r="G34" s="221"/>
      <c r="H34" s="222"/>
      <c r="J34" s="9" t="s">
        <v>124</v>
      </c>
      <c r="K34" s="1" t="s">
        <v>31</v>
      </c>
      <c r="L34" s="68"/>
    </row>
    <row r="35" spans="2:14">
      <c r="B35" s="214" t="s">
        <v>24</v>
      </c>
      <c r="C35" s="215"/>
      <c r="D35" s="216"/>
      <c r="F35" s="9" t="s">
        <v>71</v>
      </c>
      <c r="G35" s="1" t="s">
        <v>73</v>
      </c>
      <c r="H35" s="36">
        <v>1250000</v>
      </c>
      <c r="J35" s="9" t="s">
        <v>125</v>
      </c>
      <c r="K35" s="1" t="s">
        <v>31</v>
      </c>
      <c r="L35" s="69"/>
    </row>
    <row r="36" spans="2:14">
      <c r="B36" s="211" t="s">
        <v>25</v>
      </c>
      <c r="C36" s="212"/>
      <c r="D36" s="213"/>
      <c r="F36" s="9" t="s">
        <v>72</v>
      </c>
      <c r="G36" s="1" t="s">
        <v>74</v>
      </c>
      <c r="H36" s="36">
        <v>8</v>
      </c>
      <c r="J36" s="18" t="s">
        <v>126</v>
      </c>
      <c r="K36" s="40" t="s">
        <v>31</v>
      </c>
      <c r="L36" s="70"/>
    </row>
    <row r="37" spans="2:14">
      <c r="B37" s="11" t="s">
        <v>26</v>
      </c>
      <c r="C37" s="25"/>
      <c r="D37" s="23"/>
      <c r="F37" s="9"/>
      <c r="H37" s="35"/>
      <c r="J37" s="9"/>
      <c r="L37" s="60"/>
      <c r="N37" s="49"/>
    </row>
    <row r="38" spans="2:14">
      <c r="B38" s="9" t="s">
        <v>27</v>
      </c>
      <c r="C38" s="1" t="s">
        <v>31</v>
      </c>
      <c r="D38" s="27">
        <v>0.4</v>
      </c>
      <c r="F38" s="220" t="s">
        <v>75</v>
      </c>
      <c r="G38" s="221"/>
      <c r="H38" s="222"/>
      <c r="J38" s="9" t="s">
        <v>127</v>
      </c>
      <c r="K38" s="1" t="s">
        <v>31</v>
      </c>
      <c r="L38" s="65"/>
    </row>
    <row r="39" spans="2:14">
      <c r="B39" s="9" t="s">
        <v>28</v>
      </c>
      <c r="C39" s="1" t="s">
        <v>31</v>
      </c>
      <c r="D39" s="27">
        <v>0.05</v>
      </c>
      <c r="F39" s="9" t="s">
        <v>76</v>
      </c>
      <c r="G39" s="50" t="s">
        <v>78</v>
      </c>
      <c r="H39" s="36">
        <v>2000000</v>
      </c>
      <c r="J39" s="9"/>
      <c r="L39" s="60"/>
    </row>
    <row r="40" spans="2:14">
      <c r="B40" s="9"/>
      <c r="D40" s="8"/>
      <c r="F40" s="9" t="s">
        <v>77</v>
      </c>
      <c r="G40" s="1" t="s">
        <v>79</v>
      </c>
      <c r="H40" s="36">
        <v>5</v>
      </c>
      <c r="J40" s="211" t="s">
        <v>128</v>
      </c>
      <c r="K40" s="212"/>
      <c r="L40" s="213"/>
    </row>
    <row r="41" spans="2:14">
      <c r="B41" s="9" t="s">
        <v>29</v>
      </c>
      <c r="C41" s="1" t="s">
        <v>32</v>
      </c>
      <c r="D41" s="13">
        <v>15</v>
      </c>
      <c r="F41" s="9"/>
      <c r="H41" s="35"/>
      <c r="J41" s="11" t="s">
        <v>129</v>
      </c>
      <c r="K41" s="25" t="s">
        <v>1</v>
      </c>
      <c r="L41" s="71">
        <v>8</v>
      </c>
    </row>
    <row r="42" spans="2:14">
      <c r="B42" s="9" t="s">
        <v>30</v>
      </c>
      <c r="C42" s="1" t="s">
        <v>32</v>
      </c>
      <c r="D42" s="13">
        <v>1</v>
      </c>
      <c r="F42" s="220" t="s">
        <v>80</v>
      </c>
      <c r="G42" s="221"/>
      <c r="H42" s="222"/>
    </row>
    <row r="43" spans="2:14">
      <c r="B43" s="9"/>
      <c r="D43" s="8"/>
      <c r="F43" s="9" t="s">
        <v>81</v>
      </c>
      <c r="G43" s="1" t="s">
        <v>83</v>
      </c>
      <c r="H43" s="51">
        <v>0.02</v>
      </c>
      <c r="J43" s="212" t="s">
        <v>130</v>
      </c>
      <c r="K43" s="212"/>
      <c r="L43" s="212"/>
    </row>
    <row r="44" spans="2:14">
      <c r="B44" s="21" t="s">
        <v>33</v>
      </c>
      <c r="C44" s="24" t="s">
        <v>35</v>
      </c>
      <c r="D44" s="15">
        <f>+D20*D38</f>
        <v>4020200000</v>
      </c>
      <c r="F44" s="11" t="s">
        <v>82</v>
      </c>
      <c r="G44" s="26" t="s">
        <v>83</v>
      </c>
      <c r="H44" s="52">
        <v>3.5000000000000003E-2</v>
      </c>
      <c r="J44" s="5" t="s">
        <v>131</v>
      </c>
    </row>
    <row r="45" spans="2:14">
      <c r="B45" s="28" t="s">
        <v>34</v>
      </c>
      <c r="C45" s="29" t="s">
        <v>35</v>
      </c>
      <c r="D45" s="198">
        <f>+PMT(D39,D41-1,-D44)</f>
        <v>406136562.01207763</v>
      </c>
      <c r="J45" t="s">
        <v>132</v>
      </c>
      <c r="L45" s="72">
        <v>0.9</v>
      </c>
    </row>
    <row r="46" spans="2:14">
      <c r="B46" s="9"/>
      <c r="D46" s="8"/>
      <c r="F46" s="214" t="s">
        <v>84</v>
      </c>
      <c r="G46" s="215"/>
      <c r="H46" s="216"/>
      <c r="J46" t="s">
        <v>133</v>
      </c>
    </row>
    <row r="47" spans="2:14">
      <c r="B47" s="211" t="s">
        <v>36</v>
      </c>
      <c r="C47" s="212"/>
      <c r="D47" s="213"/>
      <c r="F47" s="28" t="s">
        <v>85</v>
      </c>
      <c r="G47" s="26"/>
      <c r="H47" s="43"/>
      <c r="N47">
        <v>3240265500</v>
      </c>
    </row>
    <row r="48" spans="2:14">
      <c r="B48" s="28" t="s">
        <v>26</v>
      </c>
      <c r="C48" s="25"/>
      <c r="D48" s="23"/>
      <c r="F48" s="9" t="s">
        <v>86</v>
      </c>
      <c r="G48" s="1" t="s">
        <v>31</v>
      </c>
      <c r="H48" s="53">
        <v>0.25</v>
      </c>
      <c r="J48" t="s">
        <v>134</v>
      </c>
      <c r="K48" t="s">
        <v>35</v>
      </c>
      <c r="N48">
        <v>360029500</v>
      </c>
    </row>
    <row r="49" spans="2:14">
      <c r="B49" s="9" t="s">
        <v>27</v>
      </c>
      <c r="C49" s="1" t="s">
        <v>31</v>
      </c>
      <c r="D49" s="27">
        <v>0.1</v>
      </c>
      <c r="F49" s="9" t="s">
        <v>87</v>
      </c>
      <c r="G49" s="1" t="s">
        <v>31</v>
      </c>
      <c r="H49" s="53">
        <v>0.2</v>
      </c>
      <c r="J49" t="s">
        <v>133</v>
      </c>
      <c r="K49" t="s">
        <v>135</v>
      </c>
      <c r="N49">
        <f>SUM(N47:N48)</f>
        <v>3600295000</v>
      </c>
    </row>
    <row r="50" spans="2:14">
      <c r="B50" s="9" t="s">
        <v>28</v>
      </c>
      <c r="C50" s="1" t="s">
        <v>31</v>
      </c>
      <c r="D50" s="27">
        <v>0.05</v>
      </c>
      <c r="F50" s="9"/>
      <c r="H50" s="35"/>
    </row>
    <row r="51" spans="2:14">
      <c r="B51" s="9"/>
      <c r="D51" s="8"/>
      <c r="F51" s="28" t="s">
        <v>88</v>
      </c>
      <c r="G51" s="26"/>
      <c r="H51" s="43"/>
      <c r="J51" s="212" t="s">
        <v>17</v>
      </c>
      <c r="K51" s="212"/>
      <c r="L51" s="212"/>
    </row>
    <row r="52" spans="2:14">
      <c r="B52" s="9" t="s">
        <v>29</v>
      </c>
      <c r="C52" s="1" t="s">
        <v>32</v>
      </c>
      <c r="D52" s="13">
        <v>8</v>
      </c>
      <c r="F52" s="9" t="s">
        <v>89</v>
      </c>
      <c r="G52" s="1" t="s">
        <v>68</v>
      </c>
      <c r="H52" s="53">
        <v>0.15</v>
      </c>
      <c r="J52" t="s">
        <v>136</v>
      </c>
      <c r="K52" t="s">
        <v>139</v>
      </c>
      <c r="L52" s="31">
        <v>35</v>
      </c>
      <c r="N52">
        <v>10104750000</v>
      </c>
    </row>
    <row r="53" spans="2:14">
      <c r="B53" s="9" t="s">
        <v>30</v>
      </c>
      <c r="C53" s="1" t="s">
        <v>32</v>
      </c>
      <c r="D53" s="13"/>
      <c r="F53" s="9"/>
      <c r="H53" s="54"/>
      <c r="J53" t="s">
        <v>137</v>
      </c>
      <c r="K53" t="s">
        <v>139</v>
      </c>
      <c r="L53" s="31">
        <v>25</v>
      </c>
      <c r="N53">
        <f>+N52*0.4</f>
        <v>4041900000</v>
      </c>
    </row>
    <row r="54" spans="2:14">
      <c r="B54" s="9"/>
      <c r="D54" s="8"/>
      <c r="F54" s="9" t="s">
        <v>90</v>
      </c>
      <c r="G54" s="1" t="s">
        <v>92</v>
      </c>
      <c r="H54" s="53">
        <v>0.4</v>
      </c>
      <c r="J54" t="s">
        <v>138</v>
      </c>
      <c r="K54" t="s">
        <v>139</v>
      </c>
      <c r="L54" s="31">
        <v>50</v>
      </c>
      <c r="N54">
        <f>+N52*0.1</f>
        <v>1010475000</v>
      </c>
    </row>
    <row r="55" spans="2:14">
      <c r="B55" s="21" t="s">
        <v>33</v>
      </c>
      <c r="C55" s="24" t="s">
        <v>35</v>
      </c>
      <c r="D55" s="15">
        <f>+D20*D49</f>
        <v>1005050000</v>
      </c>
      <c r="F55" s="11" t="s">
        <v>91</v>
      </c>
      <c r="G55" s="26" t="s">
        <v>53</v>
      </c>
      <c r="H55" s="55">
        <v>20</v>
      </c>
      <c r="N55">
        <v>5052375000</v>
      </c>
    </row>
    <row r="56" spans="2:14">
      <c r="B56" s="28" t="s">
        <v>34</v>
      </c>
      <c r="C56" s="29" t="s">
        <v>35</v>
      </c>
      <c r="D56" s="198">
        <f>+PMT(D50,D52,-D55)</f>
        <v>155503158.78650093</v>
      </c>
    </row>
    <row r="60" spans="2:14">
      <c r="D60" s="197"/>
    </row>
  </sheetData>
  <mergeCells count="22">
    <mergeCell ref="J51:L51"/>
    <mergeCell ref="J43:L43"/>
    <mergeCell ref="F42:H42"/>
    <mergeCell ref="F38:H38"/>
    <mergeCell ref="F34:H34"/>
    <mergeCell ref="F30:H30"/>
    <mergeCell ref="F46:H46"/>
    <mergeCell ref="J15:L15"/>
    <mergeCell ref="J24:L24"/>
    <mergeCell ref="J40:L40"/>
    <mergeCell ref="F29:H29"/>
    <mergeCell ref="F2:H2"/>
    <mergeCell ref="F4:H4"/>
    <mergeCell ref="F9:H9"/>
    <mergeCell ref="F15:H15"/>
    <mergeCell ref="F22:H22"/>
    <mergeCell ref="B47:D47"/>
    <mergeCell ref="B10:D10"/>
    <mergeCell ref="B2:D2"/>
    <mergeCell ref="B18:D18"/>
    <mergeCell ref="B35:D35"/>
    <mergeCell ref="B36:D36"/>
  </mergeCells>
  <dataValidations disablePrompts="1" count="1">
    <dataValidation type="list" allowBlank="1" showInputMessage="1" showErrorMessage="1" sqref="L4" xr:uid="{D3A8BED2-8ECD-4931-B6AE-E0998AE598C5}">
      <formula1>$M$4:$M$5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32B5-40A0-4BE7-B88B-9F87490D5DDB}">
  <dimension ref="B2:H31"/>
  <sheetViews>
    <sheetView showGridLines="0" workbookViewId="0">
      <selection activeCell="D31" sqref="D31"/>
    </sheetView>
  </sheetViews>
  <sheetFormatPr defaultRowHeight="13.8"/>
  <cols>
    <col min="1" max="1" width="2.09765625" customWidth="1"/>
    <col min="2" max="2" width="43" bestFit="1" customWidth="1"/>
    <col min="3" max="3" width="16.19921875" customWidth="1"/>
    <col min="4" max="4" width="17.796875" bestFit="1" customWidth="1"/>
    <col min="6" max="6" width="30.59765625" bestFit="1" customWidth="1"/>
    <col min="7" max="7" width="15.59765625" bestFit="1" customWidth="1"/>
    <col min="8" max="8" width="14.09765625" customWidth="1"/>
  </cols>
  <sheetData>
    <row r="2" spans="2:8">
      <c r="B2" s="225" t="s">
        <v>140</v>
      </c>
      <c r="C2" s="225"/>
      <c r="D2" s="225"/>
      <c r="E2" s="225"/>
      <c r="F2" s="225"/>
      <c r="G2" s="225"/>
      <c r="H2" s="225"/>
    </row>
    <row r="3" spans="2:8">
      <c r="B3" s="224" t="s">
        <v>141</v>
      </c>
      <c r="C3" s="224"/>
      <c r="D3" s="224"/>
      <c r="F3" s="224" t="s">
        <v>166</v>
      </c>
      <c r="G3" s="224"/>
      <c r="H3" s="224"/>
    </row>
    <row r="4" spans="2:8">
      <c r="B4" s="223" t="s">
        <v>142</v>
      </c>
      <c r="C4" s="223"/>
      <c r="D4" s="223"/>
      <c r="F4" s="94" t="s">
        <v>167</v>
      </c>
      <c r="G4" s="94"/>
      <c r="H4" s="94"/>
    </row>
    <row r="5" spans="2:8">
      <c r="B5" t="s">
        <v>147</v>
      </c>
      <c r="C5" t="s">
        <v>95</v>
      </c>
      <c r="D5" s="4" t="s">
        <v>96</v>
      </c>
      <c r="E5" s="111" t="s">
        <v>97</v>
      </c>
      <c r="F5" s="88" t="s">
        <v>168</v>
      </c>
      <c r="G5" s="3" t="s">
        <v>12</v>
      </c>
      <c r="H5" s="89">
        <v>500000000</v>
      </c>
    </row>
    <row r="6" spans="2:8">
      <c r="B6" t="s">
        <v>143</v>
      </c>
      <c r="E6" s="111" t="s">
        <v>96</v>
      </c>
      <c r="F6" s="88" t="s">
        <v>150</v>
      </c>
      <c r="G6" s="2" t="s">
        <v>151</v>
      </c>
      <c r="H6" s="90">
        <v>0.1</v>
      </c>
    </row>
    <row r="7" spans="2:8">
      <c r="B7" s="73" t="s">
        <v>144</v>
      </c>
      <c r="C7" t="s">
        <v>148</v>
      </c>
      <c r="D7" s="33">
        <v>100</v>
      </c>
      <c r="F7" s="80" t="s">
        <v>169</v>
      </c>
      <c r="G7" s="80"/>
      <c r="H7" s="91">
        <f>+H5*(1+H6)</f>
        <v>550000000</v>
      </c>
    </row>
    <row r="8" spans="2:8">
      <c r="B8" s="73" t="s">
        <v>145</v>
      </c>
      <c r="C8" t="s">
        <v>149</v>
      </c>
      <c r="D8" s="39">
        <v>500000</v>
      </c>
      <c r="F8" s="2"/>
      <c r="G8" s="2"/>
      <c r="H8" s="2"/>
    </row>
    <row r="9" spans="2:8">
      <c r="B9" s="6" t="s">
        <v>146</v>
      </c>
      <c r="C9" s="6"/>
      <c r="D9" s="75">
        <f>+D8*D7</f>
        <v>50000000</v>
      </c>
      <c r="F9" s="80" t="s">
        <v>170</v>
      </c>
      <c r="G9" s="2"/>
      <c r="H9" s="2"/>
    </row>
    <row r="10" spans="2:8">
      <c r="F10" s="80" t="s">
        <v>171</v>
      </c>
      <c r="G10" s="80"/>
      <c r="H10" s="92" t="s">
        <v>172</v>
      </c>
    </row>
    <row r="11" spans="2:8">
      <c r="B11" t="s">
        <v>150</v>
      </c>
      <c r="C11" t="s">
        <v>151</v>
      </c>
      <c r="D11" s="76">
        <v>8.5000000000000006E-2</v>
      </c>
      <c r="F11" s="88" t="s">
        <v>100</v>
      </c>
      <c r="G11" s="3" t="s">
        <v>12</v>
      </c>
      <c r="H11" s="81">
        <v>0</v>
      </c>
    </row>
    <row r="12" spans="2:8">
      <c r="B12" s="45" t="s">
        <v>152</v>
      </c>
      <c r="C12" s="45"/>
      <c r="D12" s="77">
        <f>+D9*(1+D11)</f>
        <v>54250000</v>
      </c>
      <c r="F12" s="88" t="s">
        <v>101</v>
      </c>
      <c r="G12" s="3" t="s">
        <v>12</v>
      </c>
      <c r="H12" s="82">
        <f>+H7</f>
        <v>550000000</v>
      </c>
    </row>
    <row r="13" spans="2:8">
      <c r="F13" s="88" t="s">
        <v>173</v>
      </c>
      <c r="G13" s="3" t="s">
        <v>12</v>
      </c>
      <c r="H13" s="82">
        <v>20000000</v>
      </c>
    </row>
    <row r="14" spans="2:8">
      <c r="B14" s="100" t="s">
        <v>153</v>
      </c>
      <c r="C14" s="101"/>
      <c r="D14" s="102"/>
      <c r="F14" s="88" t="s">
        <v>102</v>
      </c>
      <c r="G14" s="3" t="s">
        <v>12</v>
      </c>
      <c r="H14" s="82">
        <v>700000000</v>
      </c>
    </row>
    <row r="15" spans="2:8">
      <c r="B15" s="103" t="s">
        <v>154</v>
      </c>
      <c r="C15" s="2" t="s">
        <v>160</v>
      </c>
      <c r="D15" s="104">
        <v>350000</v>
      </c>
      <c r="F15" s="88" t="s">
        <v>103</v>
      </c>
      <c r="G15" s="3" t="s">
        <v>12</v>
      </c>
      <c r="H15" s="82">
        <v>400000000</v>
      </c>
    </row>
    <row r="16" spans="2:8">
      <c r="B16" s="103"/>
      <c r="C16" s="2"/>
      <c r="D16" s="105"/>
      <c r="F16" s="88" t="s">
        <v>163</v>
      </c>
      <c r="G16" s="3" t="s">
        <v>12</v>
      </c>
      <c r="H16" s="82">
        <v>300000</v>
      </c>
    </row>
    <row r="17" spans="2:8">
      <c r="B17" s="103"/>
      <c r="C17" s="2"/>
      <c r="D17" s="105"/>
      <c r="F17" s="88" t="s">
        <v>105</v>
      </c>
      <c r="G17" s="3" t="s">
        <v>12</v>
      </c>
      <c r="H17" s="82">
        <v>10000000</v>
      </c>
    </row>
    <row r="18" spans="2:8">
      <c r="B18" s="106" t="s">
        <v>155</v>
      </c>
      <c r="C18" s="2"/>
      <c r="D18" s="105"/>
      <c r="F18" s="83" t="s">
        <v>165</v>
      </c>
      <c r="G18" s="93" t="s">
        <v>12</v>
      </c>
      <c r="H18" s="84">
        <f>SUM(H11:H17)</f>
        <v>1680300000</v>
      </c>
    </row>
    <row r="19" spans="2:8">
      <c r="B19" s="107" t="s">
        <v>156</v>
      </c>
      <c r="C19" s="2" t="s">
        <v>159</v>
      </c>
      <c r="D19" s="108">
        <v>0.08</v>
      </c>
    </row>
    <row r="20" spans="2:8">
      <c r="B20" s="107" t="s">
        <v>157</v>
      </c>
      <c r="C20" s="2" t="s">
        <v>159</v>
      </c>
      <c r="D20" s="108">
        <v>0.04</v>
      </c>
    </row>
    <row r="21" spans="2:8">
      <c r="B21" s="109" t="s">
        <v>158</v>
      </c>
      <c r="C21" s="83" t="s">
        <v>160</v>
      </c>
      <c r="D21" s="110">
        <f>+(D15*D19)+(D15*D20)</f>
        <v>42000</v>
      </c>
    </row>
    <row r="23" spans="2:8">
      <c r="B23" s="223" t="s">
        <v>161</v>
      </c>
      <c r="C23" s="223"/>
      <c r="D23" s="223"/>
    </row>
    <row r="24" spans="2:8">
      <c r="B24" s="97" t="s">
        <v>162</v>
      </c>
      <c r="C24" s="96"/>
      <c r="D24" s="96" t="s">
        <v>172</v>
      </c>
    </row>
    <row r="25" spans="2:8">
      <c r="B25" s="98" t="s">
        <v>100</v>
      </c>
      <c r="C25" t="s">
        <v>12</v>
      </c>
      <c r="D25" s="85">
        <f>+D12</f>
        <v>54250000</v>
      </c>
    </row>
    <row r="26" spans="2:8">
      <c r="B26" s="98" t="s">
        <v>101</v>
      </c>
      <c r="C26" t="s">
        <v>12</v>
      </c>
      <c r="D26" s="78">
        <v>3000000000</v>
      </c>
    </row>
    <row r="27" spans="2:8">
      <c r="B27" s="98" t="s">
        <v>102</v>
      </c>
      <c r="C27" t="s">
        <v>12</v>
      </c>
      <c r="D27" s="78">
        <v>5000000000</v>
      </c>
    </row>
    <row r="28" spans="2:8">
      <c r="B28" s="98" t="s">
        <v>103</v>
      </c>
      <c r="C28" t="s">
        <v>12</v>
      </c>
      <c r="D28" s="78">
        <v>2000000000</v>
      </c>
    </row>
    <row r="29" spans="2:8">
      <c r="B29" s="98" t="s">
        <v>163</v>
      </c>
      <c r="C29" t="s">
        <v>12</v>
      </c>
      <c r="D29" s="78">
        <v>500000</v>
      </c>
    </row>
    <row r="30" spans="2:8">
      <c r="B30" s="98" t="s">
        <v>164</v>
      </c>
      <c r="C30" t="s">
        <v>12</v>
      </c>
      <c r="D30" s="78">
        <v>50000000</v>
      </c>
    </row>
    <row r="31" spans="2:8">
      <c r="B31" s="99" t="s">
        <v>165</v>
      </c>
      <c r="C31" s="45" t="s">
        <v>12</v>
      </c>
      <c r="D31" s="77">
        <f>SUM(D25:D30)</f>
        <v>10104750000</v>
      </c>
    </row>
  </sheetData>
  <mergeCells count="5">
    <mergeCell ref="B23:D23"/>
    <mergeCell ref="F3:H3"/>
    <mergeCell ref="B2:H2"/>
    <mergeCell ref="B3:D3"/>
    <mergeCell ref="B4:D4"/>
  </mergeCells>
  <dataValidations count="1">
    <dataValidation type="list" allowBlank="1" showInputMessage="1" showErrorMessage="1" sqref="D5" xr:uid="{6F4F39F3-C0F9-44DA-BCDA-3551DB51F5E4}">
      <formula1>$E$5:$E$6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FCE1-D5A5-49FE-8AB4-CF93C5CD38D6}">
  <dimension ref="A2:R53"/>
  <sheetViews>
    <sheetView showGridLines="0" topLeftCell="A7" zoomScale="93" workbookViewId="0">
      <selection activeCell="B30" sqref="B30"/>
    </sheetView>
  </sheetViews>
  <sheetFormatPr defaultRowHeight="13.8"/>
  <cols>
    <col min="2" max="2" width="22.296875" customWidth="1"/>
    <col min="3" max="3" width="13.796875" customWidth="1"/>
    <col min="4" max="4" width="4.8984375" customWidth="1"/>
    <col min="15" max="15" width="4.09765625" customWidth="1"/>
    <col min="16" max="16" width="20.19921875" bestFit="1" customWidth="1"/>
    <col min="18" max="18" width="12.8984375" bestFit="1" customWidth="1"/>
  </cols>
  <sheetData>
    <row r="2" spans="1:18">
      <c r="A2" s="96"/>
      <c r="B2" s="96" t="s">
        <v>206</v>
      </c>
      <c r="C2" s="96"/>
      <c r="D2" s="96"/>
      <c r="E2" s="117">
        <v>2025</v>
      </c>
      <c r="F2" s="117">
        <v>2026</v>
      </c>
      <c r="G2" s="117">
        <v>2027</v>
      </c>
      <c r="H2" s="117">
        <v>2028</v>
      </c>
      <c r="I2" s="117">
        <v>2029</v>
      </c>
      <c r="J2" s="117">
        <v>2030</v>
      </c>
      <c r="K2" s="117">
        <v>2031</v>
      </c>
      <c r="L2" s="117">
        <v>2032</v>
      </c>
      <c r="M2" s="117">
        <v>2033</v>
      </c>
      <c r="N2" s="117">
        <v>2034</v>
      </c>
      <c r="O2" s="96"/>
      <c r="P2" s="227">
        <v>2025</v>
      </c>
      <c r="Q2" s="227"/>
      <c r="R2" s="227"/>
    </row>
    <row r="3" spans="1:18">
      <c r="E3" s="1" t="s">
        <v>174</v>
      </c>
      <c r="F3" s="1" t="s">
        <v>175</v>
      </c>
      <c r="G3" s="1" t="s">
        <v>176</v>
      </c>
      <c r="H3" s="1" t="s">
        <v>177</v>
      </c>
      <c r="I3" s="1" t="s">
        <v>178</v>
      </c>
      <c r="J3" s="1" t="s">
        <v>179</v>
      </c>
      <c r="K3" s="1" t="s">
        <v>180</v>
      </c>
      <c r="L3" s="1" t="s">
        <v>181</v>
      </c>
      <c r="M3" s="1" t="s">
        <v>182</v>
      </c>
      <c r="N3" s="1" t="s">
        <v>183</v>
      </c>
      <c r="R3" s="32" t="s">
        <v>174</v>
      </c>
    </row>
    <row r="4" spans="1:18">
      <c r="C4" s="224" t="s">
        <v>26</v>
      </c>
      <c r="D4" s="224"/>
      <c r="E4" s="224"/>
      <c r="F4" s="224"/>
      <c r="G4" s="224"/>
      <c r="H4" s="224"/>
      <c r="I4" s="224"/>
      <c r="J4" s="224"/>
      <c r="K4" s="224"/>
      <c r="L4" s="224"/>
      <c r="M4" s="224"/>
      <c r="N4" s="224"/>
      <c r="P4" s="224" t="s">
        <v>199</v>
      </c>
      <c r="Q4" s="224"/>
      <c r="R4" s="224"/>
    </row>
    <row r="5" spans="1:18">
      <c r="A5" s="118"/>
      <c r="B5" s="119" t="s">
        <v>206</v>
      </c>
      <c r="C5" s="118"/>
      <c r="D5" s="118"/>
      <c r="E5" s="118"/>
      <c r="F5" s="118"/>
      <c r="G5" s="118"/>
      <c r="H5" s="118"/>
      <c r="I5" s="118"/>
      <c r="J5" s="118"/>
      <c r="K5" s="118"/>
      <c r="L5" s="118"/>
      <c r="M5" s="118"/>
      <c r="N5" s="118"/>
      <c r="P5" s="118"/>
      <c r="Q5" s="118"/>
      <c r="R5" s="118"/>
    </row>
    <row r="6" spans="1:18">
      <c r="A6" s="95"/>
      <c r="B6" s="97" t="s">
        <v>184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P6" s="95"/>
      <c r="Q6" s="95"/>
      <c r="R6" s="95"/>
    </row>
    <row r="7" spans="1:18">
      <c r="B7" s="114" t="s">
        <v>185</v>
      </c>
      <c r="C7" s="116" t="s">
        <v>186</v>
      </c>
      <c r="D7" s="116"/>
      <c r="E7" s="226" t="s">
        <v>198</v>
      </c>
      <c r="F7" s="226"/>
      <c r="G7" s="226"/>
      <c r="H7" s="226"/>
      <c r="I7" s="226"/>
      <c r="J7" s="226"/>
      <c r="K7" s="226"/>
      <c r="L7" s="226"/>
      <c r="M7" s="226"/>
      <c r="N7" s="226"/>
      <c r="P7" s="5" t="s">
        <v>200</v>
      </c>
    </row>
    <row r="8" spans="1:18">
      <c r="C8" s="24" t="s">
        <v>187</v>
      </c>
      <c r="D8" s="1"/>
    </row>
    <row r="9" spans="1:18">
      <c r="B9" s="56" t="s">
        <v>188</v>
      </c>
      <c r="C9" s="78">
        <v>150000</v>
      </c>
      <c r="D9" s="115"/>
      <c r="E9" s="79">
        <v>4</v>
      </c>
      <c r="F9" s="79">
        <v>0</v>
      </c>
      <c r="G9" s="79">
        <v>0</v>
      </c>
      <c r="H9" s="79">
        <v>0</v>
      </c>
      <c r="I9" s="79">
        <v>0</v>
      </c>
      <c r="J9" s="79">
        <v>0</v>
      </c>
      <c r="K9" s="79">
        <v>0</v>
      </c>
      <c r="L9" s="79">
        <v>0</v>
      </c>
      <c r="M9" s="79">
        <v>0</v>
      </c>
      <c r="N9" s="79">
        <v>0</v>
      </c>
      <c r="P9" t="str">
        <f>+B9</f>
        <v>Production Manager</v>
      </c>
      <c r="R9" s="49">
        <f>+C9*E9</f>
        <v>600000</v>
      </c>
    </row>
    <row r="10" spans="1:18">
      <c r="B10" s="56" t="s">
        <v>189</v>
      </c>
      <c r="C10" s="78">
        <v>90000</v>
      </c>
      <c r="D10" s="115"/>
      <c r="E10" s="79">
        <v>6</v>
      </c>
      <c r="F10" s="79">
        <v>0</v>
      </c>
      <c r="G10" s="79">
        <v>1</v>
      </c>
      <c r="H10" s="79">
        <v>0</v>
      </c>
      <c r="I10" s="79">
        <v>1</v>
      </c>
      <c r="J10" s="79">
        <v>0</v>
      </c>
      <c r="K10" s="79">
        <v>0</v>
      </c>
      <c r="L10" s="79">
        <v>0</v>
      </c>
      <c r="M10" s="79">
        <v>0</v>
      </c>
      <c r="N10" s="79">
        <v>0</v>
      </c>
      <c r="P10" t="str">
        <f t="shared" ref="P10:P19" si="0">+B10</f>
        <v>Production Supervisor</v>
      </c>
      <c r="R10" s="49">
        <f t="shared" ref="R10:R19" si="1">+C10*E10</f>
        <v>540000</v>
      </c>
    </row>
    <row r="11" spans="1:18">
      <c r="B11" s="56" t="s">
        <v>190</v>
      </c>
      <c r="C11" s="78">
        <v>60000</v>
      </c>
      <c r="D11" s="115"/>
      <c r="E11" s="79">
        <v>15</v>
      </c>
      <c r="F11" s="79">
        <v>0</v>
      </c>
      <c r="G11" s="79">
        <v>0</v>
      </c>
      <c r="H11" s="79">
        <v>1</v>
      </c>
      <c r="I11" s="79">
        <v>0</v>
      </c>
      <c r="J11" s="79">
        <v>0</v>
      </c>
      <c r="K11" s="79">
        <v>1</v>
      </c>
      <c r="L11" s="79">
        <v>0</v>
      </c>
      <c r="M11" s="79">
        <v>0</v>
      </c>
      <c r="N11" s="79">
        <v>0</v>
      </c>
      <c r="P11" t="str">
        <f t="shared" si="0"/>
        <v>Testing Engineers</v>
      </c>
      <c r="R11" s="49">
        <f t="shared" si="1"/>
        <v>900000</v>
      </c>
    </row>
    <row r="12" spans="1:18">
      <c r="B12" s="56" t="s">
        <v>191</v>
      </c>
      <c r="C12" s="78">
        <v>70000</v>
      </c>
      <c r="D12" s="115"/>
      <c r="E12" s="79">
        <v>5</v>
      </c>
      <c r="F12" s="79">
        <v>0</v>
      </c>
      <c r="G12" s="79">
        <v>2</v>
      </c>
      <c r="H12" s="79">
        <v>0</v>
      </c>
      <c r="I12" s="79">
        <v>2</v>
      </c>
      <c r="J12" s="79">
        <v>0</v>
      </c>
      <c r="K12" s="79">
        <v>0</v>
      </c>
      <c r="L12" s="79">
        <v>1</v>
      </c>
      <c r="M12" s="79">
        <v>0</v>
      </c>
      <c r="N12" s="79">
        <v>0</v>
      </c>
      <c r="P12" t="str">
        <f t="shared" si="0"/>
        <v>Electronics Engineer</v>
      </c>
      <c r="R12" s="49">
        <f t="shared" si="1"/>
        <v>350000</v>
      </c>
    </row>
    <row r="13" spans="1:18">
      <c r="B13" s="56" t="s">
        <v>192</v>
      </c>
      <c r="C13" s="78">
        <v>50000</v>
      </c>
      <c r="D13" s="115"/>
      <c r="E13" s="79">
        <v>20</v>
      </c>
      <c r="F13" s="79">
        <v>0</v>
      </c>
      <c r="G13" s="79">
        <v>0</v>
      </c>
      <c r="H13" s="79">
        <v>3</v>
      </c>
      <c r="I13" s="79">
        <v>0</v>
      </c>
      <c r="J13" s="79">
        <v>0</v>
      </c>
      <c r="K13" s="79">
        <v>2</v>
      </c>
      <c r="L13" s="79">
        <v>0</v>
      </c>
      <c r="M13" s="79">
        <v>0</v>
      </c>
      <c r="N13" s="79">
        <v>0</v>
      </c>
      <c r="P13" t="str">
        <f t="shared" si="0"/>
        <v>Safety Staff</v>
      </c>
      <c r="R13" s="49">
        <f t="shared" si="1"/>
        <v>1000000</v>
      </c>
    </row>
    <row r="14" spans="1:18">
      <c r="B14" s="56" t="s">
        <v>193</v>
      </c>
      <c r="C14" s="78">
        <v>35000</v>
      </c>
      <c r="D14" s="115"/>
      <c r="E14" s="79">
        <v>50</v>
      </c>
      <c r="F14" s="79">
        <v>0</v>
      </c>
      <c r="G14" s="79">
        <v>5</v>
      </c>
      <c r="H14" s="79">
        <v>0</v>
      </c>
      <c r="I14" s="79">
        <v>5</v>
      </c>
      <c r="J14" s="79">
        <v>0</v>
      </c>
      <c r="K14" s="79">
        <v>5</v>
      </c>
      <c r="L14" s="79">
        <v>0</v>
      </c>
      <c r="M14" s="79">
        <v>5</v>
      </c>
      <c r="N14" s="79">
        <v>0</v>
      </c>
      <c r="P14" t="str">
        <f t="shared" si="0"/>
        <v>Sorting and Packaging</v>
      </c>
      <c r="R14" s="49">
        <f t="shared" si="1"/>
        <v>1750000</v>
      </c>
    </row>
    <row r="15" spans="1:18">
      <c r="B15" s="56" t="s">
        <v>194</v>
      </c>
      <c r="C15" s="78">
        <v>120000</v>
      </c>
      <c r="D15" s="115"/>
      <c r="E15" s="79">
        <v>1</v>
      </c>
      <c r="F15" s="79">
        <v>0</v>
      </c>
      <c r="G15" s="79">
        <v>0</v>
      </c>
      <c r="H15" s="79">
        <v>0</v>
      </c>
      <c r="I15" s="79">
        <v>0</v>
      </c>
      <c r="J15" s="79">
        <v>0</v>
      </c>
      <c r="K15" s="79">
        <v>0</v>
      </c>
      <c r="L15" s="79">
        <v>0</v>
      </c>
      <c r="M15" s="79">
        <v>0</v>
      </c>
      <c r="N15" s="79">
        <v>0</v>
      </c>
      <c r="P15" t="str">
        <f t="shared" si="0"/>
        <v>R&amp;D head</v>
      </c>
      <c r="R15" s="49">
        <f t="shared" si="1"/>
        <v>120000</v>
      </c>
    </row>
    <row r="16" spans="1:18">
      <c r="B16" s="56" t="s">
        <v>195</v>
      </c>
      <c r="C16" s="78">
        <v>80000</v>
      </c>
      <c r="D16" s="115"/>
      <c r="E16" s="79">
        <v>10</v>
      </c>
      <c r="F16" s="79">
        <v>0</v>
      </c>
      <c r="G16" s="79">
        <v>0</v>
      </c>
      <c r="H16" s="79">
        <v>1</v>
      </c>
      <c r="I16" s="79">
        <v>0</v>
      </c>
      <c r="J16" s="79">
        <v>0</v>
      </c>
      <c r="K16" s="79">
        <v>1</v>
      </c>
      <c r="L16" s="79">
        <v>0</v>
      </c>
      <c r="M16" s="79">
        <v>1</v>
      </c>
      <c r="N16" s="79">
        <v>0</v>
      </c>
      <c r="P16" t="str">
        <f t="shared" si="0"/>
        <v>R&amp;D Scientist</v>
      </c>
      <c r="R16" s="49">
        <f t="shared" si="1"/>
        <v>800000</v>
      </c>
    </row>
    <row r="17" spans="1:18">
      <c r="B17" s="56" t="s">
        <v>196</v>
      </c>
      <c r="C17" s="78">
        <v>60000</v>
      </c>
      <c r="D17" s="115"/>
      <c r="E17" s="79">
        <v>15</v>
      </c>
      <c r="F17" s="79">
        <v>0</v>
      </c>
      <c r="G17" s="79">
        <v>0</v>
      </c>
      <c r="H17" s="79">
        <v>0</v>
      </c>
      <c r="I17" s="79">
        <v>1</v>
      </c>
      <c r="J17" s="79">
        <v>0</v>
      </c>
      <c r="K17" s="79">
        <v>0</v>
      </c>
      <c r="L17" s="79">
        <v>0</v>
      </c>
      <c r="M17" s="79">
        <v>0</v>
      </c>
      <c r="N17" s="79">
        <v>0</v>
      </c>
      <c r="P17" t="str">
        <f t="shared" si="0"/>
        <v>Quality Control</v>
      </c>
      <c r="R17" s="49">
        <f t="shared" si="1"/>
        <v>900000</v>
      </c>
    </row>
    <row r="18" spans="1:18">
      <c r="B18" s="56" t="s">
        <v>197</v>
      </c>
      <c r="C18" s="78"/>
      <c r="D18" s="115"/>
      <c r="E18" s="31"/>
      <c r="F18" s="31"/>
      <c r="G18" s="31"/>
      <c r="H18" s="31"/>
      <c r="I18" s="31"/>
      <c r="J18" s="31"/>
      <c r="K18" s="31"/>
      <c r="L18" s="31"/>
      <c r="M18" s="31"/>
      <c r="N18" s="31"/>
      <c r="P18" t="str">
        <f t="shared" si="0"/>
        <v>(Add Position)</v>
      </c>
      <c r="R18" s="49">
        <f t="shared" si="1"/>
        <v>0</v>
      </c>
    </row>
    <row r="19" spans="1:18">
      <c r="B19" s="56" t="s">
        <v>197</v>
      </c>
      <c r="C19" s="78"/>
      <c r="D19" s="115"/>
      <c r="E19" s="31"/>
      <c r="F19" s="31"/>
      <c r="G19" s="31"/>
      <c r="H19" s="31"/>
      <c r="I19" s="31"/>
      <c r="J19" s="31"/>
      <c r="K19" s="31"/>
      <c r="L19" s="31"/>
      <c r="M19" s="31"/>
      <c r="N19" s="31"/>
      <c r="P19" t="str">
        <f t="shared" si="0"/>
        <v>(Add Position)</v>
      </c>
      <c r="R19" s="49">
        <f t="shared" si="1"/>
        <v>0</v>
      </c>
    </row>
    <row r="21" spans="1:18" ht="14.4" thickBot="1">
      <c r="P21" s="120" t="s">
        <v>201</v>
      </c>
      <c r="Q21" s="120"/>
      <c r="R21" s="121">
        <f>SUM(R9:R20)</f>
        <v>6960000</v>
      </c>
    </row>
    <row r="22" spans="1:18" ht="14.4" thickTop="1"/>
    <row r="23" spans="1:18">
      <c r="P23" s="5" t="s">
        <v>202</v>
      </c>
      <c r="Q23" s="5"/>
      <c r="R23" s="86">
        <f>+SUM(E9:E19)</f>
        <v>126</v>
      </c>
    </row>
    <row r="25" spans="1:18">
      <c r="P25" s="5" t="s">
        <v>203</v>
      </c>
    </row>
    <row r="26" spans="1:18">
      <c r="P26" s="73" t="s">
        <v>200</v>
      </c>
      <c r="R26" s="85">
        <f>+R21</f>
        <v>6960000</v>
      </c>
    </row>
    <row r="27" spans="1:18">
      <c r="P27" s="73" t="s">
        <v>204</v>
      </c>
      <c r="R27" s="49">
        <f>+R26*'Set Up Assumptions'!H49</f>
        <v>1392000</v>
      </c>
    </row>
    <row r="28" spans="1:18" ht="14.4" thickBot="1">
      <c r="P28" s="120" t="s">
        <v>205</v>
      </c>
      <c r="Q28" s="120"/>
      <c r="R28" s="121">
        <f>SUM(R26:R27)</f>
        <v>8352000</v>
      </c>
    </row>
    <row r="29" spans="1:18" ht="14.4" thickTop="1"/>
    <row r="30" spans="1:18">
      <c r="A30" s="95"/>
      <c r="B30" s="97" t="s">
        <v>207</v>
      </c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P30" s="95"/>
      <c r="Q30" s="95"/>
      <c r="R30" s="95"/>
    </row>
    <row r="31" spans="1:18">
      <c r="B31" s="114" t="s">
        <v>185</v>
      </c>
      <c r="C31" s="116" t="s">
        <v>186</v>
      </c>
      <c r="D31" s="116"/>
      <c r="E31" s="226" t="s">
        <v>198</v>
      </c>
      <c r="F31" s="226"/>
      <c r="G31" s="226"/>
      <c r="H31" s="226"/>
      <c r="I31" s="226"/>
      <c r="J31" s="226"/>
      <c r="K31" s="226"/>
      <c r="L31" s="226"/>
      <c r="M31" s="226"/>
      <c r="N31" s="226"/>
      <c r="P31" s="5" t="s">
        <v>200</v>
      </c>
    </row>
    <row r="33" spans="2:18">
      <c r="B33" s="56" t="s">
        <v>208</v>
      </c>
      <c r="C33" s="78">
        <v>400000</v>
      </c>
      <c r="E33" s="79">
        <v>1</v>
      </c>
      <c r="F33" s="79">
        <v>0</v>
      </c>
      <c r="G33" s="79">
        <v>0</v>
      </c>
      <c r="H33" s="79">
        <v>0</v>
      </c>
      <c r="I33" s="79">
        <v>0</v>
      </c>
      <c r="J33" s="79">
        <v>0</v>
      </c>
      <c r="K33" s="79">
        <v>0</v>
      </c>
      <c r="L33" s="79">
        <v>0</v>
      </c>
      <c r="M33" s="79">
        <v>0</v>
      </c>
      <c r="N33" s="79">
        <v>0</v>
      </c>
      <c r="P33" t="str">
        <f>+B33</f>
        <v>General manager</v>
      </c>
      <c r="R33" s="85">
        <f>+C33*E33</f>
        <v>400000</v>
      </c>
    </row>
    <row r="34" spans="2:18">
      <c r="B34" s="56" t="s">
        <v>209</v>
      </c>
      <c r="C34" s="78">
        <v>200000</v>
      </c>
      <c r="E34" s="79">
        <v>1</v>
      </c>
      <c r="F34" s="79">
        <v>0</v>
      </c>
      <c r="G34" s="79">
        <v>0</v>
      </c>
      <c r="H34" s="79">
        <v>0</v>
      </c>
      <c r="I34" s="79">
        <v>0</v>
      </c>
      <c r="J34" s="79">
        <v>0</v>
      </c>
      <c r="K34" s="79">
        <v>0</v>
      </c>
      <c r="L34" s="79">
        <v>0</v>
      </c>
      <c r="M34" s="79">
        <v>0</v>
      </c>
      <c r="N34" s="79">
        <v>0</v>
      </c>
      <c r="P34" t="str">
        <f t="shared" ref="P34:P44" si="2">+B34</f>
        <v>CFO</v>
      </c>
      <c r="R34" s="85">
        <f t="shared" ref="R34:R44" si="3">+C34*E34</f>
        <v>200000</v>
      </c>
    </row>
    <row r="35" spans="2:18">
      <c r="B35" s="56" t="s">
        <v>210</v>
      </c>
      <c r="C35" s="78">
        <v>60000</v>
      </c>
      <c r="E35" s="79">
        <v>2</v>
      </c>
      <c r="F35" s="79">
        <v>0</v>
      </c>
      <c r="G35" s="79">
        <v>0</v>
      </c>
      <c r="H35" s="79">
        <v>1</v>
      </c>
      <c r="I35" s="79">
        <v>0</v>
      </c>
      <c r="J35" s="79">
        <v>0</v>
      </c>
      <c r="K35" s="79">
        <v>0</v>
      </c>
      <c r="L35" s="79">
        <v>1</v>
      </c>
      <c r="M35" s="79">
        <v>0</v>
      </c>
      <c r="N35" s="79">
        <v>0</v>
      </c>
      <c r="P35" t="str">
        <f t="shared" si="2"/>
        <v>Accounting Assistants</v>
      </c>
      <c r="R35" s="85">
        <f t="shared" si="3"/>
        <v>120000</v>
      </c>
    </row>
    <row r="36" spans="2:18">
      <c r="B36" s="56" t="s">
        <v>211</v>
      </c>
      <c r="C36" s="78">
        <v>200000</v>
      </c>
      <c r="E36" s="79">
        <v>1</v>
      </c>
      <c r="F36" s="79">
        <v>0</v>
      </c>
      <c r="G36" s="79">
        <v>0</v>
      </c>
      <c r="H36" s="79">
        <v>0</v>
      </c>
      <c r="I36" s="79">
        <v>0</v>
      </c>
      <c r="J36" s="79">
        <v>0</v>
      </c>
      <c r="K36" s="79">
        <v>0</v>
      </c>
      <c r="L36" s="79">
        <v>0</v>
      </c>
      <c r="M36" s="79">
        <v>0</v>
      </c>
      <c r="N36" s="79">
        <v>0</v>
      </c>
      <c r="P36" t="str">
        <f t="shared" si="2"/>
        <v>Sales Director</v>
      </c>
      <c r="R36" s="85">
        <f t="shared" si="3"/>
        <v>200000</v>
      </c>
    </row>
    <row r="37" spans="2:18">
      <c r="B37" s="56" t="s">
        <v>216</v>
      </c>
      <c r="C37" s="78">
        <v>90000</v>
      </c>
      <c r="E37" s="79">
        <v>2</v>
      </c>
      <c r="F37" s="79">
        <v>0</v>
      </c>
      <c r="G37" s="79">
        <v>2</v>
      </c>
      <c r="H37" s="79">
        <v>0</v>
      </c>
      <c r="I37" s="79">
        <v>0</v>
      </c>
      <c r="J37" s="79">
        <v>0</v>
      </c>
      <c r="K37" s="79">
        <v>2</v>
      </c>
      <c r="L37" s="79">
        <v>0</v>
      </c>
      <c r="M37" s="79">
        <v>0</v>
      </c>
      <c r="N37" s="79">
        <v>0</v>
      </c>
      <c r="P37" t="str">
        <f t="shared" si="2"/>
        <v>Sales Supervisor</v>
      </c>
      <c r="R37" s="85">
        <f t="shared" si="3"/>
        <v>180000</v>
      </c>
    </row>
    <row r="38" spans="2:18">
      <c r="B38" s="56" t="s">
        <v>212</v>
      </c>
      <c r="C38" s="78">
        <v>60000</v>
      </c>
      <c r="E38" s="79">
        <v>5</v>
      </c>
      <c r="F38" s="79">
        <v>0</v>
      </c>
      <c r="G38" s="79">
        <v>0</v>
      </c>
      <c r="H38" s="79">
        <v>3</v>
      </c>
      <c r="I38" s="79">
        <v>0</v>
      </c>
      <c r="J38" s="79">
        <v>1</v>
      </c>
      <c r="K38" s="79">
        <v>0</v>
      </c>
      <c r="L38" s="79">
        <v>1</v>
      </c>
      <c r="M38" s="79">
        <v>5</v>
      </c>
      <c r="N38" s="79">
        <v>0</v>
      </c>
      <c r="P38" t="str">
        <f t="shared" si="2"/>
        <v>Sales Assistants</v>
      </c>
      <c r="R38" s="85">
        <f t="shared" si="3"/>
        <v>300000</v>
      </c>
    </row>
    <row r="39" spans="2:18">
      <c r="B39" s="56" t="s">
        <v>213</v>
      </c>
      <c r="C39" s="78">
        <v>50000</v>
      </c>
      <c r="E39" s="79">
        <v>3</v>
      </c>
      <c r="F39" s="79">
        <v>0</v>
      </c>
      <c r="G39" s="79">
        <v>0</v>
      </c>
      <c r="H39" s="79">
        <v>0</v>
      </c>
      <c r="I39" s="79">
        <v>1</v>
      </c>
      <c r="J39" s="79">
        <v>0</v>
      </c>
      <c r="K39" s="79">
        <v>0</v>
      </c>
      <c r="L39" s="79">
        <v>0</v>
      </c>
      <c r="M39" s="79">
        <v>0</v>
      </c>
      <c r="N39" s="79">
        <v>0</v>
      </c>
      <c r="P39" t="str">
        <f t="shared" si="2"/>
        <v>Marketing Specialist</v>
      </c>
      <c r="R39" s="85">
        <f t="shared" si="3"/>
        <v>150000</v>
      </c>
    </row>
    <row r="40" spans="2:18">
      <c r="B40" s="56" t="s">
        <v>214</v>
      </c>
      <c r="C40" s="78">
        <v>140000</v>
      </c>
      <c r="E40" s="79">
        <v>1</v>
      </c>
      <c r="F40" s="79">
        <v>0</v>
      </c>
      <c r="G40" s="79">
        <v>0</v>
      </c>
      <c r="H40" s="79">
        <v>0</v>
      </c>
      <c r="I40" s="79">
        <v>0</v>
      </c>
      <c r="J40" s="79">
        <v>0</v>
      </c>
      <c r="K40" s="79">
        <v>0</v>
      </c>
      <c r="L40" s="79">
        <v>0</v>
      </c>
      <c r="M40" s="79">
        <v>0</v>
      </c>
      <c r="N40" s="79">
        <v>0</v>
      </c>
      <c r="P40" t="str">
        <f t="shared" si="2"/>
        <v>HR Director</v>
      </c>
      <c r="R40" s="85">
        <f t="shared" si="3"/>
        <v>140000</v>
      </c>
    </row>
    <row r="41" spans="2:18">
      <c r="B41" s="56" t="s">
        <v>215</v>
      </c>
      <c r="C41" s="78">
        <v>50000</v>
      </c>
      <c r="E41" s="79">
        <v>2</v>
      </c>
      <c r="F41" s="79">
        <v>0</v>
      </c>
      <c r="G41" s="79">
        <v>1</v>
      </c>
      <c r="H41" s="79">
        <v>0</v>
      </c>
      <c r="I41" s="79">
        <v>0</v>
      </c>
      <c r="J41" s="79">
        <v>0</v>
      </c>
      <c r="K41" s="79">
        <v>1</v>
      </c>
      <c r="L41" s="79">
        <v>0</v>
      </c>
      <c r="M41" s="79">
        <v>0</v>
      </c>
      <c r="N41" s="79">
        <v>0</v>
      </c>
      <c r="P41" t="str">
        <f t="shared" si="2"/>
        <v>HR Assistants</v>
      </c>
      <c r="R41" s="85">
        <f t="shared" si="3"/>
        <v>100000</v>
      </c>
    </row>
    <row r="42" spans="2:18">
      <c r="B42" s="56" t="s">
        <v>217</v>
      </c>
      <c r="C42" s="78">
        <v>40000</v>
      </c>
      <c r="E42" s="79">
        <v>2</v>
      </c>
      <c r="F42" s="78">
        <v>0</v>
      </c>
      <c r="G42" s="78">
        <v>0</v>
      </c>
      <c r="H42" s="78">
        <v>0</v>
      </c>
      <c r="I42" s="78">
        <v>0</v>
      </c>
      <c r="J42" s="78">
        <v>1</v>
      </c>
      <c r="K42" s="78">
        <v>0</v>
      </c>
      <c r="L42" s="78">
        <v>0</v>
      </c>
      <c r="M42" s="78">
        <v>0</v>
      </c>
      <c r="N42" s="78">
        <v>0</v>
      </c>
      <c r="P42" t="str">
        <f t="shared" si="2"/>
        <v>Admin Assistants</v>
      </c>
      <c r="R42" s="85">
        <f t="shared" si="3"/>
        <v>80000</v>
      </c>
    </row>
    <row r="43" spans="2:18">
      <c r="B43" s="56" t="s">
        <v>197</v>
      </c>
      <c r="C43" s="78"/>
      <c r="E43" s="31"/>
      <c r="F43" s="31"/>
      <c r="G43" s="31"/>
      <c r="H43" s="31"/>
      <c r="I43" s="31"/>
      <c r="J43" s="31"/>
      <c r="K43" s="31"/>
      <c r="L43" s="31"/>
      <c r="M43" s="31"/>
      <c r="N43" s="31"/>
      <c r="P43" t="str">
        <f t="shared" si="2"/>
        <v>(Add Position)</v>
      </c>
      <c r="R43" s="85">
        <f t="shared" si="3"/>
        <v>0</v>
      </c>
    </row>
    <row r="44" spans="2:18">
      <c r="B44" s="56" t="s">
        <v>197</v>
      </c>
      <c r="C44" s="78"/>
      <c r="E44" s="31"/>
      <c r="F44" s="31"/>
      <c r="G44" s="31"/>
      <c r="H44" s="31"/>
      <c r="I44" s="31"/>
      <c r="J44" s="31"/>
      <c r="K44" s="31"/>
      <c r="L44" s="31"/>
      <c r="M44" s="31"/>
      <c r="N44" s="31"/>
      <c r="P44" t="str">
        <f t="shared" si="2"/>
        <v>(Add Position)</v>
      </c>
      <c r="R44" s="85">
        <f t="shared" si="3"/>
        <v>0</v>
      </c>
    </row>
    <row r="45" spans="2:18" ht="14.4" thickBot="1">
      <c r="P45" s="120" t="s">
        <v>201</v>
      </c>
      <c r="Q45" s="120"/>
      <c r="R45" s="121">
        <f>SUM(R33:R44)</f>
        <v>1870000</v>
      </c>
    </row>
    <row r="46" spans="2:18" ht="14.4" thickTop="1"/>
    <row r="47" spans="2:18">
      <c r="P47" s="5" t="s">
        <v>202</v>
      </c>
      <c r="Q47" s="5"/>
      <c r="R47" s="86">
        <f>+SUM(E33:E44)</f>
        <v>20</v>
      </c>
    </row>
    <row r="49" spans="16:18">
      <c r="P49" s="5" t="s">
        <v>203</v>
      </c>
    </row>
    <row r="50" spans="16:18">
      <c r="P50" s="73" t="s">
        <v>200</v>
      </c>
      <c r="R50" s="85">
        <f>+R45</f>
        <v>1870000</v>
      </c>
    </row>
    <row r="51" spans="16:18">
      <c r="P51" s="73" t="s">
        <v>204</v>
      </c>
      <c r="R51" s="49">
        <f>+R50*'Set Up Assumptions'!H49</f>
        <v>374000</v>
      </c>
    </row>
    <row r="52" spans="16:18" ht="14.4" thickBot="1">
      <c r="P52" s="120" t="s">
        <v>205</v>
      </c>
      <c r="Q52" s="120"/>
      <c r="R52" s="121">
        <f>SUM(R50:R51)</f>
        <v>2244000</v>
      </c>
    </row>
    <row r="53" spans="16:18" ht="14.4" thickTop="1"/>
  </sheetData>
  <mergeCells count="5">
    <mergeCell ref="C4:N4"/>
    <mergeCell ref="E7:N7"/>
    <mergeCell ref="P2:R2"/>
    <mergeCell ref="P4:R4"/>
    <mergeCell ref="E31:N3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A840-C72D-41FC-ACB8-AA622F4789AC}">
  <dimension ref="A2:U87"/>
  <sheetViews>
    <sheetView showGridLines="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I17" sqref="I17"/>
    </sheetView>
  </sheetViews>
  <sheetFormatPr defaultRowHeight="13.8"/>
  <cols>
    <col min="2" max="2" width="30.3984375" bestFit="1" customWidth="1"/>
    <col min="3" max="3" width="19.8984375" bestFit="1" customWidth="1"/>
    <col min="4" max="4" width="13" bestFit="1" customWidth="1"/>
    <col min="5" max="5" width="11.8984375" bestFit="1" customWidth="1"/>
    <col min="8" max="8" width="14" bestFit="1" customWidth="1"/>
    <col min="9" max="9" width="14.09765625" bestFit="1" customWidth="1"/>
    <col min="10" max="13" width="14.8984375" bestFit="1" customWidth="1"/>
    <col min="14" max="18" width="15" bestFit="1" customWidth="1"/>
    <col min="20" max="20" width="11" bestFit="1" customWidth="1"/>
  </cols>
  <sheetData>
    <row r="2" spans="1:18">
      <c r="B2" s="212" t="s">
        <v>218</v>
      </c>
      <c r="C2" s="212"/>
      <c r="D2" s="212"/>
      <c r="E2" s="212"/>
      <c r="F2" s="212"/>
      <c r="G2" s="212"/>
      <c r="I2" s="32">
        <v>2025</v>
      </c>
      <c r="J2" s="32">
        <v>2026</v>
      </c>
      <c r="K2" s="32">
        <v>2027</v>
      </c>
      <c r="L2" s="32">
        <v>2028</v>
      </c>
      <c r="M2" s="32">
        <v>2029</v>
      </c>
      <c r="N2" s="32">
        <v>2030</v>
      </c>
      <c r="O2" s="32">
        <v>2031</v>
      </c>
      <c r="P2" s="32">
        <v>2032</v>
      </c>
      <c r="Q2" s="32">
        <v>2033</v>
      </c>
      <c r="R2" s="32">
        <v>2034</v>
      </c>
    </row>
    <row r="3" spans="1:18">
      <c r="H3" s="24" t="s">
        <v>219</v>
      </c>
      <c r="I3" s="122">
        <v>45658</v>
      </c>
      <c r="J3" s="122">
        <v>46023</v>
      </c>
      <c r="K3" s="122">
        <v>46388</v>
      </c>
      <c r="L3" s="122">
        <v>46753</v>
      </c>
      <c r="M3" s="122">
        <v>47119</v>
      </c>
      <c r="N3" s="122">
        <v>47484</v>
      </c>
      <c r="O3" s="122">
        <v>47849</v>
      </c>
      <c r="P3" s="122">
        <v>48214</v>
      </c>
      <c r="Q3" s="122">
        <v>48580</v>
      </c>
      <c r="R3" s="122">
        <v>48945</v>
      </c>
    </row>
    <row r="4" spans="1:18">
      <c r="H4" s="24" t="s">
        <v>220</v>
      </c>
      <c r="I4" s="122">
        <v>46022</v>
      </c>
      <c r="J4" s="122">
        <v>46387</v>
      </c>
      <c r="K4" s="122">
        <v>46752</v>
      </c>
      <c r="L4" s="122">
        <v>47118</v>
      </c>
      <c r="M4" s="122">
        <v>47483</v>
      </c>
      <c r="N4" s="122">
        <v>47848</v>
      </c>
      <c r="O4" s="122">
        <v>48213</v>
      </c>
      <c r="P4" s="122">
        <v>48579</v>
      </c>
      <c r="Q4" s="122">
        <v>48944</v>
      </c>
      <c r="R4" s="122">
        <v>49309</v>
      </c>
    </row>
    <row r="5" spans="1:18">
      <c r="H5" s="24" t="s">
        <v>222</v>
      </c>
      <c r="I5" s="38">
        <f>+I4-I3+1</f>
        <v>365</v>
      </c>
      <c r="J5" s="38">
        <f t="shared" ref="J5:R5" si="0">+J4-J3+1</f>
        <v>365</v>
      </c>
      <c r="K5" s="38">
        <f t="shared" si="0"/>
        <v>365</v>
      </c>
      <c r="L5" s="38">
        <f t="shared" si="0"/>
        <v>366</v>
      </c>
      <c r="M5" s="38">
        <f t="shared" si="0"/>
        <v>365</v>
      </c>
      <c r="N5" s="38">
        <f t="shared" si="0"/>
        <v>365</v>
      </c>
      <c r="O5" s="38">
        <f t="shared" si="0"/>
        <v>365</v>
      </c>
      <c r="P5" s="38">
        <f t="shared" si="0"/>
        <v>366</v>
      </c>
      <c r="Q5" s="38">
        <f t="shared" si="0"/>
        <v>365</v>
      </c>
      <c r="R5" s="38">
        <f t="shared" si="0"/>
        <v>365</v>
      </c>
    </row>
    <row r="6" spans="1:18" s="5" customFormat="1">
      <c r="H6" s="24" t="s">
        <v>221</v>
      </c>
      <c r="I6" s="87" t="s">
        <v>174</v>
      </c>
      <c r="J6" s="87" t="s">
        <v>175</v>
      </c>
      <c r="K6" s="87" t="s">
        <v>176</v>
      </c>
      <c r="L6" s="87" t="s">
        <v>177</v>
      </c>
      <c r="M6" s="87" t="s">
        <v>178</v>
      </c>
      <c r="N6" s="87" t="s">
        <v>179</v>
      </c>
      <c r="O6" s="87" t="s">
        <v>180</v>
      </c>
      <c r="P6" s="87" t="s">
        <v>181</v>
      </c>
      <c r="Q6" s="87" t="s">
        <v>182</v>
      </c>
      <c r="R6" s="87" t="s">
        <v>183</v>
      </c>
    </row>
    <row r="7" spans="1:18">
      <c r="A7" s="118"/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</row>
    <row r="8" spans="1:18">
      <c r="B8" s="5" t="s">
        <v>273</v>
      </c>
      <c r="C8" t="s">
        <v>223</v>
      </c>
      <c r="D8" s="124" t="s">
        <v>224</v>
      </c>
      <c r="H8" s="1"/>
    </row>
    <row r="9" spans="1:18">
      <c r="B9" t="str">
        <f>+B22</f>
        <v>R&amp;D</v>
      </c>
      <c r="H9" s="1" t="s">
        <v>35</v>
      </c>
      <c r="I9" s="49">
        <f>+I30</f>
        <v>88000000</v>
      </c>
      <c r="J9" s="49">
        <f t="shared" ref="J9:R9" si="1">+J30</f>
        <v>90640000</v>
      </c>
      <c r="K9" s="49">
        <f t="shared" si="1"/>
        <v>93359200</v>
      </c>
      <c r="L9" s="49">
        <f t="shared" si="1"/>
        <v>96159976</v>
      </c>
      <c r="M9" s="49">
        <f t="shared" si="1"/>
        <v>99044775.280000001</v>
      </c>
      <c r="N9" s="49">
        <f t="shared" si="1"/>
        <v>102016118.53840001</v>
      </c>
      <c r="O9" s="49">
        <f t="shared" si="1"/>
        <v>105076602.09455201</v>
      </c>
      <c r="P9" s="49">
        <f t="shared" si="1"/>
        <v>108228900.15738857</v>
      </c>
      <c r="Q9" s="49">
        <f t="shared" si="1"/>
        <v>111475767.16211024</v>
      </c>
      <c r="R9" s="49">
        <f t="shared" si="1"/>
        <v>114820040.17697355</v>
      </c>
    </row>
    <row r="10" spans="1:18">
      <c r="B10" t="str">
        <f>+B32</f>
        <v>Marketing</v>
      </c>
      <c r="H10" s="1" t="s">
        <v>35</v>
      </c>
      <c r="I10" s="49">
        <f>+I38</f>
        <v>2800000</v>
      </c>
      <c r="J10" s="49">
        <f t="shared" ref="J10:R10" si="2">+J38</f>
        <v>2884000</v>
      </c>
      <c r="K10" s="49">
        <f t="shared" si="2"/>
        <v>2970520</v>
      </c>
      <c r="L10" s="49">
        <f t="shared" si="2"/>
        <v>3059635.6</v>
      </c>
      <c r="M10" s="49">
        <f t="shared" si="2"/>
        <v>3151424.6680000005</v>
      </c>
      <c r="N10" s="49">
        <f t="shared" si="2"/>
        <v>3245967.4080400001</v>
      </c>
      <c r="O10" s="49">
        <f t="shared" si="2"/>
        <v>3343346.4302812</v>
      </c>
      <c r="P10" s="49">
        <f t="shared" si="2"/>
        <v>3443646.8231896358</v>
      </c>
      <c r="Q10" s="49">
        <f t="shared" si="2"/>
        <v>3546956.2278853254</v>
      </c>
      <c r="R10" s="49">
        <f t="shared" si="2"/>
        <v>3653364.9147218848</v>
      </c>
    </row>
    <row r="11" spans="1:18">
      <c r="B11" t="str">
        <f>+B40</f>
        <v>Offices Building Expenses</v>
      </c>
      <c r="H11" s="1" t="s">
        <v>35</v>
      </c>
      <c r="I11" s="49">
        <f>+I45</f>
        <v>60000</v>
      </c>
      <c r="J11" s="49">
        <f t="shared" ref="J11:R11" si="3">+J45</f>
        <v>61800</v>
      </c>
      <c r="K11" s="49">
        <f t="shared" si="3"/>
        <v>63654</v>
      </c>
      <c r="L11" s="49">
        <f t="shared" si="3"/>
        <v>65563.62</v>
      </c>
      <c r="M11" s="49">
        <f t="shared" si="3"/>
        <v>67530.528599999991</v>
      </c>
      <c r="N11" s="49">
        <f t="shared" si="3"/>
        <v>69556.444457999998</v>
      </c>
      <c r="O11" s="49">
        <f t="shared" si="3"/>
        <v>71643.137791739995</v>
      </c>
      <c r="P11" s="49">
        <f t="shared" si="3"/>
        <v>73792.431925492201</v>
      </c>
      <c r="Q11" s="49">
        <f t="shared" si="3"/>
        <v>76006.204883256971</v>
      </c>
      <c r="R11" s="49">
        <f t="shared" si="3"/>
        <v>78286.391029754683</v>
      </c>
    </row>
    <row r="12" spans="1:18">
      <c r="B12" t="str">
        <f>+B47</f>
        <v>I.T.</v>
      </c>
      <c r="H12" s="1" t="s">
        <v>35</v>
      </c>
      <c r="I12" s="49">
        <f>+I55</f>
        <v>100000</v>
      </c>
      <c r="J12" s="49">
        <f t="shared" ref="J12:R12" si="4">+J55</f>
        <v>103000</v>
      </c>
      <c r="K12" s="49">
        <f t="shared" si="4"/>
        <v>106090</v>
      </c>
      <c r="L12" s="49">
        <f t="shared" si="4"/>
        <v>109272.69999999998</v>
      </c>
      <c r="M12" s="49">
        <f t="shared" si="4"/>
        <v>112550.88099999998</v>
      </c>
      <c r="N12" s="49">
        <f t="shared" si="4"/>
        <v>115927.40742999999</v>
      </c>
      <c r="O12" s="49">
        <f t="shared" si="4"/>
        <v>119405.22965289999</v>
      </c>
      <c r="P12" s="49">
        <f t="shared" si="4"/>
        <v>122987.38654248702</v>
      </c>
      <c r="Q12" s="49">
        <f t="shared" si="4"/>
        <v>126677.00813876162</v>
      </c>
      <c r="R12" s="49">
        <f t="shared" si="4"/>
        <v>130477.31838292447</v>
      </c>
    </row>
    <row r="13" spans="1:18">
      <c r="B13" t="str">
        <f>+B57</f>
        <v>Repairs &amp; Maintenance</v>
      </c>
      <c r="H13" s="1" t="s">
        <v>35</v>
      </c>
      <c r="I13" s="49">
        <f>+I62</f>
        <v>0</v>
      </c>
      <c r="J13" s="49">
        <f t="shared" ref="J13:R13" si="5">+J62</f>
        <v>10000000</v>
      </c>
      <c r="K13" s="49">
        <f t="shared" si="5"/>
        <v>10320000</v>
      </c>
      <c r="L13" s="49">
        <f t="shared" si="5"/>
        <v>10629600</v>
      </c>
      <c r="M13" s="49">
        <f t="shared" si="5"/>
        <v>10948488</v>
      </c>
      <c r="N13" s="49">
        <f t="shared" si="5"/>
        <v>11276942.639999999</v>
      </c>
      <c r="O13" s="49">
        <f t="shared" si="5"/>
        <v>11615250.919200001</v>
      </c>
      <c r="P13" s="49">
        <f t="shared" si="5"/>
        <v>11963708.446776001</v>
      </c>
      <c r="Q13" s="49">
        <f t="shared" si="5"/>
        <v>12322619.700179281</v>
      </c>
      <c r="R13" s="49">
        <f t="shared" si="5"/>
        <v>12692298.29118466</v>
      </c>
    </row>
    <row r="14" spans="1:18">
      <c r="B14" t="str">
        <f>+B64</f>
        <v>Supplies</v>
      </c>
      <c r="H14" s="1" t="s">
        <v>35</v>
      </c>
      <c r="I14" s="49">
        <f>+I69</f>
        <v>30000</v>
      </c>
      <c r="J14" s="49">
        <f t="shared" ref="J14:R14" si="6">+J69</f>
        <v>30900</v>
      </c>
      <c r="K14" s="49">
        <f t="shared" si="6"/>
        <v>31827</v>
      </c>
      <c r="L14" s="49">
        <f t="shared" si="6"/>
        <v>32781.81</v>
      </c>
      <c r="M14" s="49">
        <f t="shared" si="6"/>
        <v>33765.264300000003</v>
      </c>
      <c r="N14" s="49">
        <f t="shared" si="6"/>
        <v>34778.222228999999</v>
      </c>
      <c r="O14" s="49">
        <f t="shared" si="6"/>
        <v>35821.568895869998</v>
      </c>
      <c r="P14" s="49">
        <f t="shared" si="6"/>
        <v>36896.215962746101</v>
      </c>
      <c r="Q14" s="49">
        <f t="shared" si="6"/>
        <v>38003.102441628485</v>
      </c>
      <c r="R14" s="49">
        <f t="shared" si="6"/>
        <v>39143.195514877341</v>
      </c>
    </row>
    <row r="15" spans="1:18">
      <c r="B15" t="str">
        <f>+B71</f>
        <v>Insurance</v>
      </c>
      <c r="H15" s="1" t="s">
        <v>35</v>
      </c>
      <c r="I15" s="49">
        <f>+I77</f>
        <v>320000</v>
      </c>
      <c r="J15" s="49">
        <f t="shared" ref="J15:R15" si="7">+J77</f>
        <v>329600</v>
      </c>
      <c r="K15" s="49">
        <f t="shared" si="7"/>
        <v>339488</v>
      </c>
      <c r="L15" s="49">
        <f t="shared" si="7"/>
        <v>349672.63999999996</v>
      </c>
      <c r="M15" s="49">
        <f t="shared" si="7"/>
        <v>360162.81919999997</v>
      </c>
      <c r="N15" s="49">
        <f t="shared" si="7"/>
        <v>370967.70377599995</v>
      </c>
      <c r="O15" s="49">
        <f t="shared" si="7"/>
        <v>382096.73488927999</v>
      </c>
      <c r="P15" s="49">
        <f t="shared" si="7"/>
        <v>393559.63693595841</v>
      </c>
      <c r="Q15" s="49">
        <f t="shared" si="7"/>
        <v>405366.42604403716</v>
      </c>
      <c r="R15" s="49">
        <f t="shared" si="7"/>
        <v>417527.41882535827</v>
      </c>
    </row>
    <row r="16" spans="1:18">
      <c r="B16" t="str">
        <f>+B79</f>
        <v>Miscellaneous</v>
      </c>
      <c r="H16" s="1" t="s">
        <v>35</v>
      </c>
      <c r="I16" s="49">
        <f>+I87</f>
        <v>3900000</v>
      </c>
      <c r="J16" s="49">
        <f t="shared" ref="J16:R16" si="8">+J87</f>
        <v>4017000</v>
      </c>
      <c r="K16" s="49">
        <f t="shared" si="8"/>
        <v>4137510</v>
      </c>
      <c r="L16" s="49">
        <f t="shared" si="8"/>
        <v>4261635.3000000007</v>
      </c>
      <c r="M16" s="49">
        <f t="shared" si="8"/>
        <v>4389484.3590000002</v>
      </c>
      <c r="N16" s="49">
        <f t="shared" si="8"/>
        <v>4521168.8897700002</v>
      </c>
      <c r="O16" s="49">
        <f t="shared" si="8"/>
        <v>4656803.9564631004</v>
      </c>
      <c r="P16" s="49">
        <f t="shared" si="8"/>
        <v>4796508.0751569932</v>
      </c>
      <c r="Q16" s="49">
        <f t="shared" si="8"/>
        <v>4940403.317411704</v>
      </c>
      <c r="R16" s="49">
        <f t="shared" si="8"/>
        <v>5088615.4169340543</v>
      </c>
    </row>
    <row r="17" spans="1:21">
      <c r="B17" t="s">
        <v>271</v>
      </c>
      <c r="C17" t="s">
        <v>272</v>
      </c>
      <c r="D17" s="64">
        <v>1E-4</v>
      </c>
      <c r="H17" s="1" t="s">
        <v>35</v>
      </c>
      <c r="I17" s="196">
        <f>+'Monthly Operating CF Per year'!R15*OpEx!D17</f>
        <v>271192.95</v>
      </c>
      <c r="J17" s="196"/>
      <c r="K17" s="196"/>
      <c r="L17" s="196"/>
      <c r="M17" s="196"/>
      <c r="N17" s="196"/>
      <c r="O17" s="196"/>
      <c r="P17" s="196"/>
      <c r="Q17" s="196"/>
      <c r="R17" s="196"/>
      <c r="S17" t="s">
        <v>274</v>
      </c>
    </row>
    <row r="18" spans="1:21">
      <c r="B18" s="14" t="s">
        <v>225</v>
      </c>
      <c r="C18" s="14"/>
      <c r="D18" s="14"/>
      <c r="E18" s="14"/>
      <c r="F18" s="14"/>
      <c r="G18" s="14"/>
      <c r="H18" s="62" t="s">
        <v>35</v>
      </c>
      <c r="I18" s="136">
        <f>SUM(I9:I17)</f>
        <v>95481192.950000003</v>
      </c>
      <c r="J18" s="136">
        <f t="shared" ref="J18:R18" si="9">SUM(J8:J17)</f>
        <v>108066300</v>
      </c>
      <c r="K18" s="136">
        <f t="shared" si="9"/>
        <v>111328289</v>
      </c>
      <c r="L18" s="136">
        <f t="shared" si="9"/>
        <v>114668137.67</v>
      </c>
      <c r="M18" s="136">
        <f t="shared" si="9"/>
        <v>118108181.8001</v>
      </c>
      <c r="N18" s="136">
        <f t="shared" si="9"/>
        <v>121651427.254103</v>
      </c>
      <c r="O18" s="136">
        <f t="shared" si="9"/>
        <v>125300970.07172611</v>
      </c>
      <c r="P18" s="136">
        <f t="shared" si="9"/>
        <v>129059999.17387788</v>
      </c>
      <c r="Q18" s="136">
        <f t="shared" si="9"/>
        <v>132931799.14909422</v>
      </c>
      <c r="R18" s="136">
        <f t="shared" si="9"/>
        <v>136919753.12356707</v>
      </c>
    </row>
    <row r="20" spans="1:21">
      <c r="T20">
        <f>216954360*0.01</f>
        <v>2169543.6</v>
      </c>
    </row>
    <row r="21" spans="1:21">
      <c r="B21" t="s">
        <v>26</v>
      </c>
      <c r="T21">
        <v>271457</v>
      </c>
      <c r="U21" s="123">
        <v>0.01</v>
      </c>
    </row>
    <row r="22" spans="1:21">
      <c r="A22" s="126" t="s">
        <v>1</v>
      </c>
      <c r="B22" s="127" t="s">
        <v>226</v>
      </c>
      <c r="C22" s="127" t="s">
        <v>233</v>
      </c>
      <c r="D22" s="127" t="s">
        <v>234</v>
      </c>
      <c r="E22" s="127" t="s">
        <v>235</v>
      </c>
      <c r="F22" s="126"/>
      <c r="G22" s="126"/>
      <c r="H22" s="126"/>
      <c r="I22" s="126"/>
      <c r="J22" s="126"/>
      <c r="K22" s="126"/>
      <c r="L22" s="126"/>
      <c r="M22" s="126"/>
      <c r="N22" s="126"/>
      <c r="O22" s="126"/>
      <c r="P22" s="126"/>
      <c r="Q22" s="126"/>
      <c r="R22" s="126"/>
      <c r="T22" s="137">
        <f>+(T21*U22)/U21</f>
        <v>2714570000</v>
      </c>
      <c r="U22" s="123">
        <v>100</v>
      </c>
    </row>
    <row r="23" spans="1:21">
      <c r="B23" s="73" t="s">
        <v>227</v>
      </c>
      <c r="C23" s="128">
        <v>40000000</v>
      </c>
      <c r="D23" s="129">
        <v>0.03</v>
      </c>
      <c r="E23" s="130">
        <v>2025</v>
      </c>
      <c r="I23" s="49">
        <f>+C23</f>
        <v>40000000</v>
      </c>
      <c r="J23" s="49">
        <f>+I23*(1+$D23)</f>
        <v>41200000</v>
      </c>
      <c r="K23" s="49">
        <f t="shared" ref="K23:R23" si="10">+J23*(1+$D$23)</f>
        <v>42436000</v>
      </c>
      <c r="L23" s="49">
        <f t="shared" si="10"/>
        <v>43709080</v>
      </c>
      <c r="M23" s="49">
        <f t="shared" si="10"/>
        <v>45020352.399999999</v>
      </c>
      <c r="N23" s="49">
        <f t="shared" si="10"/>
        <v>46370962.972000003</v>
      </c>
      <c r="O23" s="49">
        <f t="shared" si="10"/>
        <v>47762091.861160003</v>
      </c>
      <c r="P23" s="49">
        <f t="shared" si="10"/>
        <v>49194954.616994806</v>
      </c>
      <c r="Q23" s="49">
        <f t="shared" si="10"/>
        <v>50670803.255504653</v>
      </c>
      <c r="R23" s="49">
        <f t="shared" si="10"/>
        <v>52190927.353169791</v>
      </c>
    </row>
    <row r="24" spans="1:21">
      <c r="B24" s="73" t="s">
        <v>228</v>
      </c>
      <c r="C24" s="128">
        <v>8000000</v>
      </c>
      <c r="D24" s="129">
        <v>0.03</v>
      </c>
      <c r="E24" s="130">
        <v>2025</v>
      </c>
      <c r="I24" s="49">
        <f t="shared" ref="I24:I27" si="11">+C24</f>
        <v>8000000</v>
      </c>
      <c r="J24" s="49">
        <f>+I24*(1+$D24)</f>
        <v>8240000</v>
      </c>
      <c r="K24" s="49">
        <f t="shared" ref="K24:R24" si="12">+J24*(1+$D24)</f>
        <v>8487200</v>
      </c>
      <c r="L24" s="49">
        <f t="shared" si="12"/>
        <v>8741816</v>
      </c>
      <c r="M24" s="49">
        <f t="shared" si="12"/>
        <v>9004070.4800000004</v>
      </c>
      <c r="N24" s="49">
        <f t="shared" si="12"/>
        <v>9274192.5943999998</v>
      </c>
      <c r="O24" s="49">
        <f t="shared" si="12"/>
        <v>9552418.3722319994</v>
      </c>
      <c r="P24" s="49">
        <f t="shared" si="12"/>
        <v>9838990.9233989604</v>
      </c>
      <c r="Q24" s="49">
        <f t="shared" si="12"/>
        <v>10134160.65110093</v>
      </c>
      <c r="R24" s="49">
        <f t="shared" si="12"/>
        <v>10438185.470633958</v>
      </c>
      <c r="T24" s="48">
        <f>271193/2711929.5</f>
        <v>0.10000001843705746</v>
      </c>
    </row>
    <row r="25" spans="1:21">
      <c r="B25" s="73" t="s">
        <v>229</v>
      </c>
      <c r="C25" s="128">
        <v>15000000</v>
      </c>
      <c r="D25" s="129">
        <v>0.03</v>
      </c>
      <c r="E25" s="130">
        <v>2025</v>
      </c>
      <c r="I25" s="49">
        <f t="shared" si="11"/>
        <v>15000000</v>
      </c>
      <c r="J25" s="49">
        <f t="shared" ref="J25:R25" si="13">+I25*(1+$D25)</f>
        <v>15450000</v>
      </c>
      <c r="K25" s="49">
        <f t="shared" si="13"/>
        <v>15913500</v>
      </c>
      <c r="L25" s="49">
        <f t="shared" si="13"/>
        <v>16390905</v>
      </c>
      <c r="M25" s="49">
        <f t="shared" si="13"/>
        <v>16882632.150000002</v>
      </c>
      <c r="N25" s="49">
        <f t="shared" si="13"/>
        <v>17389111.114500001</v>
      </c>
      <c r="O25" s="49">
        <f t="shared" si="13"/>
        <v>17910784.447935</v>
      </c>
      <c r="P25" s="49">
        <f t="shared" si="13"/>
        <v>18448107.981373049</v>
      </c>
      <c r="Q25" s="49">
        <f t="shared" si="13"/>
        <v>19001551.220814243</v>
      </c>
      <c r="R25" s="49">
        <f t="shared" si="13"/>
        <v>19571597.757438671</v>
      </c>
    </row>
    <row r="26" spans="1:21">
      <c r="B26" s="73" t="s">
        <v>230</v>
      </c>
      <c r="C26" s="128">
        <v>20000000</v>
      </c>
      <c r="D26" s="129">
        <v>0.03</v>
      </c>
      <c r="E26" s="130">
        <v>2025</v>
      </c>
      <c r="I26" s="49">
        <f t="shared" si="11"/>
        <v>20000000</v>
      </c>
      <c r="J26" s="49">
        <f t="shared" ref="J26:R26" si="14">+I26*(1+$D26)</f>
        <v>20600000</v>
      </c>
      <c r="K26" s="49">
        <f t="shared" si="14"/>
        <v>21218000</v>
      </c>
      <c r="L26" s="49">
        <f t="shared" si="14"/>
        <v>21854540</v>
      </c>
      <c r="M26" s="49">
        <f t="shared" si="14"/>
        <v>22510176.199999999</v>
      </c>
      <c r="N26" s="49">
        <f t="shared" si="14"/>
        <v>23185481.486000001</v>
      </c>
      <c r="O26" s="49">
        <f t="shared" si="14"/>
        <v>23881045.930580001</v>
      </c>
      <c r="P26" s="49">
        <f t="shared" si="14"/>
        <v>24597477.308497403</v>
      </c>
      <c r="Q26" s="49">
        <f t="shared" si="14"/>
        <v>25335401.627752326</v>
      </c>
      <c r="R26" s="49">
        <f t="shared" si="14"/>
        <v>26095463.676584896</v>
      </c>
      <c r="T26">
        <v>2711929.5</v>
      </c>
    </row>
    <row r="27" spans="1:21">
      <c r="B27" s="73" t="s">
        <v>231</v>
      </c>
      <c r="C27" s="128">
        <v>5000000</v>
      </c>
      <c r="D27" s="129">
        <v>0.03</v>
      </c>
      <c r="E27" s="130">
        <v>2025</v>
      </c>
      <c r="I27" s="49">
        <f t="shared" si="11"/>
        <v>5000000</v>
      </c>
      <c r="J27" s="49">
        <f t="shared" ref="J27:R27" si="15">+I27*(1+$D27)</f>
        <v>5150000</v>
      </c>
      <c r="K27" s="49">
        <f t="shared" si="15"/>
        <v>5304500</v>
      </c>
      <c r="L27" s="49">
        <f t="shared" si="15"/>
        <v>5463635</v>
      </c>
      <c r="M27" s="49">
        <f t="shared" si="15"/>
        <v>5627544.0499999998</v>
      </c>
      <c r="N27" s="49">
        <f t="shared" si="15"/>
        <v>5796370.3715000004</v>
      </c>
      <c r="O27" s="49">
        <f t="shared" si="15"/>
        <v>5970261.4826450003</v>
      </c>
      <c r="P27" s="49">
        <f t="shared" si="15"/>
        <v>6149369.3271243507</v>
      </c>
      <c r="Q27" s="49">
        <f t="shared" si="15"/>
        <v>6333850.4069380816</v>
      </c>
      <c r="R27" s="49">
        <f t="shared" si="15"/>
        <v>6523865.9191462239</v>
      </c>
      <c r="T27">
        <v>271193</v>
      </c>
    </row>
    <row r="28" spans="1:21">
      <c r="B28" s="73" t="s">
        <v>232</v>
      </c>
      <c r="C28" s="131"/>
      <c r="D28" s="130"/>
      <c r="E28" s="130"/>
      <c r="I28" s="49">
        <f t="shared" ref="I28:I29" si="16">+C28</f>
        <v>0</v>
      </c>
      <c r="J28" s="49">
        <f t="shared" ref="J28:R28" si="17">+I28*(1+$D28)</f>
        <v>0</v>
      </c>
      <c r="K28" s="49">
        <f t="shared" si="17"/>
        <v>0</v>
      </c>
      <c r="L28" s="49">
        <f t="shared" si="17"/>
        <v>0</v>
      </c>
      <c r="M28" s="49">
        <f t="shared" si="17"/>
        <v>0</v>
      </c>
      <c r="N28" s="49">
        <f t="shared" si="17"/>
        <v>0</v>
      </c>
      <c r="O28" s="49">
        <f t="shared" si="17"/>
        <v>0</v>
      </c>
      <c r="P28" s="49">
        <f t="shared" si="17"/>
        <v>0</v>
      </c>
      <c r="Q28" s="49">
        <f t="shared" si="17"/>
        <v>0</v>
      </c>
      <c r="R28" s="49">
        <f t="shared" si="17"/>
        <v>0</v>
      </c>
      <c r="T28" s="138">
        <f>+T27/T26</f>
        <v>0.10000001843705746</v>
      </c>
    </row>
    <row r="29" spans="1:21">
      <c r="B29" s="73" t="s">
        <v>232</v>
      </c>
      <c r="C29" s="132"/>
      <c r="D29" s="132"/>
      <c r="E29" s="132"/>
      <c r="I29" s="49">
        <f t="shared" si="16"/>
        <v>0</v>
      </c>
      <c r="J29" s="49">
        <f t="shared" ref="J29:R29" si="18">+I29*(1+$D29)</f>
        <v>0</v>
      </c>
      <c r="K29" s="49">
        <f t="shared" si="18"/>
        <v>0</v>
      </c>
      <c r="L29" s="49">
        <f t="shared" si="18"/>
        <v>0</v>
      </c>
      <c r="M29" s="49">
        <f t="shared" si="18"/>
        <v>0</v>
      </c>
      <c r="N29" s="49">
        <f t="shared" si="18"/>
        <v>0</v>
      </c>
      <c r="O29" s="49">
        <f t="shared" si="18"/>
        <v>0</v>
      </c>
      <c r="P29" s="49">
        <f t="shared" si="18"/>
        <v>0</v>
      </c>
      <c r="Q29" s="49">
        <f t="shared" si="18"/>
        <v>0</v>
      </c>
      <c r="R29" s="49">
        <f t="shared" si="18"/>
        <v>0</v>
      </c>
    </row>
    <row r="30" spans="1:21" s="5" customFormat="1">
      <c r="B30" s="133" t="s">
        <v>236</v>
      </c>
      <c r="C30" s="74"/>
      <c r="D30" s="74"/>
      <c r="E30" s="74"/>
      <c r="F30" s="74"/>
      <c r="G30" s="74"/>
      <c r="H30" s="74"/>
      <c r="I30" s="75">
        <f>SUM(I23:I29)</f>
        <v>88000000</v>
      </c>
      <c r="J30" s="75">
        <f t="shared" ref="J30:R30" si="19">SUM(J23:J29)</f>
        <v>90640000</v>
      </c>
      <c r="K30" s="75">
        <f t="shared" si="19"/>
        <v>93359200</v>
      </c>
      <c r="L30" s="75">
        <f t="shared" si="19"/>
        <v>96159976</v>
      </c>
      <c r="M30" s="75">
        <f t="shared" si="19"/>
        <v>99044775.280000001</v>
      </c>
      <c r="N30" s="75">
        <f t="shared" si="19"/>
        <v>102016118.53840001</v>
      </c>
      <c r="O30" s="75">
        <f t="shared" si="19"/>
        <v>105076602.09455201</v>
      </c>
      <c r="P30" s="75">
        <f t="shared" si="19"/>
        <v>108228900.15738857</v>
      </c>
      <c r="Q30" s="75">
        <f t="shared" si="19"/>
        <v>111475767.16211024</v>
      </c>
      <c r="R30" s="75">
        <f t="shared" si="19"/>
        <v>114820040.17697355</v>
      </c>
    </row>
    <row r="32" spans="1:21">
      <c r="A32" s="126" t="s">
        <v>1</v>
      </c>
      <c r="B32" s="127" t="s">
        <v>237</v>
      </c>
      <c r="C32" s="127" t="s">
        <v>233</v>
      </c>
      <c r="D32" s="127" t="s">
        <v>234</v>
      </c>
      <c r="E32" s="127" t="s">
        <v>235</v>
      </c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</row>
    <row r="33" spans="1:18">
      <c r="B33" s="73" t="s">
        <v>238</v>
      </c>
      <c r="C33" s="128">
        <v>2000000</v>
      </c>
      <c r="D33" s="129">
        <v>0.03</v>
      </c>
      <c r="E33" s="130">
        <v>2025</v>
      </c>
      <c r="I33" s="49">
        <f>+C33</f>
        <v>2000000</v>
      </c>
      <c r="J33" s="49">
        <f>+I33*(1+$D33)</f>
        <v>2060000</v>
      </c>
      <c r="K33" s="49">
        <f t="shared" ref="K33:R33" si="20">+J33*(1+$D$23)</f>
        <v>2121800</v>
      </c>
      <c r="L33" s="49">
        <f t="shared" si="20"/>
        <v>2185454</v>
      </c>
      <c r="M33" s="49">
        <f t="shared" si="20"/>
        <v>2251017.62</v>
      </c>
      <c r="N33" s="49">
        <f t="shared" si="20"/>
        <v>2318548.1486</v>
      </c>
      <c r="O33" s="49">
        <f t="shared" si="20"/>
        <v>2388104.5930579999</v>
      </c>
      <c r="P33" s="49">
        <f t="shared" si="20"/>
        <v>2459747.7308497401</v>
      </c>
      <c r="Q33" s="49">
        <f t="shared" si="20"/>
        <v>2533540.1627752325</v>
      </c>
      <c r="R33" s="49">
        <f t="shared" si="20"/>
        <v>2609546.3676584894</v>
      </c>
    </row>
    <row r="34" spans="1:18">
      <c r="B34" s="73" t="s">
        <v>239</v>
      </c>
      <c r="C34" s="128">
        <v>300000</v>
      </c>
      <c r="D34" s="129">
        <v>0.03</v>
      </c>
      <c r="E34" s="130">
        <v>2025</v>
      </c>
      <c r="I34" s="49">
        <f t="shared" ref="I34:I35" si="21">+C34</f>
        <v>300000</v>
      </c>
      <c r="J34" s="49">
        <f>+I34*(1+$D34)</f>
        <v>309000</v>
      </c>
      <c r="K34" s="49">
        <f t="shared" ref="K34:R34" si="22">+J34*(1+$D34)</f>
        <v>318270</v>
      </c>
      <c r="L34" s="49">
        <f t="shared" si="22"/>
        <v>327818.10000000003</v>
      </c>
      <c r="M34" s="49">
        <f t="shared" si="22"/>
        <v>337652.64300000004</v>
      </c>
      <c r="N34" s="49">
        <f t="shared" si="22"/>
        <v>347782.22229000006</v>
      </c>
      <c r="O34" s="49">
        <f t="shared" si="22"/>
        <v>358215.68895870005</v>
      </c>
      <c r="P34" s="49">
        <f t="shared" si="22"/>
        <v>368962.15962746105</v>
      </c>
      <c r="Q34" s="49">
        <f t="shared" si="22"/>
        <v>380031.02441628487</v>
      </c>
      <c r="R34" s="49">
        <f t="shared" si="22"/>
        <v>391431.95514877344</v>
      </c>
    </row>
    <row r="35" spans="1:18">
      <c r="B35" s="73" t="s">
        <v>240</v>
      </c>
      <c r="C35" s="128">
        <v>500000</v>
      </c>
      <c r="D35" s="129">
        <v>0.03</v>
      </c>
      <c r="E35" s="130">
        <v>2025</v>
      </c>
      <c r="I35" s="49">
        <f t="shared" si="21"/>
        <v>500000</v>
      </c>
      <c r="J35" s="49">
        <f t="shared" ref="J35:R37" si="23">+I35*(1+$D35)</f>
        <v>515000</v>
      </c>
      <c r="K35" s="49">
        <f t="shared" si="23"/>
        <v>530450</v>
      </c>
      <c r="L35" s="49">
        <f t="shared" si="23"/>
        <v>546363.5</v>
      </c>
      <c r="M35" s="49">
        <f t="shared" si="23"/>
        <v>562754.40500000003</v>
      </c>
      <c r="N35" s="49">
        <f t="shared" si="23"/>
        <v>579637.03714999999</v>
      </c>
      <c r="O35" s="49">
        <f t="shared" si="23"/>
        <v>597026.14826449996</v>
      </c>
      <c r="P35" s="49">
        <f t="shared" si="23"/>
        <v>614936.93271243502</v>
      </c>
      <c r="Q35" s="49">
        <f t="shared" si="23"/>
        <v>633385.04069380811</v>
      </c>
      <c r="R35" s="49">
        <f t="shared" si="23"/>
        <v>652386.59191462235</v>
      </c>
    </row>
    <row r="36" spans="1:18">
      <c r="B36" s="73" t="s">
        <v>232</v>
      </c>
      <c r="C36" s="131"/>
      <c r="D36" s="130"/>
      <c r="E36" s="130"/>
      <c r="I36" s="49">
        <f t="shared" ref="I36:I37" si="24">+C36</f>
        <v>0</v>
      </c>
      <c r="J36" s="49">
        <f t="shared" si="23"/>
        <v>0</v>
      </c>
      <c r="K36" s="49">
        <f t="shared" si="23"/>
        <v>0</v>
      </c>
      <c r="L36" s="49">
        <f t="shared" si="23"/>
        <v>0</v>
      </c>
      <c r="M36" s="49">
        <f t="shared" si="23"/>
        <v>0</v>
      </c>
      <c r="N36" s="49">
        <f t="shared" si="23"/>
        <v>0</v>
      </c>
      <c r="O36" s="49">
        <f t="shared" si="23"/>
        <v>0</v>
      </c>
      <c r="P36" s="49">
        <f t="shared" si="23"/>
        <v>0</v>
      </c>
      <c r="Q36" s="49">
        <f t="shared" si="23"/>
        <v>0</v>
      </c>
      <c r="R36" s="49">
        <f t="shared" si="23"/>
        <v>0</v>
      </c>
    </row>
    <row r="37" spans="1:18">
      <c r="B37" s="73" t="s">
        <v>232</v>
      </c>
      <c r="C37" s="132"/>
      <c r="D37" s="132"/>
      <c r="E37" s="132"/>
      <c r="I37" s="49">
        <f t="shared" si="24"/>
        <v>0</v>
      </c>
      <c r="J37" s="49">
        <f t="shared" si="23"/>
        <v>0</v>
      </c>
      <c r="K37" s="49">
        <f t="shared" si="23"/>
        <v>0</v>
      </c>
      <c r="L37" s="49">
        <f t="shared" si="23"/>
        <v>0</v>
      </c>
      <c r="M37" s="49">
        <f t="shared" si="23"/>
        <v>0</v>
      </c>
      <c r="N37" s="49">
        <f t="shared" si="23"/>
        <v>0</v>
      </c>
      <c r="O37" s="49">
        <f t="shared" si="23"/>
        <v>0</v>
      </c>
      <c r="P37" s="49">
        <f t="shared" si="23"/>
        <v>0</v>
      </c>
      <c r="Q37" s="49">
        <f t="shared" si="23"/>
        <v>0</v>
      </c>
      <c r="R37" s="49">
        <f t="shared" si="23"/>
        <v>0</v>
      </c>
    </row>
    <row r="38" spans="1:18" s="5" customFormat="1">
      <c r="B38" s="125" t="s">
        <v>241</v>
      </c>
      <c r="C38" s="6"/>
      <c r="D38" s="6"/>
      <c r="E38" s="6"/>
      <c r="F38" s="6"/>
      <c r="G38" s="6"/>
      <c r="H38" s="6"/>
      <c r="I38" s="134">
        <f>SUM(I33:I37)</f>
        <v>2800000</v>
      </c>
      <c r="J38" s="134">
        <f t="shared" ref="J38:R38" si="25">SUM(J33:J37)</f>
        <v>2884000</v>
      </c>
      <c r="K38" s="134">
        <f t="shared" si="25"/>
        <v>2970520</v>
      </c>
      <c r="L38" s="134">
        <f t="shared" si="25"/>
        <v>3059635.6</v>
      </c>
      <c r="M38" s="134">
        <f t="shared" si="25"/>
        <v>3151424.6680000005</v>
      </c>
      <c r="N38" s="134">
        <f t="shared" si="25"/>
        <v>3245967.4080400001</v>
      </c>
      <c r="O38" s="134">
        <f t="shared" si="25"/>
        <v>3343346.4302812</v>
      </c>
      <c r="P38" s="134">
        <f t="shared" si="25"/>
        <v>3443646.8231896358</v>
      </c>
      <c r="Q38" s="134">
        <f t="shared" si="25"/>
        <v>3546956.2278853254</v>
      </c>
      <c r="R38" s="134">
        <f t="shared" si="25"/>
        <v>3653364.9147218848</v>
      </c>
    </row>
    <row r="40" spans="1:18">
      <c r="A40" s="126" t="s">
        <v>1</v>
      </c>
      <c r="B40" s="127" t="s">
        <v>242</v>
      </c>
      <c r="C40" s="127" t="s">
        <v>233</v>
      </c>
      <c r="D40" s="127" t="s">
        <v>234</v>
      </c>
      <c r="E40" s="127" t="s">
        <v>235</v>
      </c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</row>
    <row r="41" spans="1:18">
      <c r="B41" s="73" t="s">
        <v>243</v>
      </c>
      <c r="C41" s="128">
        <v>50000</v>
      </c>
      <c r="D41" s="129">
        <v>0.03</v>
      </c>
      <c r="E41" s="130">
        <v>2025</v>
      </c>
      <c r="I41" s="49">
        <f>+C41</f>
        <v>50000</v>
      </c>
      <c r="J41" s="49">
        <f>+I41*(1+$D41)</f>
        <v>51500</v>
      </c>
      <c r="K41" s="49">
        <f t="shared" ref="K41:R41" si="26">+J41*(1+$D$23)</f>
        <v>53045</v>
      </c>
      <c r="L41" s="49">
        <f t="shared" si="26"/>
        <v>54636.35</v>
      </c>
      <c r="M41" s="49">
        <f t="shared" si="26"/>
        <v>56275.440499999997</v>
      </c>
      <c r="N41" s="49">
        <f t="shared" si="26"/>
        <v>57963.703714999996</v>
      </c>
      <c r="O41" s="49">
        <f t="shared" si="26"/>
        <v>59702.614826450001</v>
      </c>
      <c r="P41" s="49">
        <f t="shared" si="26"/>
        <v>61493.693271243501</v>
      </c>
      <c r="Q41" s="49">
        <f t="shared" si="26"/>
        <v>63338.504069380804</v>
      </c>
      <c r="R41" s="49">
        <f t="shared" si="26"/>
        <v>65238.659191462233</v>
      </c>
    </row>
    <row r="42" spans="1:18">
      <c r="B42" s="73" t="s">
        <v>244</v>
      </c>
      <c r="C42" s="128">
        <v>10000</v>
      </c>
      <c r="D42" s="129">
        <v>0.03</v>
      </c>
      <c r="E42" s="130">
        <v>2025</v>
      </c>
      <c r="I42" s="49">
        <f t="shared" ref="I42:I44" si="27">+C42</f>
        <v>10000</v>
      </c>
      <c r="J42" s="49">
        <f>+I42*(1+$D42)</f>
        <v>10300</v>
      </c>
      <c r="K42" s="49">
        <f t="shared" ref="K42:R42" si="28">+J42*(1+$D42)</f>
        <v>10609</v>
      </c>
      <c r="L42" s="49">
        <f t="shared" si="28"/>
        <v>10927.27</v>
      </c>
      <c r="M42" s="49">
        <f t="shared" si="28"/>
        <v>11255.088100000001</v>
      </c>
      <c r="N42" s="49">
        <f t="shared" si="28"/>
        <v>11592.740743</v>
      </c>
      <c r="O42" s="49">
        <f t="shared" si="28"/>
        <v>11940.52296529</v>
      </c>
      <c r="P42" s="49">
        <f t="shared" si="28"/>
        <v>12298.7386542487</v>
      </c>
      <c r="Q42" s="49">
        <f t="shared" si="28"/>
        <v>12667.700813876161</v>
      </c>
      <c r="R42" s="49">
        <f t="shared" si="28"/>
        <v>13047.731838292446</v>
      </c>
    </row>
    <row r="43" spans="1:18">
      <c r="B43" s="73" t="s">
        <v>232</v>
      </c>
      <c r="C43" s="131"/>
      <c r="D43" s="130"/>
      <c r="E43" s="130"/>
      <c r="I43" s="49">
        <f t="shared" si="27"/>
        <v>0</v>
      </c>
      <c r="J43" s="49">
        <f t="shared" ref="J43:R43" si="29">+I43*(1+$D43)</f>
        <v>0</v>
      </c>
      <c r="K43" s="49">
        <f t="shared" si="29"/>
        <v>0</v>
      </c>
      <c r="L43" s="49">
        <f t="shared" si="29"/>
        <v>0</v>
      </c>
      <c r="M43" s="49">
        <f t="shared" si="29"/>
        <v>0</v>
      </c>
      <c r="N43" s="49">
        <f t="shared" si="29"/>
        <v>0</v>
      </c>
      <c r="O43" s="49">
        <f t="shared" si="29"/>
        <v>0</v>
      </c>
      <c r="P43" s="49">
        <f t="shared" si="29"/>
        <v>0</v>
      </c>
      <c r="Q43" s="49">
        <f t="shared" si="29"/>
        <v>0</v>
      </c>
      <c r="R43" s="49">
        <f t="shared" si="29"/>
        <v>0</v>
      </c>
    </row>
    <row r="44" spans="1:18">
      <c r="B44" s="73" t="s">
        <v>232</v>
      </c>
      <c r="C44" s="132"/>
      <c r="D44" s="132"/>
      <c r="E44" s="132"/>
      <c r="I44" s="49">
        <f t="shared" si="27"/>
        <v>0</v>
      </c>
      <c r="J44" s="49">
        <f t="shared" ref="J44:R44" si="30">+I44*(1+$D44)</f>
        <v>0</v>
      </c>
      <c r="K44" s="49">
        <f t="shared" si="30"/>
        <v>0</v>
      </c>
      <c r="L44" s="49">
        <f t="shared" si="30"/>
        <v>0</v>
      </c>
      <c r="M44" s="49">
        <f t="shared" si="30"/>
        <v>0</v>
      </c>
      <c r="N44" s="49">
        <f t="shared" si="30"/>
        <v>0</v>
      </c>
      <c r="O44" s="49">
        <f t="shared" si="30"/>
        <v>0</v>
      </c>
      <c r="P44" s="49">
        <f t="shared" si="30"/>
        <v>0</v>
      </c>
      <c r="Q44" s="49">
        <f t="shared" si="30"/>
        <v>0</v>
      </c>
      <c r="R44" s="49">
        <f t="shared" si="30"/>
        <v>0</v>
      </c>
    </row>
    <row r="45" spans="1:18" s="5" customFormat="1">
      <c r="B45" s="125" t="s">
        <v>254</v>
      </c>
      <c r="C45" s="6"/>
      <c r="D45" s="6"/>
      <c r="E45" s="6"/>
      <c r="F45" s="6"/>
      <c r="G45" s="6"/>
      <c r="H45" s="6"/>
      <c r="I45" s="134">
        <f t="shared" ref="I45:R45" si="31">SUM(I41:I44)</f>
        <v>60000</v>
      </c>
      <c r="J45" s="134">
        <f t="shared" si="31"/>
        <v>61800</v>
      </c>
      <c r="K45" s="134">
        <f t="shared" si="31"/>
        <v>63654</v>
      </c>
      <c r="L45" s="134">
        <f t="shared" si="31"/>
        <v>65563.62</v>
      </c>
      <c r="M45" s="134">
        <f t="shared" si="31"/>
        <v>67530.528599999991</v>
      </c>
      <c r="N45" s="134">
        <f t="shared" si="31"/>
        <v>69556.444457999998</v>
      </c>
      <c r="O45" s="134">
        <f t="shared" si="31"/>
        <v>71643.137791739995</v>
      </c>
      <c r="P45" s="134">
        <f t="shared" si="31"/>
        <v>73792.431925492201</v>
      </c>
      <c r="Q45" s="134">
        <f t="shared" si="31"/>
        <v>76006.204883256971</v>
      </c>
      <c r="R45" s="134">
        <f t="shared" si="31"/>
        <v>78286.391029754683</v>
      </c>
    </row>
    <row r="47" spans="1:18">
      <c r="A47" s="126" t="s">
        <v>1</v>
      </c>
      <c r="B47" s="127" t="s">
        <v>245</v>
      </c>
      <c r="C47" s="127" t="s">
        <v>233</v>
      </c>
      <c r="D47" s="127" t="s">
        <v>234</v>
      </c>
      <c r="E47" s="127" t="s">
        <v>235</v>
      </c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</row>
    <row r="48" spans="1:18">
      <c r="B48" s="73" t="s">
        <v>246</v>
      </c>
      <c r="C48" s="128">
        <v>10000</v>
      </c>
      <c r="D48" s="129">
        <v>0.03</v>
      </c>
      <c r="E48" s="130">
        <v>2025</v>
      </c>
      <c r="I48" s="49">
        <f>+C48</f>
        <v>10000</v>
      </c>
      <c r="J48" s="49">
        <f>+I48*(1+$D48)</f>
        <v>10300</v>
      </c>
      <c r="K48" s="49">
        <f t="shared" ref="K48:R48" si="32">+J48*(1+$D$23)</f>
        <v>10609</v>
      </c>
      <c r="L48" s="49">
        <f t="shared" si="32"/>
        <v>10927.27</v>
      </c>
      <c r="M48" s="49">
        <f t="shared" si="32"/>
        <v>11255.088100000001</v>
      </c>
      <c r="N48" s="49">
        <f t="shared" si="32"/>
        <v>11592.740743</v>
      </c>
      <c r="O48" s="49">
        <f t="shared" si="32"/>
        <v>11940.52296529</v>
      </c>
      <c r="P48" s="49">
        <f t="shared" si="32"/>
        <v>12298.7386542487</v>
      </c>
      <c r="Q48" s="49">
        <f t="shared" si="32"/>
        <v>12667.700813876161</v>
      </c>
      <c r="R48" s="49">
        <f t="shared" si="32"/>
        <v>13047.731838292446</v>
      </c>
    </row>
    <row r="49" spans="1:18">
      <c r="B49" s="73" t="s">
        <v>247</v>
      </c>
      <c r="C49" s="128">
        <v>50000</v>
      </c>
      <c r="D49" s="129">
        <v>0.03</v>
      </c>
      <c r="E49" s="130">
        <v>2025</v>
      </c>
      <c r="I49" s="49">
        <f t="shared" ref="I49:I51" si="33">+C49</f>
        <v>50000</v>
      </c>
      <c r="J49" s="49">
        <f>+I49*(1+$D49)</f>
        <v>51500</v>
      </c>
      <c r="K49" s="49">
        <f t="shared" ref="K49:R49" si="34">+J49*(1+$D49)</f>
        <v>53045</v>
      </c>
      <c r="L49" s="49">
        <f t="shared" si="34"/>
        <v>54636.35</v>
      </c>
      <c r="M49" s="49">
        <f t="shared" si="34"/>
        <v>56275.440499999997</v>
      </c>
      <c r="N49" s="49">
        <f t="shared" si="34"/>
        <v>57963.703714999996</v>
      </c>
      <c r="O49" s="49">
        <f t="shared" si="34"/>
        <v>59702.614826450001</v>
      </c>
      <c r="P49" s="49">
        <f t="shared" si="34"/>
        <v>61493.693271243501</v>
      </c>
      <c r="Q49" s="49">
        <f t="shared" si="34"/>
        <v>63338.504069380804</v>
      </c>
      <c r="R49" s="49">
        <f t="shared" si="34"/>
        <v>65238.659191462233</v>
      </c>
    </row>
    <row r="50" spans="1:18">
      <c r="B50" s="73" t="s">
        <v>248</v>
      </c>
      <c r="C50" s="128">
        <v>5000</v>
      </c>
      <c r="D50" s="129">
        <v>0.03</v>
      </c>
      <c r="E50" s="130">
        <v>2025</v>
      </c>
      <c r="I50" s="49">
        <f t="shared" si="33"/>
        <v>5000</v>
      </c>
      <c r="J50" s="49">
        <f t="shared" ref="J50:R52" si="35">+I50*(1+$D50)</f>
        <v>5150</v>
      </c>
      <c r="K50" s="49">
        <f t="shared" si="35"/>
        <v>5304.5</v>
      </c>
      <c r="L50" s="49">
        <f t="shared" si="35"/>
        <v>5463.6350000000002</v>
      </c>
      <c r="M50" s="49">
        <f t="shared" si="35"/>
        <v>5627.5440500000004</v>
      </c>
      <c r="N50" s="49">
        <f t="shared" si="35"/>
        <v>5796.3703715000001</v>
      </c>
      <c r="O50" s="49">
        <f t="shared" si="35"/>
        <v>5970.2614826449999</v>
      </c>
      <c r="P50" s="49">
        <f t="shared" si="35"/>
        <v>6149.3693271243501</v>
      </c>
      <c r="Q50" s="49">
        <f t="shared" si="35"/>
        <v>6333.8504069380806</v>
      </c>
      <c r="R50" s="49">
        <f t="shared" si="35"/>
        <v>6523.865919146223</v>
      </c>
    </row>
    <row r="51" spans="1:18">
      <c r="B51" s="73" t="s">
        <v>249</v>
      </c>
      <c r="C51" s="128">
        <v>5000</v>
      </c>
      <c r="D51" s="129">
        <v>0.03</v>
      </c>
      <c r="E51" s="130">
        <v>2025</v>
      </c>
      <c r="I51" s="49">
        <f t="shared" si="33"/>
        <v>5000</v>
      </c>
      <c r="J51" s="49">
        <f t="shared" ref="J51:R51" si="36">+I51*(1+$D51)</f>
        <v>5150</v>
      </c>
      <c r="K51" s="49">
        <f t="shared" si="36"/>
        <v>5304.5</v>
      </c>
      <c r="L51" s="49">
        <f t="shared" si="36"/>
        <v>5463.6350000000002</v>
      </c>
      <c r="M51" s="49">
        <f t="shared" si="36"/>
        <v>5627.5440500000004</v>
      </c>
      <c r="N51" s="49">
        <f t="shared" si="36"/>
        <v>5796.3703715000001</v>
      </c>
      <c r="O51" s="49">
        <f t="shared" si="36"/>
        <v>5970.2614826449999</v>
      </c>
      <c r="P51" s="49">
        <f t="shared" si="36"/>
        <v>6149.3693271243501</v>
      </c>
      <c r="Q51" s="49">
        <f t="shared" si="36"/>
        <v>6333.8504069380806</v>
      </c>
      <c r="R51" s="49">
        <f t="shared" si="36"/>
        <v>6523.865919146223</v>
      </c>
    </row>
    <row r="52" spans="1:18">
      <c r="B52" s="73" t="s">
        <v>250</v>
      </c>
      <c r="C52" s="128">
        <v>30000</v>
      </c>
      <c r="D52" s="129">
        <v>0.03</v>
      </c>
      <c r="E52" s="130">
        <v>2025</v>
      </c>
      <c r="I52" s="49">
        <f t="shared" ref="I52" si="37">+C52</f>
        <v>30000</v>
      </c>
      <c r="J52" s="49">
        <f t="shared" si="35"/>
        <v>30900</v>
      </c>
      <c r="K52" s="49">
        <f t="shared" si="35"/>
        <v>31827</v>
      </c>
      <c r="L52" s="49">
        <f t="shared" si="35"/>
        <v>32781.81</v>
      </c>
      <c r="M52" s="49">
        <f t="shared" si="35"/>
        <v>33765.264299999995</v>
      </c>
      <c r="N52" s="49">
        <f t="shared" si="35"/>
        <v>34778.222228999999</v>
      </c>
      <c r="O52" s="49">
        <f t="shared" si="35"/>
        <v>35821.568895869998</v>
      </c>
      <c r="P52" s="49">
        <f t="shared" si="35"/>
        <v>36896.215962746101</v>
      </c>
      <c r="Q52" s="49">
        <f t="shared" si="35"/>
        <v>38003.102441628485</v>
      </c>
      <c r="R52" s="49">
        <f t="shared" si="35"/>
        <v>39143.195514877341</v>
      </c>
    </row>
    <row r="53" spans="1:18">
      <c r="B53" s="73" t="s">
        <v>232</v>
      </c>
      <c r="C53" s="132"/>
      <c r="D53" s="132"/>
      <c r="E53" s="132"/>
      <c r="I53" s="49">
        <f t="shared" ref="I53:I54" si="38">+C53</f>
        <v>0</v>
      </c>
      <c r="J53" s="49">
        <f t="shared" ref="J53:R54" si="39">+I53*(1+$D53)</f>
        <v>0</v>
      </c>
      <c r="K53" s="49">
        <f t="shared" si="39"/>
        <v>0</v>
      </c>
      <c r="L53" s="49">
        <f t="shared" si="39"/>
        <v>0</v>
      </c>
      <c r="M53" s="49">
        <f t="shared" si="39"/>
        <v>0</v>
      </c>
      <c r="N53" s="49">
        <f t="shared" si="39"/>
        <v>0</v>
      </c>
      <c r="O53" s="49">
        <f t="shared" si="39"/>
        <v>0</v>
      </c>
      <c r="P53" s="49">
        <f t="shared" si="39"/>
        <v>0</v>
      </c>
      <c r="Q53" s="49">
        <f t="shared" si="39"/>
        <v>0</v>
      </c>
      <c r="R53" s="49">
        <f t="shared" si="39"/>
        <v>0</v>
      </c>
    </row>
    <row r="54" spans="1:18">
      <c r="B54" s="73" t="s">
        <v>232</v>
      </c>
      <c r="C54" s="132"/>
      <c r="D54" s="132"/>
      <c r="E54" s="132"/>
      <c r="I54" s="49">
        <f t="shared" si="38"/>
        <v>0</v>
      </c>
      <c r="J54" s="49">
        <f t="shared" si="39"/>
        <v>0</v>
      </c>
      <c r="K54" s="49">
        <f t="shared" si="39"/>
        <v>0</v>
      </c>
      <c r="L54" s="49">
        <f t="shared" si="39"/>
        <v>0</v>
      </c>
      <c r="M54" s="49">
        <f t="shared" si="39"/>
        <v>0</v>
      </c>
      <c r="N54" s="49">
        <f t="shared" si="39"/>
        <v>0</v>
      </c>
      <c r="O54" s="49">
        <f t="shared" si="39"/>
        <v>0</v>
      </c>
      <c r="P54" s="49">
        <f t="shared" si="39"/>
        <v>0</v>
      </c>
      <c r="Q54" s="49">
        <f t="shared" si="39"/>
        <v>0</v>
      </c>
      <c r="R54" s="49">
        <f t="shared" si="39"/>
        <v>0</v>
      </c>
    </row>
    <row r="55" spans="1:18" s="5" customFormat="1">
      <c r="B55" s="125" t="s">
        <v>255</v>
      </c>
      <c r="C55" s="6"/>
      <c r="D55" s="6"/>
      <c r="E55" s="6"/>
      <c r="F55" s="6"/>
      <c r="G55" s="6"/>
      <c r="H55" s="6"/>
      <c r="I55" s="134">
        <f t="shared" ref="I55:R55" si="40">SUM(I48:I54)</f>
        <v>100000</v>
      </c>
      <c r="J55" s="134">
        <f t="shared" si="40"/>
        <v>103000</v>
      </c>
      <c r="K55" s="134">
        <f t="shared" si="40"/>
        <v>106090</v>
      </c>
      <c r="L55" s="134">
        <f t="shared" si="40"/>
        <v>109272.69999999998</v>
      </c>
      <c r="M55" s="134">
        <f t="shared" si="40"/>
        <v>112550.88099999998</v>
      </c>
      <c r="N55" s="134">
        <f t="shared" si="40"/>
        <v>115927.40742999999</v>
      </c>
      <c r="O55" s="134">
        <f t="shared" si="40"/>
        <v>119405.22965289999</v>
      </c>
      <c r="P55" s="134">
        <f t="shared" si="40"/>
        <v>122987.38654248702</v>
      </c>
      <c r="Q55" s="134">
        <f t="shared" si="40"/>
        <v>126677.00813876162</v>
      </c>
      <c r="R55" s="134">
        <f t="shared" si="40"/>
        <v>130477.31838292447</v>
      </c>
    </row>
    <row r="57" spans="1:18">
      <c r="A57" s="126" t="s">
        <v>1</v>
      </c>
      <c r="B57" s="127" t="s">
        <v>251</v>
      </c>
      <c r="C57" s="127" t="s">
        <v>233</v>
      </c>
      <c r="D57" s="127" t="s">
        <v>234</v>
      </c>
      <c r="E57" s="127" t="s">
        <v>235</v>
      </c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</row>
    <row r="58" spans="1:18">
      <c r="B58" s="73" t="s">
        <v>252</v>
      </c>
      <c r="C58" s="128">
        <v>10000000</v>
      </c>
      <c r="D58" s="129">
        <v>0.03</v>
      </c>
      <c r="E58" s="130">
        <v>2026</v>
      </c>
      <c r="I58" s="49">
        <v>0</v>
      </c>
      <c r="J58" s="49">
        <f>+C58</f>
        <v>10000000</v>
      </c>
      <c r="K58" s="49">
        <f>+J58*(1+$D58)</f>
        <v>10300000</v>
      </c>
      <c r="L58" s="49">
        <f t="shared" ref="L58:R59" si="41">+K58*(1+$D58)</f>
        <v>10609000</v>
      </c>
      <c r="M58" s="49">
        <f t="shared" si="41"/>
        <v>10927270</v>
      </c>
      <c r="N58" s="49">
        <f t="shared" si="41"/>
        <v>11255088.1</v>
      </c>
      <c r="O58" s="49">
        <f t="shared" si="41"/>
        <v>11592740.743000001</v>
      </c>
      <c r="P58" s="49">
        <f t="shared" si="41"/>
        <v>11940522.965290001</v>
      </c>
      <c r="Q58" s="49">
        <f t="shared" si="41"/>
        <v>12298738.654248701</v>
      </c>
      <c r="R58" s="49">
        <f t="shared" si="41"/>
        <v>12667700.813876163</v>
      </c>
    </row>
    <row r="59" spans="1:18">
      <c r="B59" s="73" t="s">
        <v>253</v>
      </c>
      <c r="C59" s="128">
        <v>20000</v>
      </c>
      <c r="D59" s="129">
        <v>0.03</v>
      </c>
      <c r="E59" s="130">
        <v>2027</v>
      </c>
      <c r="I59" s="49">
        <v>0</v>
      </c>
      <c r="J59" s="49">
        <v>0</v>
      </c>
      <c r="K59" s="49">
        <f>+C59</f>
        <v>20000</v>
      </c>
      <c r="L59" s="49">
        <f t="shared" si="41"/>
        <v>20600</v>
      </c>
      <c r="M59" s="49">
        <f t="shared" ref="M59:R59" si="42">+L59*(1+$D59)</f>
        <v>21218</v>
      </c>
      <c r="N59" s="49">
        <f t="shared" si="42"/>
        <v>21854.54</v>
      </c>
      <c r="O59" s="49">
        <f t="shared" si="42"/>
        <v>22510.176200000002</v>
      </c>
      <c r="P59" s="49">
        <f t="shared" si="42"/>
        <v>23185.481486000001</v>
      </c>
      <c r="Q59" s="49">
        <f t="shared" si="42"/>
        <v>23881.04593058</v>
      </c>
      <c r="R59" s="49">
        <f t="shared" si="42"/>
        <v>24597.4773084974</v>
      </c>
    </row>
    <row r="60" spans="1:18">
      <c r="B60" s="73" t="s">
        <v>232</v>
      </c>
      <c r="C60" s="132"/>
      <c r="D60" s="132"/>
      <c r="E60" s="132"/>
      <c r="I60" s="49">
        <f t="shared" ref="I60:I61" si="43">+C60</f>
        <v>0</v>
      </c>
      <c r="J60" s="49">
        <f t="shared" ref="J60:R60" si="44">+I60*(1+$D60)</f>
        <v>0</v>
      </c>
      <c r="K60" s="49">
        <f t="shared" si="44"/>
        <v>0</v>
      </c>
      <c r="L60" s="49">
        <f t="shared" si="44"/>
        <v>0</v>
      </c>
      <c r="M60" s="49">
        <f t="shared" si="44"/>
        <v>0</v>
      </c>
      <c r="N60" s="49">
        <f t="shared" si="44"/>
        <v>0</v>
      </c>
      <c r="O60" s="49">
        <f t="shared" si="44"/>
        <v>0</v>
      </c>
      <c r="P60" s="49">
        <f t="shared" si="44"/>
        <v>0</v>
      </c>
      <c r="Q60" s="49">
        <f t="shared" si="44"/>
        <v>0</v>
      </c>
      <c r="R60" s="49">
        <f t="shared" si="44"/>
        <v>0</v>
      </c>
    </row>
    <row r="61" spans="1:18">
      <c r="B61" s="73" t="s">
        <v>232</v>
      </c>
      <c r="C61" s="132"/>
      <c r="D61" s="132"/>
      <c r="E61" s="132"/>
      <c r="I61" s="49">
        <f t="shared" si="43"/>
        <v>0</v>
      </c>
      <c r="J61" s="49">
        <f t="shared" ref="J61:R61" si="45">+I61*(1+$D61)</f>
        <v>0</v>
      </c>
      <c r="K61" s="49">
        <f t="shared" si="45"/>
        <v>0</v>
      </c>
      <c r="L61" s="49">
        <f t="shared" si="45"/>
        <v>0</v>
      </c>
      <c r="M61" s="49">
        <f t="shared" si="45"/>
        <v>0</v>
      </c>
      <c r="N61" s="49">
        <f t="shared" si="45"/>
        <v>0</v>
      </c>
      <c r="O61" s="49">
        <f t="shared" si="45"/>
        <v>0</v>
      </c>
      <c r="P61" s="49">
        <f t="shared" si="45"/>
        <v>0</v>
      </c>
      <c r="Q61" s="49">
        <f t="shared" si="45"/>
        <v>0</v>
      </c>
      <c r="R61" s="49">
        <f t="shared" si="45"/>
        <v>0</v>
      </c>
    </row>
    <row r="62" spans="1:18" s="5" customFormat="1">
      <c r="B62" s="125" t="s">
        <v>256</v>
      </c>
      <c r="C62" s="6"/>
      <c r="D62" s="6"/>
      <c r="E62" s="6"/>
      <c r="F62" s="6"/>
      <c r="G62" s="6"/>
      <c r="H62" s="6"/>
      <c r="I62" s="75">
        <f t="shared" ref="I62:R62" si="46">SUM(I58:I61)</f>
        <v>0</v>
      </c>
      <c r="J62" s="75">
        <f t="shared" si="46"/>
        <v>10000000</v>
      </c>
      <c r="K62" s="75">
        <f t="shared" si="46"/>
        <v>10320000</v>
      </c>
      <c r="L62" s="75">
        <f t="shared" si="46"/>
        <v>10629600</v>
      </c>
      <c r="M62" s="75">
        <f t="shared" si="46"/>
        <v>10948488</v>
      </c>
      <c r="N62" s="75">
        <f t="shared" si="46"/>
        <v>11276942.639999999</v>
      </c>
      <c r="O62" s="75">
        <f t="shared" si="46"/>
        <v>11615250.919200001</v>
      </c>
      <c r="P62" s="75">
        <f t="shared" si="46"/>
        <v>11963708.446776001</v>
      </c>
      <c r="Q62" s="75">
        <f t="shared" si="46"/>
        <v>12322619.700179281</v>
      </c>
      <c r="R62" s="75">
        <f t="shared" si="46"/>
        <v>12692298.29118466</v>
      </c>
    </row>
    <row r="64" spans="1:18">
      <c r="A64" s="126" t="s">
        <v>1</v>
      </c>
      <c r="B64" s="127" t="s">
        <v>257</v>
      </c>
      <c r="C64" s="127" t="s">
        <v>233</v>
      </c>
      <c r="D64" s="127" t="s">
        <v>234</v>
      </c>
      <c r="E64" s="127" t="s">
        <v>235</v>
      </c>
      <c r="F64" s="126"/>
      <c r="G64" s="126"/>
      <c r="H64" s="126"/>
      <c r="I64" s="126"/>
      <c r="J64" s="126"/>
      <c r="K64" s="126"/>
      <c r="L64" s="126"/>
      <c r="M64" s="126"/>
      <c r="N64" s="126"/>
      <c r="O64" s="126"/>
      <c r="P64" s="126"/>
      <c r="Q64" s="126"/>
      <c r="R64" s="126"/>
    </row>
    <row r="65" spans="1:18">
      <c r="B65" s="73" t="s">
        <v>253</v>
      </c>
      <c r="C65" s="128">
        <v>10000</v>
      </c>
      <c r="D65" s="129">
        <v>0.03</v>
      </c>
      <c r="E65" s="130">
        <v>2025</v>
      </c>
      <c r="I65" s="49">
        <f>+C65</f>
        <v>10000</v>
      </c>
      <c r="J65" s="49">
        <f>+I65*(1+$D65)</f>
        <v>10300</v>
      </c>
      <c r="K65" s="49">
        <f t="shared" ref="K65:R66" si="47">+J65*(1+$D$23)</f>
        <v>10609</v>
      </c>
      <c r="L65" s="49">
        <f t="shared" si="47"/>
        <v>10927.27</v>
      </c>
      <c r="M65" s="49">
        <f t="shared" si="47"/>
        <v>11255.088100000001</v>
      </c>
      <c r="N65" s="49">
        <f t="shared" si="47"/>
        <v>11592.740743</v>
      </c>
      <c r="O65" s="49">
        <f t="shared" si="47"/>
        <v>11940.52296529</v>
      </c>
      <c r="P65" s="49">
        <f t="shared" si="47"/>
        <v>12298.7386542487</v>
      </c>
      <c r="Q65" s="49">
        <f t="shared" si="47"/>
        <v>12667.700813876161</v>
      </c>
      <c r="R65" s="49">
        <f t="shared" si="47"/>
        <v>13047.731838292446</v>
      </c>
    </row>
    <row r="66" spans="1:18">
      <c r="B66" s="73" t="s">
        <v>59</v>
      </c>
      <c r="C66" s="128">
        <v>20000</v>
      </c>
      <c r="D66" s="129">
        <v>0.03</v>
      </c>
      <c r="E66" s="130">
        <v>2025</v>
      </c>
      <c r="I66" s="49">
        <f>+C66</f>
        <v>20000</v>
      </c>
      <c r="J66" s="49">
        <f>+I66*(1+$D66)</f>
        <v>20600</v>
      </c>
      <c r="K66" s="49">
        <f t="shared" si="47"/>
        <v>21218</v>
      </c>
      <c r="L66" s="49">
        <f t="shared" si="47"/>
        <v>21854.54</v>
      </c>
      <c r="M66" s="49">
        <f t="shared" si="47"/>
        <v>22510.176200000002</v>
      </c>
      <c r="N66" s="49">
        <f t="shared" si="47"/>
        <v>23185.481486000001</v>
      </c>
      <c r="O66" s="49">
        <f t="shared" si="47"/>
        <v>23881.04593058</v>
      </c>
      <c r="P66" s="49">
        <f t="shared" si="47"/>
        <v>24597.4773084974</v>
      </c>
      <c r="Q66" s="49">
        <f t="shared" si="47"/>
        <v>25335.401627752322</v>
      </c>
      <c r="R66" s="49">
        <f t="shared" si="47"/>
        <v>26095.463676584892</v>
      </c>
    </row>
    <row r="67" spans="1:18">
      <c r="B67" s="73" t="s">
        <v>232</v>
      </c>
      <c r="C67" s="132"/>
      <c r="D67" s="132"/>
      <c r="E67" s="132"/>
      <c r="I67" s="49">
        <f t="shared" ref="I67:I68" si="48">+C67</f>
        <v>0</v>
      </c>
      <c r="J67" s="49">
        <f t="shared" ref="J67:R67" si="49">+I67*(1+$D67)</f>
        <v>0</v>
      </c>
      <c r="K67" s="49">
        <f t="shared" si="49"/>
        <v>0</v>
      </c>
      <c r="L67" s="49">
        <f t="shared" si="49"/>
        <v>0</v>
      </c>
      <c r="M67" s="49">
        <f t="shared" si="49"/>
        <v>0</v>
      </c>
      <c r="N67" s="49">
        <f t="shared" si="49"/>
        <v>0</v>
      </c>
      <c r="O67" s="49">
        <f t="shared" si="49"/>
        <v>0</v>
      </c>
      <c r="P67" s="49">
        <f t="shared" si="49"/>
        <v>0</v>
      </c>
      <c r="Q67" s="49">
        <f t="shared" si="49"/>
        <v>0</v>
      </c>
      <c r="R67" s="49">
        <f t="shared" si="49"/>
        <v>0</v>
      </c>
    </row>
    <row r="68" spans="1:18">
      <c r="B68" s="73" t="s">
        <v>232</v>
      </c>
      <c r="C68" s="132"/>
      <c r="D68" s="132"/>
      <c r="E68" s="132"/>
      <c r="I68" s="49">
        <f t="shared" si="48"/>
        <v>0</v>
      </c>
      <c r="J68" s="49">
        <f t="shared" ref="J68:R68" si="50">+I68*(1+$D68)</f>
        <v>0</v>
      </c>
      <c r="K68" s="49">
        <f t="shared" si="50"/>
        <v>0</v>
      </c>
      <c r="L68" s="49">
        <f t="shared" si="50"/>
        <v>0</v>
      </c>
      <c r="M68" s="49">
        <f t="shared" si="50"/>
        <v>0</v>
      </c>
      <c r="N68" s="49">
        <f t="shared" si="50"/>
        <v>0</v>
      </c>
      <c r="O68" s="49">
        <f t="shared" si="50"/>
        <v>0</v>
      </c>
      <c r="P68" s="49">
        <f t="shared" si="50"/>
        <v>0</v>
      </c>
      <c r="Q68" s="49">
        <f t="shared" si="50"/>
        <v>0</v>
      </c>
      <c r="R68" s="49">
        <f t="shared" si="50"/>
        <v>0</v>
      </c>
    </row>
    <row r="69" spans="1:18" s="5" customFormat="1">
      <c r="B69" s="125" t="s">
        <v>261</v>
      </c>
      <c r="C69" s="6"/>
      <c r="D69" s="6"/>
      <c r="E69" s="6"/>
      <c r="F69" s="6"/>
      <c r="G69" s="6"/>
      <c r="H69" s="6"/>
      <c r="I69" s="75">
        <f t="shared" ref="I69:R69" si="51">SUM(I65:I68)</f>
        <v>30000</v>
      </c>
      <c r="J69" s="75">
        <f t="shared" si="51"/>
        <v>30900</v>
      </c>
      <c r="K69" s="75">
        <f t="shared" si="51"/>
        <v>31827</v>
      </c>
      <c r="L69" s="75">
        <f t="shared" si="51"/>
        <v>32781.81</v>
      </c>
      <c r="M69" s="75">
        <f t="shared" si="51"/>
        <v>33765.264300000003</v>
      </c>
      <c r="N69" s="75">
        <f t="shared" si="51"/>
        <v>34778.222228999999</v>
      </c>
      <c r="O69" s="75">
        <f t="shared" si="51"/>
        <v>35821.568895869998</v>
      </c>
      <c r="P69" s="75">
        <f t="shared" si="51"/>
        <v>36896.215962746101</v>
      </c>
      <c r="Q69" s="75">
        <f t="shared" si="51"/>
        <v>38003.102441628485</v>
      </c>
      <c r="R69" s="75">
        <f t="shared" si="51"/>
        <v>39143.195514877341</v>
      </c>
    </row>
    <row r="71" spans="1:18">
      <c r="A71" s="126" t="s">
        <v>1</v>
      </c>
      <c r="B71" s="127" t="s">
        <v>258</v>
      </c>
      <c r="C71" s="127" t="s">
        <v>233</v>
      </c>
      <c r="D71" s="127" t="s">
        <v>234</v>
      </c>
      <c r="E71" s="127" t="s">
        <v>235</v>
      </c>
      <c r="F71" s="126"/>
      <c r="G71" s="126"/>
      <c r="H71" s="126"/>
      <c r="I71" s="126"/>
      <c r="J71" s="126"/>
      <c r="K71" s="126"/>
      <c r="L71" s="126"/>
      <c r="M71" s="126"/>
      <c r="N71" s="126"/>
      <c r="O71" s="126"/>
      <c r="P71" s="126"/>
      <c r="Q71" s="126"/>
      <c r="R71" s="126"/>
    </row>
    <row r="72" spans="1:18">
      <c r="B72" s="73" t="s">
        <v>259</v>
      </c>
      <c r="C72" s="128">
        <v>200000</v>
      </c>
      <c r="D72" s="129">
        <v>0.03</v>
      </c>
      <c r="E72" s="130">
        <v>2025</v>
      </c>
      <c r="I72" s="49">
        <f>+C72</f>
        <v>200000</v>
      </c>
      <c r="J72" s="49">
        <f>+I72*(1+$D72)</f>
        <v>206000</v>
      </c>
      <c r="K72" s="49">
        <f t="shared" ref="K72:R72" si="52">+J72*(1+$D$23)</f>
        <v>212180</v>
      </c>
      <c r="L72" s="49">
        <f t="shared" si="52"/>
        <v>218545.4</v>
      </c>
      <c r="M72" s="49">
        <f t="shared" si="52"/>
        <v>225101.76199999999</v>
      </c>
      <c r="N72" s="49">
        <f t="shared" si="52"/>
        <v>231854.81485999998</v>
      </c>
      <c r="O72" s="49">
        <f t="shared" si="52"/>
        <v>238810.4593058</v>
      </c>
      <c r="P72" s="49">
        <f t="shared" si="52"/>
        <v>245974.773084974</v>
      </c>
      <c r="Q72" s="49">
        <f t="shared" si="52"/>
        <v>253354.01627752322</v>
      </c>
      <c r="R72" s="49">
        <f t="shared" si="52"/>
        <v>260954.63676584893</v>
      </c>
    </row>
    <row r="73" spans="1:18">
      <c r="B73" s="73" t="s">
        <v>260</v>
      </c>
      <c r="C73" s="128">
        <v>100000</v>
      </c>
      <c r="D73" s="129">
        <v>0.03</v>
      </c>
      <c r="E73" s="130">
        <v>2025</v>
      </c>
      <c r="I73" s="49">
        <f>+C73</f>
        <v>100000</v>
      </c>
      <c r="J73" s="49">
        <f>+I73*(1+$D73)</f>
        <v>103000</v>
      </c>
      <c r="K73" s="49">
        <f t="shared" ref="K73:R74" si="53">+J73*(1+$D$23)</f>
        <v>106090</v>
      </c>
      <c r="L73" s="49">
        <f t="shared" si="53"/>
        <v>109272.7</v>
      </c>
      <c r="M73" s="49">
        <f t="shared" si="53"/>
        <v>112550.88099999999</v>
      </c>
      <c r="N73" s="49">
        <f t="shared" si="53"/>
        <v>115927.40742999999</v>
      </c>
      <c r="O73" s="49">
        <f t="shared" si="53"/>
        <v>119405.2296529</v>
      </c>
      <c r="P73" s="49">
        <f t="shared" si="53"/>
        <v>122987.386542487</v>
      </c>
      <c r="Q73" s="49">
        <f t="shared" si="53"/>
        <v>126677.00813876161</v>
      </c>
      <c r="R73" s="49">
        <f t="shared" si="53"/>
        <v>130477.31838292447</v>
      </c>
    </row>
    <row r="74" spans="1:18">
      <c r="B74" s="73" t="s">
        <v>263</v>
      </c>
      <c r="C74" s="135">
        <v>20000</v>
      </c>
      <c r="D74" s="129">
        <v>0.03</v>
      </c>
      <c r="E74" s="130">
        <v>2025</v>
      </c>
      <c r="I74" s="49">
        <f>+C74</f>
        <v>20000</v>
      </c>
      <c r="J74" s="49">
        <f>+I74*(1+$D74)</f>
        <v>20600</v>
      </c>
      <c r="K74" s="49">
        <f t="shared" si="53"/>
        <v>21218</v>
      </c>
      <c r="L74" s="49">
        <f t="shared" si="53"/>
        <v>21854.54</v>
      </c>
      <c r="M74" s="49">
        <f t="shared" si="53"/>
        <v>22510.176200000002</v>
      </c>
      <c r="N74" s="49">
        <f t="shared" si="53"/>
        <v>23185.481486000001</v>
      </c>
      <c r="O74" s="49">
        <f t="shared" si="53"/>
        <v>23881.04593058</v>
      </c>
      <c r="P74" s="49">
        <f t="shared" si="53"/>
        <v>24597.4773084974</v>
      </c>
      <c r="Q74" s="49">
        <f t="shared" si="53"/>
        <v>25335.401627752322</v>
      </c>
      <c r="R74" s="49">
        <f t="shared" si="53"/>
        <v>26095.463676584892</v>
      </c>
    </row>
    <row r="75" spans="1:18">
      <c r="B75" s="73" t="s">
        <v>232</v>
      </c>
      <c r="C75" s="132"/>
      <c r="D75" s="132"/>
      <c r="E75" s="132"/>
      <c r="I75" s="49">
        <f t="shared" ref="I75:I76" si="54">+C75</f>
        <v>0</v>
      </c>
      <c r="J75" s="49">
        <f t="shared" ref="J75:R75" si="55">+I75*(1+$D75)</f>
        <v>0</v>
      </c>
      <c r="K75" s="49">
        <f t="shared" si="55"/>
        <v>0</v>
      </c>
      <c r="L75" s="49">
        <f t="shared" si="55"/>
        <v>0</v>
      </c>
      <c r="M75" s="49">
        <f t="shared" si="55"/>
        <v>0</v>
      </c>
      <c r="N75" s="49">
        <f t="shared" si="55"/>
        <v>0</v>
      </c>
      <c r="O75" s="49">
        <f t="shared" si="55"/>
        <v>0</v>
      </c>
      <c r="P75" s="49">
        <f t="shared" si="55"/>
        <v>0</v>
      </c>
      <c r="Q75" s="49">
        <f t="shared" si="55"/>
        <v>0</v>
      </c>
      <c r="R75" s="49">
        <f t="shared" si="55"/>
        <v>0</v>
      </c>
    </row>
    <row r="76" spans="1:18">
      <c r="B76" s="73" t="s">
        <v>232</v>
      </c>
      <c r="C76" s="132"/>
      <c r="D76" s="132"/>
      <c r="E76" s="132"/>
      <c r="I76" s="49">
        <f t="shared" si="54"/>
        <v>0</v>
      </c>
      <c r="J76" s="49">
        <f t="shared" ref="J76:R76" si="56">+I76*(1+$D76)</f>
        <v>0</v>
      </c>
      <c r="K76" s="49">
        <f t="shared" si="56"/>
        <v>0</v>
      </c>
      <c r="L76" s="49">
        <f t="shared" si="56"/>
        <v>0</v>
      </c>
      <c r="M76" s="49">
        <f t="shared" si="56"/>
        <v>0</v>
      </c>
      <c r="N76" s="49">
        <f t="shared" si="56"/>
        <v>0</v>
      </c>
      <c r="O76" s="49">
        <f t="shared" si="56"/>
        <v>0</v>
      </c>
      <c r="P76" s="49">
        <f t="shared" si="56"/>
        <v>0</v>
      </c>
      <c r="Q76" s="49">
        <f t="shared" si="56"/>
        <v>0</v>
      </c>
      <c r="R76" s="49">
        <f t="shared" si="56"/>
        <v>0</v>
      </c>
    </row>
    <row r="77" spans="1:18" s="5" customFormat="1">
      <c r="B77" s="125" t="s">
        <v>262</v>
      </c>
      <c r="C77" s="6"/>
      <c r="D77" s="6"/>
      <c r="E77" s="6"/>
      <c r="F77" s="6"/>
      <c r="G77" s="6"/>
      <c r="H77" s="6"/>
      <c r="I77" s="75">
        <f t="shared" ref="I77:R77" si="57">SUM(I72:I76)</f>
        <v>320000</v>
      </c>
      <c r="J77" s="75">
        <f t="shared" si="57"/>
        <v>329600</v>
      </c>
      <c r="K77" s="75">
        <f t="shared" si="57"/>
        <v>339488</v>
      </c>
      <c r="L77" s="75">
        <f t="shared" si="57"/>
        <v>349672.63999999996</v>
      </c>
      <c r="M77" s="75">
        <f t="shared" si="57"/>
        <v>360162.81919999997</v>
      </c>
      <c r="N77" s="75">
        <f t="shared" si="57"/>
        <v>370967.70377599995</v>
      </c>
      <c r="O77" s="75">
        <f t="shared" si="57"/>
        <v>382096.73488927999</v>
      </c>
      <c r="P77" s="75">
        <f t="shared" si="57"/>
        <v>393559.63693595841</v>
      </c>
      <c r="Q77" s="75">
        <f t="shared" si="57"/>
        <v>405366.42604403716</v>
      </c>
      <c r="R77" s="75">
        <f t="shared" si="57"/>
        <v>417527.41882535827</v>
      </c>
    </row>
    <row r="79" spans="1:18">
      <c r="A79" s="126" t="s">
        <v>1</v>
      </c>
      <c r="B79" s="127" t="s">
        <v>264</v>
      </c>
      <c r="C79" s="127" t="s">
        <v>233</v>
      </c>
      <c r="D79" s="127" t="s">
        <v>234</v>
      </c>
      <c r="E79" s="127" t="s">
        <v>235</v>
      </c>
      <c r="F79" s="126"/>
      <c r="G79" s="126"/>
      <c r="H79" s="126"/>
      <c r="I79" s="126"/>
      <c r="J79" s="126"/>
      <c r="K79" s="126"/>
      <c r="L79" s="126"/>
      <c r="M79" s="126"/>
      <c r="N79" s="126"/>
      <c r="O79" s="126"/>
      <c r="P79" s="126"/>
      <c r="Q79" s="126"/>
      <c r="R79" s="126"/>
    </row>
    <row r="80" spans="1:18">
      <c r="B80" s="73" t="s">
        <v>265</v>
      </c>
      <c r="C80" s="128">
        <v>0</v>
      </c>
      <c r="D80" s="129">
        <v>0.03</v>
      </c>
      <c r="E80" s="130">
        <v>2025</v>
      </c>
      <c r="I80" s="49">
        <f>+C80</f>
        <v>0</v>
      </c>
      <c r="J80" s="49">
        <f>+I80*(1+$D80)</f>
        <v>0</v>
      </c>
      <c r="K80" s="49">
        <f t="shared" ref="K80:R80" si="58">+J80*(1+$D$23)</f>
        <v>0</v>
      </c>
      <c r="L80" s="49">
        <f t="shared" si="58"/>
        <v>0</v>
      </c>
      <c r="M80" s="49">
        <f t="shared" si="58"/>
        <v>0</v>
      </c>
      <c r="N80" s="49">
        <f t="shared" si="58"/>
        <v>0</v>
      </c>
      <c r="O80" s="49">
        <f t="shared" si="58"/>
        <v>0</v>
      </c>
      <c r="P80" s="49">
        <f t="shared" si="58"/>
        <v>0</v>
      </c>
      <c r="Q80" s="49">
        <f t="shared" si="58"/>
        <v>0</v>
      </c>
      <c r="R80" s="49">
        <f t="shared" si="58"/>
        <v>0</v>
      </c>
    </row>
    <row r="81" spans="2:18">
      <c r="B81" s="73" t="s">
        <v>266</v>
      </c>
      <c r="C81" s="128">
        <v>3000000</v>
      </c>
      <c r="D81" s="129">
        <v>0.03</v>
      </c>
      <c r="E81" s="130">
        <v>2025</v>
      </c>
      <c r="I81" s="49">
        <f>+C81</f>
        <v>3000000</v>
      </c>
      <c r="J81" s="49">
        <f>+I81*(1+$D81)</f>
        <v>3090000</v>
      </c>
      <c r="K81" s="49">
        <f t="shared" ref="K81:R81" si="59">+J81*(1+$D$23)</f>
        <v>3182700</v>
      </c>
      <c r="L81" s="49">
        <f t="shared" si="59"/>
        <v>3278181</v>
      </c>
      <c r="M81" s="49">
        <f t="shared" si="59"/>
        <v>3376526.43</v>
      </c>
      <c r="N81" s="49">
        <f t="shared" si="59"/>
        <v>3477822.2229000004</v>
      </c>
      <c r="O81" s="49">
        <f t="shared" si="59"/>
        <v>3582156.8895870005</v>
      </c>
      <c r="P81" s="49">
        <f t="shared" si="59"/>
        <v>3689621.5962746106</v>
      </c>
      <c r="Q81" s="49">
        <f t="shared" si="59"/>
        <v>3800310.2441628492</v>
      </c>
      <c r="R81" s="49">
        <f t="shared" si="59"/>
        <v>3914319.5514877345</v>
      </c>
    </row>
    <row r="82" spans="2:18">
      <c r="B82" s="73" t="s">
        <v>267</v>
      </c>
      <c r="C82" s="135">
        <v>100000</v>
      </c>
      <c r="D82" s="129">
        <v>0.03</v>
      </c>
      <c r="E82" s="130">
        <v>2025</v>
      </c>
      <c r="I82" s="49">
        <f>+C82</f>
        <v>100000</v>
      </c>
      <c r="J82" s="49">
        <f>+I82*(1+$D82)</f>
        <v>103000</v>
      </c>
      <c r="K82" s="49">
        <f t="shared" ref="K82:R82" si="60">+J82*(1+$D$23)</f>
        <v>106090</v>
      </c>
      <c r="L82" s="49">
        <f t="shared" si="60"/>
        <v>109272.7</v>
      </c>
      <c r="M82" s="49">
        <f t="shared" si="60"/>
        <v>112550.88099999999</v>
      </c>
      <c r="N82" s="49">
        <f t="shared" si="60"/>
        <v>115927.40742999999</v>
      </c>
      <c r="O82" s="49">
        <f t="shared" si="60"/>
        <v>119405.2296529</v>
      </c>
      <c r="P82" s="49">
        <f t="shared" si="60"/>
        <v>122987.386542487</v>
      </c>
      <c r="Q82" s="49">
        <f t="shared" si="60"/>
        <v>126677.00813876161</v>
      </c>
      <c r="R82" s="49">
        <f t="shared" si="60"/>
        <v>130477.31838292447</v>
      </c>
    </row>
    <row r="83" spans="2:18">
      <c r="B83" s="73" t="s">
        <v>268</v>
      </c>
      <c r="C83" s="132">
        <v>300000</v>
      </c>
      <c r="D83" s="129">
        <v>0.03</v>
      </c>
      <c r="E83" s="130">
        <v>2025</v>
      </c>
      <c r="I83" s="49">
        <f t="shared" ref="I83:I84" si="61">+C83</f>
        <v>300000</v>
      </c>
      <c r="J83" s="49">
        <f t="shared" ref="J83:J84" si="62">+I83*(1+$D83)</f>
        <v>309000</v>
      </c>
      <c r="K83" s="49">
        <f t="shared" ref="K83:R83" si="63">+J83*(1+$D$23)</f>
        <v>318270</v>
      </c>
      <c r="L83" s="49">
        <f t="shared" si="63"/>
        <v>327818.10000000003</v>
      </c>
      <c r="M83" s="49">
        <f t="shared" si="63"/>
        <v>337652.64300000004</v>
      </c>
      <c r="N83" s="49">
        <f t="shared" si="63"/>
        <v>347782.22229000006</v>
      </c>
      <c r="O83" s="49">
        <f t="shared" si="63"/>
        <v>358215.68895870005</v>
      </c>
      <c r="P83" s="49">
        <f t="shared" si="63"/>
        <v>368962.15962746105</v>
      </c>
      <c r="Q83" s="49">
        <f t="shared" si="63"/>
        <v>380031.02441628487</v>
      </c>
      <c r="R83" s="49">
        <f t="shared" si="63"/>
        <v>391431.95514877344</v>
      </c>
    </row>
    <row r="84" spans="2:18">
      <c r="B84" s="73" t="s">
        <v>269</v>
      </c>
      <c r="C84" s="132">
        <v>500000</v>
      </c>
      <c r="D84" s="129">
        <v>0.03</v>
      </c>
      <c r="E84" s="130">
        <v>2025</v>
      </c>
      <c r="I84" s="49">
        <f t="shared" si="61"/>
        <v>500000</v>
      </c>
      <c r="J84" s="49">
        <f t="shared" si="62"/>
        <v>515000</v>
      </c>
      <c r="K84" s="49">
        <f t="shared" ref="K84:R84" si="64">+J84*(1+$D$23)</f>
        <v>530450</v>
      </c>
      <c r="L84" s="49">
        <f t="shared" si="64"/>
        <v>546363.5</v>
      </c>
      <c r="M84" s="49">
        <f t="shared" si="64"/>
        <v>562754.40500000003</v>
      </c>
      <c r="N84" s="49">
        <f t="shared" si="64"/>
        <v>579637.03714999999</v>
      </c>
      <c r="O84" s="49">
        <f t="shared" si="64"/>
        <v>597026.14826449996</v>
      </c>
      <c r="P84" s="49">
        <f t="shared" si="64"/>
        <v>614936.93271243502</v>
      </c>
      <c r="Q84" s="49">
        <f t="shared" si="64"/>
        <v>633385.04069380811</v>
      </c>
      <c r="R84" s="49">
        <f t="shared" si="64"/>
        <v>652386.59191462235</v>
      </c>
    </row>
    <row r="85" spans="2:18">
      <c r="B85" s="73" t="s">
        <v>232</v>
      </c>
      <c r="C85" s="132"/>
      <c r="D85" s="132"/>
      <c r="E85" s="132"/>
      <c r="I85" s="49">
        <f t="shared" ref="I85" si="65">+C85</f>
        <v>0</v>
      </c>
      <c r="J85" s="49">
        <f t="shared" ref="J85:R86" si="66">+I85*(1+$D85)</f>
        <v>0</v>
      </c>
      <c r="K85" s="49">
        <f t="shared" si="66"/>
        <v>0</v>
      </c>
      <c r="L85" s="49">
        <f t="shared" si="66"/>
        <v>0</v>
      </c>
      <c r="M85" s="49">
        <f t="shared" si="66"/>
        <v>0</v>
      </c>
      <c r="N85" s="49">
        <f t="shared" si="66"/>
        <v>0</v>
      </c>
      <c r="O85" s="49">
        <f t="shared" si="66"/>
        <v>0</v>
      </c>
      <c r="P85" s="49">
        <f t="shared" si="66"/>
        <v>0</v>
      </c>
      <c r="Q85" s="49">
        <f t="shared" si="66"/>
        <v>0</v>
      </c>
      <c r="R85" s="49">
        <f t="shared" si="66"/>
        <v>0</v>
      </c>
    </row>
    <row r="86" spans="2:18">
      <c r="B86" s="73" t="s">
        <v>232</v>
      </c>
      <c r="C86" s="132"/>
      <c r="D86" s="132"/>
      <c r="E86" s="132"/>
      <c r="I86" s="49">
        <f t="shared" ref="I86" si="67">+C86</f>
        <v>0</v>
      </c>
      <c r="J86" s="49">
        <f t="shared" si="66"/>
        <v>0</v>
      </c>
      <c r="K86" s="49">
        <f t="shared" si="66"/>
        <v>0</v>
      </c>
      <c r="L86" s="49">
        <f t="shared" si="66"/>
        <v>0</v>
      </c>
      <c r="M86" s="49">
        <f t="shared" si="66"/>
        <v>0</v>
      </c>
      <c r="N86" s="49">
        <f t="shared" si="66"/>
        <v>0</v>
      </c>
      <c r="O86" s="49">
        <f t="shared" si="66"/>
        <v>0</v>
      </c>
      <c r="P86" s="49">
        <f t="shared" si="66"/>
        <v>0</v>
      </c>
      <c r="Q86" s="49">
        <f t="shared" si="66"/>
        <v>0</v>
      </c>
      <c r="R86" s="49">
        <f t="shared" si="66"/>
        <v>0</v>
      </c>
    </row>
    <row r="87" spans="2:18" s="5" customFormat="1">
      <c r="B87" s="125" t="s">
        <v>270</v>
      </c>
      <c r="C87" s="6"/>
      <c r="D87" s="6"/>
      <c r="E87" s="6"/>
      <c r="F87" s="6"/>
      <c r="G87" s="6"/>
      <c r="H87" s="6"/>
      <c r="I87" s="75">
        <f t="shared" ref="I87:R87" si="68">SUM(I80:I86)</f>
        <v>3900000</v>
      </c>
      <c r="J87" s="75">
        <f t="shared" si="68"/>
        <v>4017000</v>
      </c>
      <c r="K87" s="75">
        <f t="shared" si="68"/>
        <v>4137510</v>
      </c>
      <c r="L87" s="75">
        <f t="shared" si="68"/>
        <v>4261635.3000000007</v>
      </c>
      <c r="M87" s="75">
        <f t="shared" si="68"/>
        <v>4389484.3590000002</v>
      </c>
      <c r="N87" s="75">
        <f t="shared" si="68"/>
        <v>4521168.8897700002</v>
      </c>
      <c r="O87" s="75">
        <f t="shared" si="68"/>
        <v>4656803.9564631004</v>
      </c>
      <c r="P87" s="75">
        <f t="shared" si="68"/>
        <v>4796508.0751569932</v>
      </c>
      <c r="Q87" s="75">
        <f t="shared" si="68"/>
        <v>4940403.317411704</v>
      </c>
      <c r="R87" s="75">
        <f t="shared" si="68"/>
        <v>5088615.4169340543</v>
      </c>
    </row>
  </sheetData>
  <mergeCells count="1">
    <mergeCell ref="B2:G2"/>
  </mergeCells>
  <phoneticPr fontId="8" type="noConversion"/>
  <pageMargins left="0.7" right="0.7" top="0.75" bottom="0.75" header="0.3" footer="0.3"/>
  <ignoredErrors>
    <ignoredError sqref="K59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0F451-CD93-47EB-81B5-2C37BB43C9AF}">
  <dimension ref="A2:Q59"/>
  <sheetViews>
    <sheetView showGridLines="0" topLeftCell="A2" workbookViewId="0">
      <pane xSplit="4" ySplit="5" topLeftCell="E7" activePane="bottomRight" state="frozen"/>
      <selection activeCell="A2" sqref="A2"/>
      <selection pane="topRight" activeCell="E2" sqref="E2"/>
      <selection pane="bottomLeft" activeCell="A7" sqref="A7"/>
      <selection pane="bottomRight" activeCell="D2" sqref="D1:D1048576"/>
    </sheetView>
  </sheetViews>
  <sheetFormatPr defaultRowHeight="13.8"/>
  <cols>
    <col min="2" max="2" width="31.69921875" customWidth="1"/>
    <col min="5" max="5" width="15.09765625" bestFit="1" customWidth="1"/>
    <col min="6" max="6" width="2.296875" customWidth="1"/>
    <col min="7" max="7" width="15.296875" bestFit="1" customWidth="1"/>
    <col min="8" max="10" width="15" bestFit="1" customWidth="1"/>
    <col min="11" max="13" width="16.19921875" bestFit="1" customWidth="1"/>
    <col min="14" max="16" width="15" bestFit="1" customWidth="1"/>
  </cols>
  <sheetData>
    <row r="2" spans="1:16">
      <c r="A2" s="96"/>
      <c r="B2" s="96" t="s">
        <v>275</v>
      </c>
      <c r="C2" s="96"/>
      <c r="D2" s="96"/>
      <c r="E2" s="96"/>
      <c r="F2" s="96"/>
      <c r="G2" s="139">
        <v>2025</v>
      </c>
      <c r="H2" s="139">
        <v>2026</v>
      </c>
      <c r="I2" s="139">
        <v>2027</v>
      </c>
      <c r="J2" s="139">
        <v>2028</v>
      </c>
      <c r="K2" s="139">
        <v>2029</v>
      </c>
      <c r="L2" s="139">
        <v>2030</v>
      </c>
      <c r="M2" s="139">
        <v>2031</v>
      </c>
      <c r="N2" s="139">
        <v>2032</v>
      </c>
      <c r="O2" s="139">
        <v>2033</v>
      </c>
      <c r="P2" s="139">
        <v>2034</v>
      </c>
    </row>
    <row r="3" spans="1:16">
      <c r="E3" s="24" t="s">
        <v>219</v>
      </c>
      <c r="G3" s="140">
        <v>45658</v>
      </c>
      <c r="H3" s="140">
        <v>46023</v>
      </c>
      <c r="I3" s="140">
        <v>46388</v>
      </c>
      <c r="J3" s="140">
        <v>46753</v>
      </c>
      <c r="K3" s="140">
        <v>47119</v>
      </c>
      <c r="L3" s="140">
        <v>47484</v>
      </c>
      <c r="M3" s="140">
        <v>47849</v>
      </c>
      <c r="N3" s="140">
        <v>48214</v>
      </c>
      <c r="O3" s="140">
        <v>48580</v>
      </c>
      <c r="P3" s="140">
        <v>48945</v>
      </c>
    </row>
    <row r="4" spans="1:16">
      <c r="E4" s="24" t="s">
        <v>220</v>
      </c>
      <c r="G4" s="140">
        <v>46022</v>
      </c>
      <c r="H4" s="140">
        <v>46387</v>
      </c>
      <c r="I4" s="140">
        <v>46752</v>
      </c>
      <c r="J4" s="140">
        <v>47118</v>
      </c>
      <c r="K4" s="140">
        <v>47483</v>
      </c>
      <c r="L4" s="140">
        <v>47848</v>
      </c>
      <c r="M4" s="140">
        <v>48213</v>
      </c>
      <c r="N4" s="140">
        <v>48579</v>
      </c>
      <c r="O4" s="140">
        <v>48944</v>
      </c>
      <c r="P4" s="140">
        <v>49309</v>
      </c>
    </row>
    <row r="5" spans="1:16">
      <c r="E5" s="24" t="s">
        <v>222</v>
      </c>
      <c r="G5" s="42">
        <f>+G4-G3+1</f>
        <v>365</v>
      </c>
      <c r="H5" s="42">
        <f t="shared" ref="H5:P5" si="0">+H4-H3+1</f>
        <v>365</v>
      </c>
      <c r="I5" s="42">
        <f t="shared" si="0"/>
        <v>365</v>
      </c>
      <c r="J5" s="42">
        <f t="shared" si="0"/>
        <v>366</v>
      </c>
      <c r="K5" s="42">
        <f t="shared" si="0"/>
        <v>365</v>
      </c>
      <c r="L5" s="42">
        <f t="shared" si="0"/>
        <v>365</v>
      </c>
      <c r="M5" s="42">
        <f t="shared" si="0"/>
        <v>365</v>
      </c>
      <c r="N5" s="42">
        <f t="shared" si="0"/>
        <v>366</v>
      </c>
      <c r="O5" s="42">
        <f t="shared" si="0"/>
        <v>365</v>
      </c>
      <c r="P5" s="42">
        <f t="shared" si="0"/>
        <v>365</v>
      </c>
    </row>
    <row r="6" spans="1:16">
      <c r="E6" s="24" t="s">
        <v>221</v>
      </c>
      <c r="G6" s="87" t="s">
        <v>174</v>
      </c>
      <c r="H6" s="87" t="s">
        <v>175</v>
      </c>
      <c r="I6" s="87" t="s">
        <v>176</v>
      </c>
      <c r="J6" s="87" t="s">
        <v>177</v>
      </c>
      <c r="K6" s="87" t="s">
        <v>178</v>
      </c>
      <c r="L6" s="87" t="s">
        <v>179</v>
      </c>
      <c r="M6" s="87" t="s">
        <v>180</v>
      </c>
      <c r="N6" s="87" t="s">
        <v>181</v>
      </c>
      <c r="O6" s="87" t="s">
        <v>182</v>
      </c>
      <c r="P6" s="87" t="s">
        <v>183</v>
      </c>
    </row>
    <row r="8" spans="1:16">
      <c r="B8" s="148" t="s">
        <v>276</v>
      </c>
    </row>
    <row r="10" spans="1:16">
      <c r="B10" s="5" t="s">
        <v>277</v>
      </c>
    </row>
    <row r="11" spans="1:16">
      <c r="B11" t="s">
        <v>100</v>
      </c>
      <c r="G11" s="49">
        <f>+'Development Assumptions'!D25</f>
        <v>54250000</v>
      </c>
    </row>
    <row r="12" spans="1:16">
      <c r="B12" t="s">
        <v>101</v>
      </c>
      <c r="G12" s="49">
        <f>+'Development Assumptions'!D26</f>
        <v>3000000000</v>
      </c>
    </row>
    <row r="13" spans="1:16">
      <c r="B13" t="s">
        <v>278</v>
      </c>
      <c r="G13" s="49">
        <f>+'Development Assumptions'!D27</f>
        <v>5000000000</v>
      </c>
    </row>
    <row r="14" spans="1:16">
      <c r="B14" t="s">
        <v>103</v>
      </c>
      <c r="G14" s="49">
        <f>+'Development Assumptions'!D28</f>
        <v>2000000000</v>
      </c>
    </row>
    <row r="15" spans="1:16">
      <c r="B15" t="s">
        <v>163</v>
      </c>
      <c r="G15" s="49">
        <f>+'Development Assumptions'!D29</f>
        <v>500000</v>
      </c>
    </row>
    <row r="16" spans="1:16">
      <c r="B16" t="s">
        <v>279</v>
      </c>
      <c r="G16" s="49">
        <f>+'Development Assumptions'!D30</f>
        <v>50000000</v>
      </c>
    </row>
    <row r="17" spans="2:17">
      <c r="B17" t="s">
        <v>226</v>
      </c>
      <c r="G17" s="49">
        <v>0</v>
      </c>
    </row>
    <row r="18" spans="2:17">
      <c r="B18" s="6" t="s">
        <v>280</v>
      </c>
      <c r="C18" s="6"/>
      <c r="D18" s="6"/>
      <c r="E18" s="30"/>
      <c r="F18" s="6"/>
      <c r="G18" s="75">
        <f>SUM(G11:G17)</f>
        <v>10104750000</v>
      </c>
      <c r="H18" s="6"/>
      <c r="I18" s="6"/>
      <c r="J18" s="6"/>
      <c r="K18" s="6"/>
      <c r="L18" s="6"/>
      <c r="M18" s="6"/>
      <c r="N18" s="6"/>
      <c r="O18" s="6"/>
      <c r="P18" s="6"/>
    </row>
    <row r="19" spans="2:17">
      <c r="E19" s="49"/>
    </row>
    <row r="20" spans="2:17">
      <c r="B20" s="5" t="s">
        <v>281</v>
      </c>
    </row>
    <row r="21" spans="2:17">
      <c r="B21" s="73" t="s">
        <v>100</v>
      </c>
      <c r="G21" s="78">
        <v>0</v>
      </c>
      <c r="H21" s="78">
        <v>0</v>
      </c>
      <c r="I21" s="78">
        <v>0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78">
        <v>0</v>
      </c>
      <c r="Q21" s="115"/>
    </row>
    <row r="22" spans="2:17">
      <c r="B22" s="73" t="s">
        <v>101</v>
      </c>
      <c r="G22" s="78">
        <v>0</v>
      </c>
      <c r="H22" s="78">
        <v>0</v>
      </c>
      <c r="I22" s="78">
        <v>400000</v>
      </c>
      <c r="J22" s="78">
        <v>200000</v>
      </c>
      <c r="K22" s="78">
        <v>0</v>
      </c>
      <c r="L22" s="78">
        <v>350000</v>
      </c>
      <c r="M22" s="78">
        <v>400000</v>
      </c>
      <c r="N22" s="78">
        <v>0</v>
      </c>
      <c r="O22" s="78">
        <v>100000</v>
      </c>
      <c r="P22" s="78">
        <v>200000</v>
      </c>
      <c r="Q22" s="115"/>
    </row>
    <row r="23" spans="2:17">
      <c r="B23" s="73" t="s">
        <v>102</v>
      </c>
      <c r="G23" s="78">
        <v>0</v>
      </c>
      <c r="H23" s="78">
        <v>0</v>
      </c>
      <c r="I23" s="78">
        <v>0</v>
      </c>
      <c r="J23" s="78">
        <v>0</v>
      </c>
      <c r="K23" s="78">
        <v>300000000</v>
      </c>
      <c r="L23" s="78">
        <v>0</v>
      </c>
      <c r="M23" s="78">
        <v>40000000</v>
      </c>
      <c r="N23" s="78">
        <v>100000000</v>
      </c>
      <c r="O23" s="78">
        <v>0</v>
      </c>
      <c r="P23" s="78">
        <v>200000000</v>
      </c>
      <c r="Q23" s="115"/>
    </row>
    <row r="24" spans="2:17">
      <c r="B24" s="73" t="s">
        <v>103</v>
      </c>
      <c r="G24" s="78">
        <v>0</v>
      </c>
      <c r="H24" s="78">
        <v>0</v>
      </c>
      <c r="I24" s="78">
        <v>0</v>
      </c>
      <c r="J24" s="78">
        <v>300000000</v>
      </c>
      <c r="K24" s="78">
        <v>0</v>
      </c>
      <c r="L24" s="78">
        <v>0</v>
      </c>
      <c r="M24" s="78">
        <v>20000000</v>
      </c>
      <c r="N24" s="78">
        <v>0</v>
      </c>
      <c r="O24" s="78">
        <v>5000000</v>
      </c>
      <c r="P24" s="78">
        <v>10000000</v>
      </c>
      <c r="Q24" s="115"/>
    </row>
    <row r="25" spans="2:17">
      <c r="B25" s="73" t="s">
        <v>163</v>
      </c>
      <c r="G25" s="78">
        <v>0</v>
      </c>
      <c r="H25" s="78">
        <v>0</v>
      </c>
      <c r="I25" s="78">
        <v>0</v>
      </c>
      <c r="J25" s="78">
        <v>30000</v>
      </c>
      <c r="K25" s="78">
        <v>0</v>
      </c>
      <c r="L25" s="78">
        <v>40000</v>
      </c>
      <c r="M25" s="78">
        <v>0</v>
      </c>
      <c r="N25" s="78">
        <v>60000</v>
      </c>
      <c r="O25" s="78">
        <v>0</v>
      </c>
      <c r="P25" s="78">
        <v>0</v>
      </c>
      <c r="Q25" s="115"/>
    </row>
    <row r="26" spans="2:17">
      <c r="B26" s="73" t="s">
        <v>105</v>
      </c>
      <c r="G26" s="78">
        <v>0</v>
      </c>
      <c r="H26" s="78">
        <v>0</v>
      </c>
      <c r="I26" s="78">
        <v>0</v>
      </c>
      <c r="J26" s="78">
        <v>50000</v>
      </c>
      <c r="K26" s="78">
        <v>0</v>
      </c>
      <c r="L26" s="78">
        <v>0</v>
      </c>
      <c r="M26" s="78">
        <v>30000</v>
      </c>
      <c r="N26" s="78">
        <v>0</v>
      </c>
      <c r="O26" s="78">
        <v>40000</v>
      </c>
      <c r="P26" s="78">
        <v>0</v>
      </c>
      <c r="Q26" s="115"/>
    </row>
    <row r="27" spans="2:17">
      <c r="B27" s="73" t="s">
        <v>226</v>
      </c>
      <c r="G27" s="115">
        <v>0</v>
      </c>
      <c r="H27" s="115">
        <v>0</v>
      </c>
      <c r="I27" s="115">
        <v>0</v>
      </c>
      <c r="J27" s="115">
        <v>0</v>
      </c>
      <c r="K27" s="115">
        <v>0</v>
      </c>
      <c r="L27" s="115">
        <v>0</v>
      </c>
      <c r="M27" s="115">
        <v>0</v>
      </c>
      <c r="N27" s="115">
        <v>0</v>
      </c>
      <c r="O27" s="115">
        <v>0</v>
      </c>
      <c r="P27" s="115">
        <v>0</v>
      </c>
      <c r="Q27" s="141"/>
    </row>
    <row r="28" spans="2:17" s="5" customFormat="1">
      <c r="B28" s="125" t="s">
        <v>282</v>
      </c>
      <c r="C28" s="6"/>
      <c r="D28" s="6"/>
      <c r="E28" s="6"/>
      <c r="F28" s="6"/>
      <c r="G28" s="134">
        <f>SUM(G21:G27)</f>
        <v>0</v>
      </c>
      <c r="H28" s="134">
        <f t="shared" ref="H28:P28" si="1">SUM(H21:H27)</f>
        <v>0</v>
      </c>
      <c r="I28" s="134">
        <f t="shared" si="1"/>
        <v>400000</v>
      </c>
      <c r="J28" s="134">
        <f t="shared" si="1"/>
        <v>300280000</v>
      </c>
      <c r="K28" s="134">
        <f t="shared" si="1"/>
        <v>300000000</v>
      </c>
      <c r="L28" s="134">
        <f t="shared" si="1"/>
        <v>390000</v>
      </c>
      <c r="M28" s="134">
        <f t="shared" si="1"/>
        <v>60430000</v>
      </c>
      <c r="N28" s="134">
        <f t="shared" si="1"/>
        <v>100060000</v>
      </c>
      <c r="O28" s="134">
        <f t="shared" si="1"/>
        <v>5140000</v>
      </c>
      <c r="P28" s="134">
        <f t="shared" si="1"/>
        <v>210200000</v>
      </c>
    </row>
    <row r="30" spans="2:17">
      <c r="B30" s="5" t="s">
        <v>283</v>
      </c>
    </row>
    <row r="31" spans="2:17">
      <c r="B31" s="73" t="s">
        <v>100</v>
      </c>
      <c r="G31" s="85">
        <f>+G11+G21</f>
        <v>54250000</v>
      </c>
      <c r="H31" s="85">
        <f t="shared" ref="H31:P31" si="2">+H11+H21</f>
        <v>0</v>
      </c>
      <c r="I31" s="85">
        <f t="shared" si="2"/>
        <v>0</v>
      </c>
      <c r="J31" s="85">
        <f t="shared" si="2"/>
        <v>0</v>
      </c>
      <c r="K31" s="85">
        <f t="shared" si="2"/>
        <v>0</v>
      </c>
      <c r="L31" s="85">
        <f t="shared" si="2"/>
        <v>0</v>
      </c>
      <c r="M31" s="85">
        <f t="shared" si="2"/>
        <v>0</v>
      </c>
      <c r="N31" s="85">
        <f t="shared" si="2"/>
        <v>0</v>
      </c>
      <c r="O31" s="85">
        <f t="shared" si="2"/>
        <v>0</v>
      </c>
      <c r="P31" s="85">
        <f t="shared" si="2"/>
        <v>0</v>
      </c>
    </row>
    <row r="32" spans="2:17">
      <c r="B32" s="73" t="s">
        <v>101</v>
      </c>
      <c r="G32" s="85">
        <f t="shared" ref="G32:P32" si="3">+G12+G22</f>
        <v>3000000000</v>
      </c>
      <c r="H32" s="85">
        <f t="shared" si="3"/>
        <v>0</v>
      </c>
      <c r="I32" s="85">
        <f t="shared" si="3"/>
        <v>400000</v>
      </c>
      <c r="J32" s="85">
        <f t="shared" si="3"/>
        <v>200000</v>
      </c>
      <c r="K32" s="85">
        <f t="shared" si="3"/>
        <v>0</v>
      </c>
      <c r="L32" s="85">
        <f t="shared" si="3"/>
        <v>350000</v>
      </c>
      <c r="M32" s="85">
        <f t="shared" si="3"/>
        <v>400000</v>
      </c>
      <c r="N32" s="85">
        <f t="shared" si="3"/>
        <v>0</v>
      </c>
      <c r="O32" s="85">
        <f t="shared" si="3"/>
        <v>100000</v>
      </c>
      <c r="P32" s="85">
        <f t="shared" si="3"/>
        <v>200000</v>
      </c>
    </row>
    <row r="33" spans="2:16">
      <c r="B33" s="73" t="s">
        <v>102</v>
      </c>
      <c r="G33" s="85">
        <f t="shared" ref="G33:P33" si="4">+G13+G23</f>
        <v>5000000000</v>
      </c>
      <c r="H33" s="85">
        <f t="shared" si="4"/>
        <v>0</v>
      </c>
      <c r="I33" s="85">
        <f t="shared" si="4"/>
        <v>0</v>
      </c>
      <c r="J33" s="85">
        <f t="shared" si="4"/>
        <v>0</v>
      </c>
      <c r="K33" s="85">
        <f t="shared" si="4"/>
        <v>300000000</v>
      </c>
      <c r="L33" s="85">
        <f t="shared" si="4"/>
        <v>0</v>
      </c>
      <c r="M33" s="85">
        <f t="shared" si="4"/>
        <v>40000000</v>
      </c>
      <c r="N33" s="85">
        <f t="shared" si="4"/>
        <v>100000000</v>
      </c>
      <c r="O33" s="85">
        <f t="shared" si="4"/>
        <v>0</v>
      </c>
      <c r="P33" s="85">
        <f t="shared" si="4"/>
        <v>200000000</v>
      </c>
    </row>
    <row r="34" spans="2:16">
      <c r="B34" s="73" t="s">
        <v>103</v>
      </c>
      <c r="G34" s="85">
        <f t="shared" ref="G34:P34" si="5">+G14+G24</f>
        <v>2000000000</v>
      </c>
      <c r="H34" s="85">
        <f t="shared" si="5"/>
        <v>0</v>
      </c>
      <c r="I34" s="85">
        <f t="shared" si="5"/>
        <v>0</v>
      </c>
      <c r="J34" s="85">
        <f t="shared" si="5"/>
        <v>300000000</v>
      </c>
      <c r="K34" s="85">
        <f t="shared" si="5"/>
        <v>0</v>
      </c>
      <c r="L34" s="85">
        <f t="shared" si="5"/>
        <v>0</v>
      </c>
      <c r="M34" s="85">
        <f t="shared" si="5"/>
        <v>20000000</v>
      </c>
      <c r="N34" s="85">
        <f t="shared" si="5"/>
        <v>0</v>
      </c>
      <c r="O34" s="85">
        <f t="shared" si="5"/>
        <v>5000000</v>
      </c>
      <c r="P34" s="85">
        <f t="shared" si="5"/>
        <v>10000000</v>
      </c>
    </row>
    <row r="35" spans="2:16">
      <c r="B35" s="73" t="s">
        <v>163</v>
      </c>
      <c r="G35" s="85">
        <f t="shared" ref="G35:P35" si="6">+G15+G25</f>
        <v>500000</v>
      </c>
      <c r="H35" s="85">
        <f t="shared" si="6"/>
        <v>0</v>
      </c>
      <c r="I35" s="85">
        <f t="shared" si="6"/>
        <v>0</v>
      </c>
      <c r="J35" s="85">
        <f t="shared" si="6"/>
        <v>30000</v>
      </c>
      <c r="K35" s="85">
        <f t="shared" si="6"/>
        <v>0</v>
      </c>
      <c r="L35" s="85">
        <f t="shared" si="6"/>
        <v>40000</v>
      </c>
      <c r="M35" s="85">
        <f t="shared" si="6"/>
        <v>0</v>
      </c>
      <c r="N35" s="85">
        <f t="shared" si="6"/>
        <v>60000</v>
      </c>
      <c r="O35" s="85">
        <f t="shared" si="6"/>
        <v>0</v>
      </c>
      <c r="P35" s="85">
        <f t="shared" si="6"/>
        <v>0</v>
      </c>
    </row>
    <row r="36" spans="2:16">
      <c r="B36" s="73" t="s">
        <v>105</v>
      </c>
      <c r="G36" s="85">
        <f t="shared" ref="G36:P36" si="7">+G16+G26</f>
        <v>50000000</v>
      </c>
      <c r="H36" s="85">
        <f t="shared" si="7"/>
        <v>0</v>
      </c>
      <c r="I36" s="85">
        <f t="shared" si="7"/>
        <v>0</v>
      </c>
      <c r="J36" s="85">
        <f t="shared" si="7"/>
        <v>50000</v>
      </c>
      <c r="K36" s="85">
        <f t="shared" si="7"/>
        <v>0</v>
      </c>
      <c r="L36" s="85">
        <f t="shared" si="7"/>
        <v>0</v>
      </c>
      <c r="M36" s="85">
        <f t="shared" si="7"/>
        <v>30000</v>
      </c>
      <c r="N36" s="85">
        <f t="shared" si="7"/>
        <v>0</v>
      </c>
      <c r="O36" s="85">
        <f t="shared" si="7"/>
        <v>40000</v>
      </c>
      <c r="P36" s="85">
        <f t="shared" si="7"/>
        <v>0</v>
      </c>
    </row>
    <row r="37" spans="2:16">
      <c r="B37" s="73" t="s">
        <v>226</v>
      </c>
      <c r="G37" s="85">
        <f t="shared" ref="G37:P37" si="8">+G17+G27</f>
        <v>0</v>
      </c>
      <c r="H37" s="85">
        <f t="shared" si="8"/>
        <v>0</v>
      </c>
      <c r="I37" s="85">
        <f t="shared" si="8"/>
        <v>0</v>
      </c>
      <c r="J37" s="85">
        <f t="shared" si="8"/>
        <v>0</v>
      </c>
      <c r="K37" s="85">
        <f t="shared" si="8"/>
        <v>0</v>
      </c>
      <c r="L37" s="85">
        <f t="shared" si="8"/>
        <v>0</v>
      </c>
      <c r="M37" s="85">
        <f t="shared" si="8"/>
        <v>0</v>
      </c>
      <c r="N37" s="85">
        <f t="shared" si="8"/>
        <v>0</v>
      </c>
      <c r="O37" s="85">
        <f t="shared" si="8"/>
        <v>0</v>
      </c>
      <c r="P37" s="85">
        <f t="shared" si="8"/>
        <v>0</v>
      </c>
    </row>
    <row r="38" spans="2:16">
      <c r="B38" s="125" t="s">
        <v>284</v>
      </c>
      <c r="C38" s="6"/>
      <c r="D38" s="6"/>
      <c r="E38" s="6"/>
      <c r="F38" s="6"/>
      <c r="G38" s="134">
        <f>SUM(G31:G37)</f>
        <v>10104750000</v>
      </c>
      <c r="H38" s="134">
        <f t="shared" ref="H38:P38" si="9">SUM(H31:H37)</f>
        <v>0</v>
      </c>
      <c r="I38" s="134">
        <f t="shared" si="9"/>
        <v>400000</v>
      </c>
      <c r="J38" s="134">
        <f t="shared" si="9"/>
        <v>300280000</v>
      </c>
      <c r="K38" s="134">
        <f t="shared" si="9"/>
        <v>300000000</v>
      </c>
      <c r="L38" s="134">
        <f t="shared" si="9"/>
        <v>390000</v>
      </c>
      <c r="M38" s="134">
        <f t="shared" si="9"/>
        <v>60430000</v>
      </c>
      <c r="N38" s="134">
        <f t="shared" si="9"/>
        <v>100060000</v>
      </c>
      <c r="O38" s="134">
        <f t="shared" si="9"/>
        <v>5140000</v>
      </c>
      <c r="P38" s="134">
        <f t="shared" si="9"/>
        <v>210200000</v>
      </c>
    </row>
    <row r="40" spans="2:16">
      <c r="B40" s="142" t="s">
        <v>285</v>
      </c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</row>
    <row r="41" spans="2:16">
      <c r="B41" s="144" t="s">
        <v>286</v>
      </c>
      <c r="C41" s="143"/>
      <c r="D41" s="143"/>
      <c r="E41" s="143"/>
      <c r="F41" s="143"/>
      <c r="G41" s="143"/>
      <c r="H41" s="143"/>
      <c r="I41" s="143"/>
      <c r="J41" s="143"/>
      <c r="K41" s="143"/>
      <c r="L41" s="143"/>
      <c r="M41" s="143"/>
      <c r="N41" s="143"/>
      <c r="O41" s="143"/>
      <c r="P41" s="143"/>
    </row>
    <row r="42" spans="2:16">
      <c r="B42" s="73" t="s">
        <v>100</v>
      </c>
      <c r="C42" s="78">
        <v>0</v>
      </c>
    </row>
    <row r="43" spans="2:16">
      <c r="B43" s="73" t="s">
        <v>101</v>
      </c>
      <c r="C43" s="78">
        <v>20</v>
      </c>
    </row>
    <row r="44" spans="2:16">
      <c r="B44" s="73" t="s">
        <v>102</v>
      </c>
      <c r="C44" s="78">
        <v>10</v>
      </c>
    </row>
    <row r="45" spans="2:16">
      <c r="B45" s="73" t="s">
        <v>103</v>
      </c>
      <c r="C45" s="78">
        <v>7</v>
      </c>
    </row>
    <row r="46" spans="2:16">
      <c r="B46" s="73" t="s">
        <v>163</v>
      </c>
      <c r="C46" s="78">
        <v>5</v>
      </c>
    </row>
    <row r="47" spans="2:16">
      <c r="B47" s="73" t="s">
        <v>105</v>
      </c>
      <c r="C47" s="78">
        <v>7</v>
      </c>
    </row>
    <row r="48" spans="2:16">
      <c r="B48" s="73" t="s">
        <v>226</v>
      </c>
      <c r="C48" s="78">
        <v>8</v>
      </c>
    </row>
    <row r="50" spans="2:16">
      <c r="B50" s="144" t="s">
        <v>287</v>
      </c>
    </row>
    <row r="51" spans="2:16">
      <c r="B51" s="73" t="s">
        <v>100</v>
      </c>
    </row>
    <row r="52" spans="2:16">
      <c r="B52" s="73" t="s">
        <v>101</v>
      </c>
      <c r="G52" s="49">
        <f>+G32/$C$43</f>
        <v>150000000</v>
      </c>
      <c r="H52" s="49">
        <f t="shared" ref="H52:P52" si="10">G52+(H32/$C$43)</f>
        <v>150000000</v>
      </c>
      <c r="I52" s="49">
        <f t="shared" si="10"/>
        <v>150020000</v>
      </c>
      <c r="J52" s="49">
        <f t="shared" si="10"/>
        <v>150030000</v>
      </c>
      <c r="K52" s="49">
        <f t="shared" si="10"/>
        <v>150030000</v>
      </c>
      <c r="L52" s="49">
        <f t="shared" si="10"/>
        <v>150047500</v>
      </c>
      <c r="M52" s="49">
        <f t="shared" si="10"/>
        <v>150067500</v>
      </c>
      <c r="N52" s="49">
        <f t="shared" si="10"/>
        <v>150067500</v>
      </c>
      <c r="O52" s="49">
        <f t="shared" si="10"/>
        <v>150072500</v>
      </c>
      <c r="P52" s="49">
        <f t="shared" si="10"/>
        <v>150082500</v>
      </c>
    </row>
    <row r="53" spans="2:16">
      <c r="B53" s="73" t="s">
        <v>102</v>
      </c>
      <c r="G53" s="49">
        <f>+G33/$C$44</f>
        <v>500000000</v>
      </c>
      <c r="H53" s="49">
        <f t="shared" ref="H53:P53" si="11">+G53+(H33/$C$44)</f>
        <v>500000000</v>
      </c>
      <c r="I53" s="49">
        <f t="shared" si="11"/>
        <v>500000000</v>
      </c>
      <c r="J53" s="49">
        <f t="shared" si="11"/>
        <v>500000000</v>
      </c>
      <c r="K53" s="49">
        <f t="shared" si="11"/>
        <v>530000000</v>
      </c>
      <c r="L53" s="49">
        <f t="shared" si="11"/>
        <v>530000000</v>
      </c>
      <c r="M53" s="49">
        <f t="shared" si="11"/>
        <v>534000000</v>
      </c>
      <c r="N53" s="49">
        <f t="shared" si="11"/>
        <v>544000000</v>
      </c>
      <c r="O53" s="49">
        <f t="shared" si="11"/>
        <v>544000000</v>
      </c>
      <c r="P53" s="49">
        <f t="shared" si="11"/>
        <v>564000000</v>
      </c>
    </row>
    <row r="54" spans="2:16">
      <c r="B54" s="73" t="s">
        <v>103</v>
      </c>
      <c r="G54" s="49">
        <f>+Depreciation!D39</f>
        <v>285714285.71428573</v>
      </c>
      <c r="H54" s="49">
        <f>+Depreciation!E39</f>
        <v>285714285.71428573</v>
      </c>
      <c r="I54" s="49">
        <f>+Depreciation!F39</f>
        <v>285714285.71428573</v>
      </c>
      <c r="J54" s="49">
        <f>+Depreciation!G39</f>
        <v>328571428.5714286</v>
      </c>
      <c r="K54" s="49">
        <f>+Depreciation!H39</f>
        <v>328571428.5714286</v>
      </c>
      <c r="L54" s="49">
        <f>+Depreciation!I39</f>
        <v>328571428.5714286</v>
      </c>
      <c r="M54" s="49">
        <f>+Depreciation!J39</f>
        <v>331428571.42857146</v>
      </c>
      <c r="N54" s="49">
        <f>+Depreciation!K39</f>
        <v>45714285.714285716</v>
      </c>
      <c r="O54" s="49">
        <f>+Depreciation!L39</f>
        <v>46428571.428571433</v>
      </c>
      <c r="P54" s="49">
        <f>+Depreciation!M39</f>
        <v>47857142.857142858</v>
      </c>
    </row>
    <row r="55" spans="2:16">
      <c r="B55" s="73" t="s">
        <v>163</v>
      </c>
      <c r="G55" s="49">
        <f>+Depreciation!D46</f>
        <v>100000</v>
      </c>
      <c r="H55" s="49">
        <f>+Depreciation!E46</f>
        <v>100000</v>
      </c>
      <c r="I55" s="49">
        <f>+Depreciation!F46</f>
        <v>100000</v>
      </c>
      <c r="J55" s="49">
        <f>+Depreciation!G46</f>
        <v>106000</v>
      </c>
      <c r="K55" s="49">
        <f>+Depreciation!H46</f>
        <v>106000</v>
      </c>
      <c r="L55" s="49">
        <f>+Depreciation!I46</f>
        <v>14000</v>
      </c>
      <c r="M55" s="49">
        <f>+Depreciation!J46</f>
        <v>14000</v>
      </c>
      <c r="N55" s="49">
        <f>+Depreciation!K46</f>
        <v>26000</v>
      </c>
      <c r="O55" s="49">
        <f>+Depreciation!L46</f>
        <v>20000</v>
      </c>
      <c r="P55" s="49">
        <f>+Depreciation!M46</f>
        <v>20000</v>
      </c>
    </row>
    <row r="56" spans="2:16">
      <c r="B56" s="73" t="s">
        <v>105</v>
      </c>
      <c r="G56" s="49">
        <f>+Depreciation!D53</f>
        <v>7142857.1428571427</v>
      </c>
      <c r="H56" s="49">
        <f>+Depreciation!E53</f>
        <v>7142857.1428571427</v>
      </c>
      <c r="I56" s="49">
        <f>+Depreciation!F53</f>
        <v>7142857.1428571427</v>
      </c>
      <c r="J56" s="49">
        <f>+Depreciation!G53</f>
        <v>7150000</v>
      </c>
      <c r="K56" s="49">
        <f>+Depreciation!H53</f>
        <v>7150000</v>
      </c>
      <c r="L56" s="49">
        <f>+Depreciation!I53</f>
        <v>7150000</v>
      </c>
      <c r="M56" s="49">
        <f>+Depreciation!J53</f>
        <v>7154285.7142857146</v>
      </c>
      <c r="N56" s="49">
        <f>+Depreciation!K53</f>
        <v>11428.571428571428</v>
      </c>
      <c r="O56" s="49">
        <f>+Depreciation!L53</f>
        <v>17142.857142857141</v>
      </c>
      <c r="P56" s="49">
        <f>+Depreciation!M53</f>
        <v>17142.857142857141</v>
      </c>
    </row>
    <row r="57" spans="2:16">
      <c r="B57" s="73" t="s">
        <v>226</v>
      </c>
      <c r="G57" s="49">
        <f>+IFERROR(G37/$C$48,0)</f>
        <v>0</v>
      </c>
      <c r="H57" s="49">
        <f t="shared" ref="H57:P57" si="12">+IFERROR(H37/$C$48,0)</f>
        <v>0</v>
      </c>
      <c r="I57" s="49">
        <f t="shared" si="12"/>
        <v>0</v>
      </c>
      <c r="J57" s="49">
        <f t="shared" si="12"/>
        <v>0</v>
      </c>
      <c r="K57" s="49">
        <f t="shared" si="12"/>
        <v>0</v>
      </c>
      <c r="L57" s="49">
        <f t="shared" si="12"/>
        <v>0</v>
      </c>
      <c r="M57" s="49">
        <f t="shared" si="12"/>
        <v>0</v>
      </c>
      <c r="N57" s="49">
        <f t="shared" si="12"/>
        <v>0</v>
      </c>
      <c r="O57" s="49">
        <f t="shared" si="12"/>
        <v>0</v>
      </c>
      <c r="P57" s="49">
        <f t="shared" si="12"/>
        <v>0</v>
      </c>
    </row>
    <row r="58" spans="2:16" s="155" customFormat="1">
      <c r="B58" s="154" t="s">
        <v>298</v>
      </c>
      <c r="G58" s="156">
        <f>SUM(G52:G57)</f>
        <v>942957142.85714293</v>
      </c>
      <c r="H58" s="156">
        <f t="shared" ref="H58:P58" si="13">SUM(H52:H57)</f>
        <v>942957142.85714293</v>
      </c>
      <c r="I58" s="156">
        <f t="shared" si="13"/>
        <v>942977142.85714293</v>
      </c>
      <c r="J58" s="156">
        <f t="shared" si="13"/>
        <v>985857428.57142854</v>
      </c>
      <c r="K58" s="156">
        <f t="shared" si="13"/>
        <v>1015857428.5714285</v>
      </c>
      <c r="L58" s="156">
        <f t="shared" si="13"/>
        <v>1015782928.5714285</v>
      </c>
      <c r="M58" s="156">
        <f t="shared" si="13"/>
        <v>1022664357.1428572</v>
      </c>
      <c r="N58" s="156">
        <f t="shared" si="13"/>
        <v>739819214.28571427</v>
      </c>
      <c r="O58" s="156">
        <f t="shared" si="13"/>
        <v>740538214.28571427</v>
      </c>
      <c r="P58" s="156">
        <f t="shared" si="13"/>
        <v>761976785.71428561</v>
      </c>
    </row>
    <row r="59" spans="2:16" s="155" customFormat="1">
      <c r="B59" s="154" t="s">
        <v>299</v>
      </c>
      <c r="G59" s="156">
        <f>+G58/12</f>
        <v>78579761.90476191</v>
      </c>
      <c r="H59" s="156">
        <f t="shared" ref="H59:P59" si="14">+H58/12</f>
        <v>78579761.90476191</v>
      </c>
      <c r="I59" s="156">
        <f t="shared" si="14"/>
        <v>78581428.571428582</v>
      </c>
      <c r="J59" s="156">
        <f t="shared" si="14"/>
        <v>82154785.714285716</v>
      </c>
      <c r="K59" s="156">
        <f t="shared" si="14"/>
        <v>84654785.714285716</v>
      </c>
      <c r="L59" s="156">
        <f t="shared" si="14"/>
        <v>84648577.380952373</v>
      </c>
      <c r="M59" s="156">
        <f t="shared" si="14"/>
        <v>85222029.761904761</v>
      </c>
      <c r="N59" s="156">
        <f t="shared" si="14"/>
        <v>61651601.190476187</v>
      </c>
      <c r="O59" s="156">
        <f t="shared" si="14"/>
        <v>61711517.857142858</v>
      </c>
      <c r="P59" s="156">
        <f t="shared" si="14"/>
        <v>63498065.47619047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B6A9-8EB3-42D9-B220-E1C60C33FEF2}">
  <dimension ref="B3:M57"/>
  <sheetViews>
    <sheetView showGridLines="0" topLeftCell="A3" workbookViewId="0">
      <selection activeCell="E62" sqref="E62"/>
    </sheetView>
  </sheetViews>
  <sheetFormatPr defaultRowHeight="13.8" outlineLevelRow="1"/>
  <cols>
    <col min="2" max="2" width="10.296875" bestFit="1" customWidth="1"/>
    <col min="3" max="3" width="23.8984375" bestFit="1" customWidth="1"/>
    <col min="4" max="4" width="16.3984375" bestFit="1" customWidth="1"/>
    <col min="5" max="13" width="14.69921875" bestFit="1" customWidth="1"/>
  </cols>
  <sheetData>
    <row r="3" spans="2:13" s="148" customFormat="1">
      <c r="C3" s="148" t="s">
        <v>288</v>
      </c>
      <c r="D3" s="148">
        <v>2025</v>
      </c>
      <c r="E3" s="148">
        <f>D3+1</f>
        <v>2026</v>
      </c>
      <c r="F3" s="148">
        <f t="shared" ref="F3:M3" si="0">E3+1</f>
        <v>2027</v>
      </c>
      <c r="G3" s="148">
        <f t="shared" si="0"/>
        <v>2028</v>
      </c>
      <c r="H3" s="148">
        <f t="shared" si="0"/>
        <v>2029</v>
      </c>
      <c r="I3" s="148">
        <f t="shared" si="0"/>
        <v>2030</v>
      </c>
      <c r="J3" s="148">
        <f t="shared" si="0"/>
        <v>2031</v>
      </c>
      <c r="K3" s="148">
        <f t="shared" si="0"/>
        <v>2032</v>
      </c>
      <c r="L3" s="148">
        <f t="shared" si="0"/>
        <v>2033</v>
      </c>
      <c r="M3" s="148">
        <f t="shared" si="0"/>
        <v>2034</v>
      </c>
    </row>
    <row r="4" spans="2:13">
      <c r="C4" s="148" t="s">
        <v>100</v>
      </c>
      <c r="D4" s="146">
        <v>54250000</v>
      </c>
      <c r="E4" s="146">
        <v>0</v>
      </c>
      <c r="F4" s="146">
        <v>0</v>
      </c>
      <c r="G4" s="146">
        <v>0</v>
      </c>
      <c r="H4" s="146">
        <v>0</v>
      </c>
      <c r="I4" s="146">
        <v>0</v>
      </c>
      <c r="J4" s="146">
        <v>0</v>
      </c>
      <c r="K4" s="146">
        <v>0</v>
      </c>
      <c r="L4" s="146">
        <v>0</v>
      </c>
      <c r="M4" s="146">
        <v>0</v>
      </c>
    </row>
    <row r="5" spans="2:13">
      <c r="C5" s="148" t="s">
        <v>101</v>
      </c>
      <c r="D5" s="146">
        <v>3000000000</v>
      </c>
      <c r="E5" s="146">
        <v>0</v>
      </c>
      <c r="F5" s="146">
        <v>400000</v>
      </c>
      <c r="G5" s="146">
        <v>200000</v>
      </c>
      <c r="H5" s="146">
        <v>0</v>
      </c>
      <c r="I5" s="146">
        <v>350000</v>
      </c>
      <c r="J5" s="146">
        <v>400000</v>
      </c>
      <c r="K5" s="146">
        <v>0</v>
      </c>
      <c r="L5" s="146">
        <v>100000</v>
      </c>
      <c r="M5" s="146">
        <v>200000</v>
      </c>
    </row>
    <row r="6" spans="2:13">
      <c r="C6" s="148" t="s">
        <v>102</v>
      </c>
      <c r="D6" s="146">
        <v>5000000000</v>
      </c>
      <c r="E6" s="146">
        <v>0</v>
      </c>
      <c r="F6" s="146">
        <v>0</v>
      </c>
      <c r="G6" s="146">
        <v>0</v>
      </c>
      <c r="H6" s="146">
        <v>300000000</v>
      </c>
      <c r="I6" s="146">
        <v>0</v>
      </c>
      <c r="J6" s="146">
        <v>40000000</v>
      </c>
      <c r="K6" s="146">
        <v>100000000</v>
      </c>
      <c r="L6" s="146">
        <v>0</v>
      </c>
      <c r="M6" s="146">
        <v>200000000</v>
      </c>
    </row>
    <row r="7" spans="2:13">
      <c r="C7" s="148" t="s">
        <v>103</v>
      </c>
      <c r="D7" s="146">
        <v>2000000000</v>
      </c>
      <c r="E7" s="146">
        <v>0</v>
      </c>
      <c r="F7" s="146">
        <v>0</v>
      </c>
      <c r="G7" s="146">
        <v>300000000</v>
      </c>
      <c r="H7" s="146">
        <v>0</v>
      </c>
      <c r="I7" s="146">
        <v>0</v>
      </c>
      <c r="J7" s="146">
        <v>20000000</v>
      </c>
      <c r="K7" s="146">
        <v>0</v>
      </c>
      <c r="L7" s="146">
        <v>5000000</v>
      </c>
      <c r="M7" s="146">
        <v>10000000</v>
      </c>
    </row>
    <row r="8" spans="2:13">
      <c r="C8" s="148" t="s">
        <v>163</v>
      </c>
      <c r="D8" s="146">
        <v>500000</v>
      </c>
      <c r="E8" s="146">
        <v>0</v>
      </c>
      <c r="F8" s="146">
        <v>0</v>
      </c>
      <c r="G8" s="146">
        <v>30000</v>
      </c>
      <c r="H8" s="146">
        <v>0</v>
      </c>
      <c r="I8" s="146">
        <v>40000</v>
      </c>
      <c r="J8" s="146">
        <v>0</v>
      </c>
      <c r="K8" s="146">
        <v>60000</v>
      </c>
      <c r="L8" s="146">
        <v>0</v>
      </c>
      <c r="M8" s="146">
        <v>0</v>
      </c>
    </row>
    <row r="9" spans="2:13">
      <c r="C9" s="148" t="s">
        <v>105</v>
      </c>
      <c r="D9" s="146">
        <v>50000000</v>
      </c>
      <c r="E9" s="146">
        <v>0</v>
      </c>
      <c r="F9" s="146">
        <v>0</v>
      </c>
      <c r="G9" s="146">
        <v>50000</v>
      </c>
      <c r="H9" s="146">
        <v>0</v>
      </c>
      <c r="I9" s="146">
        <v>0</v>
      </c>
      <c r="J9" s="146">
        <v>30000</v>
      </c>
      <c r="K9" s="146">
        <v>0</v>
      </c>
      <c r="L9" s="146">
        <v>40000</v>
      </c>
      <c r="M9" s="146">
        <v>0</v>
      </c>
    </row>
    <row r="11" spans="2:13" s="148" customFormat="1">
      <c r="B11" s="148" t="s">
        <v>290</v>
      </c>
      <c r="C11" s="149" t="s">
        <v>288</v>
      </c>
      <c r="D11" s="149">
        <v>2025</v>
      </c>
      <c r="E11" s="149">
        <f>D11+1</f>
        <v>2026</v>
      </c>
      <c r="F11" s="149">
        <f t="shared" ref="F11:M11" si="1">E11+1</f>
        <v>2027</v>
      </c>
      <c r="G11" s="149">
        <f t="shared" si="1"/>
        <v>2028</v>
      </c>
      <c r="H11" s="149">
        <f t="shared" si="1"/>
        <v>2029</v>
      </c>
      <c r="I11" s="149">
        <f t="shared" si="1"/>
        <v>2030</v>
      </c>
      <c r="J11" s="149">
        <f t="shared" si="1"/>
        <v>2031</v>
      </c>
      <c r="K11" s="149">
        <f t="shared" si="1"/>
        <v>2032</v>
      </c>
      <c r="L11" s="149">
        <f t="shared" si="1"/>
        <v>2033</v>
      </c>
      <c r="M11" s="149">
        <f t="shared" si="1"/>
        <v>2034</v>
      </c>
    </row>
    <row r="13" spans="2:13">
      <c r="B13" s="153">
        <f>+CapEx!C42</f>
        <v>0</v>
      </c>
      <c r="C13" t="s">
        <v>289</v>
      </c>
      <c r="D13" s="49">
        <f>IFERROR($D$4/$B13,0)</f>
        <v>0</v>
      </c>
      <c r="E13" s="49">
        <f t="shared" ref="E13:M13" si="2">IFERROR($D$4/$B13,0)</f>
        <v>0</v>
      </c>
      <c r="F13" s="49">
        <f t="shared" si="2"/>
        <v>0</v>
      </c>
      <c r="G13" s="49">
        <f t="shared" si="2"/>
        <v>0</v>
      </c>
      <c r="H13" s="49">
        <f t="shared" si="2"/>
        <v>0</v>
      </c>
      <c r="I13" s="49">
        <f t="shared" si="2"/>
        <v>0</v>
      </c>
      <c r="J13" s="49">
        <f t="shared" si="2"/>
        <v>0</v>
      </c>
      <c r="K13" s="49">
        <f t="shared" si="2"/>
        <v>0</v>
      </c>
      <c r="L13" s="49">
        <f t="shared" si="2"/>
        <v>0</v>
      </c>
      <c r="M13" s="49">
        <f t="shared" si="2"/>
        <v>0</v>
      </c>
    </row>
    <row r="14" spans="2:13">
      <c r="B14" s="1"/>
      <c r="C14" s="147" t="s">
        <v>294</v>
      </c>
      <c r="D14" s="136">
        <f>SUM(D13)</f>
        <v>0</v>
      </c>
      <c r="E14" s="136">
        <f t="shared" ref="E14:M14" si="3">SUM(E13)</f>
        <v>0</v>
      </c>
      <c r="F14" s="136">
        <f t="shared" si="3"/>
        <v>0</v>
      </c>
      <c r="G14" s="136">
        <f t="shared" si="3"/>
        <v>0</v>
      </c>
      <c r="H14" s="136">
        <f t="shared" si="3"/>
        <v>0</v>
      </c>
      <c r="I14" s="136">
        <f t="shared" si="3"/>
        <v>0</v>
      </c>
      <c r="J14" s="136">
        <f t="shared" si="3"/>
        <v>0</v>
      </c>
      <c r="K14" s="136">
        <f t="shared" si="3"/>
        <v>0</v>
      </c>
      <c r="L14" s="136">
        <f t="shared" si="3"/>
        <v>0</v>
      </c>
      <c r="M14" s="136">
        <f t="shared" si="3"/>
        <v>0</v>
      </c>
    </row>
    <row r="15" spans="2:13">
      <c r="B15" s="153">
        <f>+CapEx!C43</f>
        <v>20</v>
      </c>
      <c r="C15" t="s">
        <v>291</v>
      </c>
    </row>
    <row r="16" spans="2:13" hidden="1" outlineLevel="1">
      <c r="B16" s="1"/>
      <c r="C16">
        <v>1</v>
      </c>
      <c r="D16" s="49">
        <f>$D$5/$B$15</f>
        <v>150000000</v>
      </c>
      <c r="E16" s="49">
        <f t="shared" ref="E16:M16" si="4">$D$5/$B$15</f>
        <v>150000000</v>
      </c>
      <c r="F16" s="49">
        <f t="shared" si="4"/>
        <v>150000000</v>
      </c>
      <c r="G16" s="49">
        <f t="shared" si="4"/>
        <v>150000000</v>
      </c>
      <c r="H16" s="49">
        <f t="shared" si="4"/>
        <v>150000000</v>
      </c>
      <c r="I16" s="49">
        <f t="shared" si="4"/>
        <v>150000000</v>
      </c>
      <c r="J16" s="49">
        <f t="shared" si="4"/>
        <v>150000000</v>
      </c>
      <c r="K16" s="49">
        <f t="shared" si="4"/>
        <v>150000000</v>
      </c>
      <c r="L16" s="49">
        <f t="shared" si="4"/>
        <v>150000000</v>
      </c>
      <c r="M16" s="49">
        <f t="shared" si="4"/>
        <v>150000000</v>
      </c>
    </row>
    <row r="17" spans="2:13" hidden="1" outlineLevel="1">
      <c r="B17" s="1"/>
      <c r="C17">
        <v>2</v>
      </c>
      <c r="D17" s="49"/>
      <c r="E17" s="49"/>
      <c r="F17" s="49">
        <f>$F$5/$B$15</f>
        <v>20000</v>
      </c>
      <c r="G17" s="49">
        <f t="shared" ref="G17:M17" si="5">$F$5/$B$15</f>
        <v>20000</v>
      </c>
      <c r="H17" s="49">
        <f t="shared" si="5"/>
        <v>20000</v>
      </c>
      <c r="I17" s="49">
        <f t="shared" si="5"/>
        <v>20000</v>
      </c>
      <c r="J17" s="49">
        <f t="shared" si="5"/>
        <v>20000</v>
      </c>
      <c r="K17" s="49">
        <f t="shared" si="5"/>
        <v>20000</v>
      </c>
      <c r="L17" s="49">
        <f t="shared" si="5"/>
        <v>20000</v>
      </c>
      <c r="M17" s="49">
        <f t="shared" si="5"/>
        <v>20000</v>
      </c>
    </row>
    <row r="18" spans="2:13" hidden="1" outlineLevel="1">
      <c r="B18" s="1"/>
      <c r="C18">
        <v>3</v>
      </c>
      <c r="D18" s="49"/>
      <c r="E18" s="49"/>
      <c r="F18" s="49"/>
      <c r="G18" s="49">
        <f>+$G$5/$B$15</f>
        <v>10000</v>
      </c>
      <c r="H18" s="49">
        <f t="shared" ref="H18:M18" si="6">+$G$5/$B$15</f>
        <v>10000</v>
      </c>
      <c r="I18" s="49">
        <f t="shared" si="6"/>
        <v>10000</v>
      </c>
      <c r="J18" s="49">
        <f t="shared" si="6"/>
        <v>10000</v>
      </c>
      <c r="K18" s="49">
        <f t="shared" si="6"/>
        <v>10000</v>
      </c>
      <c r="L18" s="49">
        <f t="shared" si="6"/>
        <v>10000</v>
      </c>
      <c r="M18" s="49">
        <f t="shared" si="6"/>
        <v>10000</v>
      </c>
    </row>
    <row r="19" spans="2:13" hidden="1" outlineLevel="1">
      <c r="B19" s="1"/>
      <c r="C19">
        <v>4</v>
      </c>
      <c r="D19" s="49"/>
      <c r="E19" s="49"/>
      <c r="F19" s="49"/>
      <c r="G19" s="49"/>
      <c r="H19" s="49"/>
      <c r="I19" s="49">
        <f>+$I$5/$B$15</f>
        <v>17500</v>
      </c>
      <c r="J19" s="49">
        <f t="shared" ref="J19:M19" si="7">+$I$5/$B$15</f>
        <v>17500</v>
      </c>
      <c r="K19" s="49">
        <f t="shared" si="7"/>
        <v>17500</v>
      </c>
      <c r="L19" s="49">
        <f t="shared" si="7"/>
        <v>17500</v>
      </c>
      <c r="M19" s="49">
        <f t="shared" si="7"/>
        <v>17500</v>
      </c>
    </row>
    <row r="20" spans="2:13" hidden="1" outlineLevel="1">
      <c r="B20" s="1"/>
      <c r="C20">
        <v>5</v>
      </c>
      <c r="D20" s="49"/>
      <c r="E20" s="49"/>
      <c r="F20" s="49"/>
      <c r="G20" s="49"/>
      <c r="H20" s="49"/>
      <c r="I20" s="49"/>
      <c r="J20" s="49">
        <f>+$J$5/$B$15</f>
        <v>20000</v>
      </c>
      <c r="K20" s="49">
        <f t="shared" ref="K20:M20" si="8">+$J$5/$B$15</f>
        <v>20000</v>
      </c>
      <c r="L20" s="49">
        <f t="shared" si="8"/>
        <v>20000</v>
      </c>
      <c r="M20" s="49">
        <f t="shared" si="8"/>
        <v>20000</v>
      </c>
    </row>
    <row r="21" spans="2:13" hidden="1" outlineLevel="1">
      <c r="B21" s="1"/>
      <c r="C21">
        <v>6</v>
      </c>
      <c r="D21" s="49"/>
      <c r="E21" s="49"/>
      <c r="F21" s="49"/>
      <c r="G21" s="49"/>
      <c r="H21" s="49"/>
      <c r="I21" s="49"/>
      <c r="J21" s="49"/>
      <c r="K21" s="49"/>
      <c r="L21" s="49">
        <f>+$L$5/$B$15</f>
        <v>5000</v>
      </c>
      <c r="M21" s="49">
        <f t="shared" ref="M21" si="9">+$L$5/$B$15</f>
        <v>5000</v>
      </c>
    </row>
    <row r="22" spans="2:13" hidden="1" outlineLevel="1">
      <c r="B22" s="1"/>
      <c r="C22">
        <v>7</v>
      </c>
      <c r="D22" s="49"/>
      <c r="E22" s="49"/>
      <c r="F22" s="49"/>
      <c r="G22" s="49"/>
      <c r="H22" s="49"/>
      <c r="I22" s="49"/>
      <c r="J22" s="49"/>
      <c r="K22" s="49"/>
      <c r="L22" s="49"/>
      <c r="M22" s="49">
        <f>+$M$5/$B$15</f>
        <v>10000</v>
      </c>
    </row>
    <row r="23" spans="2:13" collapsed="1">
      <c r="B23" s="1"/>
      <c r="C23" s="147" t="s">
        <v>292</v>
      </c>
      <c r="D23" s="136">
        <f>SUM(D16:D22)</f>
        <v>150000000</v>
      </c>
      <c r="E23" s="136">
        <f t="shared" ref="E23:M23" si="10">SUM(E16:E22)</f>
        <v>150000000</v>
      </c>
      <c r="F23" s="136">
        <f t="shared" si="10"/>
        <v>150020000</v>
      </c>
      <c r="G23" s="136">
        <f t="shared" si="10"/>
        <v>150030000</v>
      </c>
      <c r="H23" s="136">
        <f t="shared" si="10"/>
        <v>150030000</v>
      </c>
      <c r="I23" s="136">
        <f t="shared" si="10"/>
        <v>150047500</v>
      </c>
      <c r="J23" s="136">
        <f t="shared" si="10"/>
        <v>150067500</v>
      </c>
      <c r="K23" s="136">
        <f t="shared" si="10"/>
        <v>150067500</v>
      </c>
      <c r="L23" s="136">
        <f t="shared" si="10"/>
        <v>150072500</v>
      </c>
      <c r="M23" s="136">
        <f t="shared" si="10"/>
        <v>150082500</v>
      </c>
    </row>
    <row r="24" spans="2:13">
      <c r="B24" s="1"/>
      <c r="C24" s="30"/>
      <c r="D24" s="146"/>
      <c r="E24" s="146"/>
      <c r="F24" s="146"/>
      <c r="G24" s="146"/>
      <c r="H24" s="146"/>
      <c r="I24" s="146"/>
      <c r="J24" s="146"/>
      <c r="K24" s="146"/>
      <c r="L24" s="146"/>
      <c r="M24" s="146"/>
    </row>
    <row r="25" spans="2:13">
      <c r="B25" s="153">
        <f>+CapEx!C44</f>
        <v>10</v>
      </c>
      <c r="C25" t="s">
        <v>102</v>
      </c>
    </row>
    <row r="26" spans="2:13" hidden="1" outlineLevel="1">
      <c r="B26" s="1"/>
      <c r="C26">
        <v>1</v>
      </c>
      <c r="D26" s="49">
        <f>+$D$6/$B$25</f>
        <v>500000000</v>
      </c>
      <c r="E26" s="49">
        <f t="shared" ref="E26:M26" si="11">+$D$6/$B$25</f>
        <v>500000000</v>
      </c>
      <c r="F26" s="49">
        <f t="shared" si="11"/>
        <v>500000000</v>
      </c>
      <c r="G26" s="49">
        <f t="shared" si="11"/>
        <v>500000000</v>
      </c>
      <c r="H26" s="49">
        <f t="shared" si="11"/>
        <v>500000000</v>
      </c>
      <c r="I26" s="49">
        <f t="shared" si="11"/>
        <v>500000000</v>
      </c>
      <c r="J26" s="49">
        <f t="shared" si="11"/>
        <v>500000000</v>
      </c>
      <c r="K26" s="49">
        <f t="shared" si="11"/>
        <v>500000000</v>
      </c>
      <c r="L26" s="49">
        <f t="shared" si="11"/>
        <v>500000000</v>
      </c>
      <c r="M26" s="49">
        <f t="shared" si="11"/>
        <v>500000000</v>
      </c>
    </row>
    <row r="27" spans="2:13" hidden="1" outlineLevel="1">
      <c r="B27" s="1"/>
      <c r="C27">
        <v>2</v>
      </c>
      <c r="D27" s="49"/>
      <c r="E27" s="49"/>
      <c r="F27" s="49"/>
      <c r="G27" s="49"/>
      <c r="H27" s="49">
        <f>+$H$6/$B$25</f>
        <v>30000000</v>
      </c>
      <c r="I27" s="49">
        <f t="shared" ref="I27:M27" si="12">+$H$6/$B$25</f>
        <v>30000000</v>
      </c>
      <c r="J27" s="49">
        <f t="shared" si="12"/>
        <v>30000000</v>
      </c>
      <c r="K27" s="49">
        <f t="shared" si="12"/>
        <v>30000000</v>
      </c>
      <c r="L27" s="49">
        <f t="shared" si="12"/>
        <v>30000000</v>
      </c>
      <c r="M27" s="49">
        <f t="shared" si="12"/>
        <v>30000000</v>
      </c>
    </row>
    <row r="28" spans="2:13" hidden="1" outlineLevel="1">
      <c r="B28" s="1"/>
      <c r="C28">
        <v>3</v>
      </c>
      <c r="D28" s="49"/>
      <c r="E28" s="49"/>
      <c r="F28" s="49"/>
      <c r="G28" s="49"/>
      <c r="H28" s="49"/>
      <c r="I28" s="49"/>
      <c r="J28" s="49">
        <f>+$J$6/$B$25</f>
        <v>4000000</v>
      </c>
      <c r="K28" s="49">
        <f t="shared" ref="K28:M28" si="13">+$J$6/$B$25</f>
        <v>4000000</v>
      </c>
      <c r="L28" s="49">
        <f t="shared" si="13"/>
        <v>4000000</v>
      </c>
      <c r="M28" s="49">
        <f t="shared" si="13"/>
        <v>4000000</v>
      </c>
    </row>
    <row r="29" spans="2:13" hidden="1" outlineLevel="1">
      <c r="B29" s="1"/>
      <c r="C29">
        <v>4</v>
      </c>
      <c r="D29" s="49"/>
      <c r="E29" s="49"/>
      <c r="F29" s="49"/>
      <c r="G29" s="49"/>
      <c r="H29" s="49"/>
      <c r="I29" s="49"/>
      <c r="J29" s="49"/>
      <c r="K29" s="49">
        <f>+$K$6/$B$25</f>
        <v>10000000</v>
      </c>
      <c r="L29" s="49">
        <f t="shared" ref="L29:M29" si="14">+$K$6/$B$25</f>
        <v>10000000</v>
      </c>
      <c r="M29" s="49">
        <f t="shared" si="14"/>
        <v>10000000</v>
      </c>
    </row>
    <row r="30" spans="2:13" hidden="1" outlineLevel="1">
      <c r="B30" s="1"/>
      <c r="C30">
        <v>5</v>
      </c>
      <c r="D30" s="49"/>
      <c r="E30" s="49"/>
      <c r="F30" s="49"/>
      <c r="G30" s="49"/>
      <c r="H30" s="49"/>
      <c r="I30" s="49"/>
      <c r="J30" s="49"/>
      <c r="K30" s="49"/>
      <c r="L30" s="49"/>
      <c r="M30" s="49">
        <f>+$M$6/$B$25</f>
        <v>20000000</v>
      </c>
    </row>
    <row r="31" spans="2:13" collapsed="1">
      <c r="B31" s="1"/>
      <c r="C31" s="147" t="s">
        <v>293</v>
      </c>
      <c r="D31" s="136">
        <f>SUM(D26:D30)</f>
        <v>500000000</v>
      </c>
      <c r="E31" s="136">
        <f t="shared" ref="E31:M31" si="15">SUM(E26:E30)</f>
        <v>500000000</v>
      </c>
      <c r="F31" s="136">
        <f t="shared" si="15"/>
        <v>500000000</v>
      </c>
      <c r="G31" s="136">
        <f t="shared" si="15"/>
        <v>500000000</v>
      </c>
      <c r="H31" s="136">
        <f t="shared" si="15"/>
        <v>530000000</v>
      </c>
      <c r="I31" s="136">
        <f t="shared" si="15"/>
        <v>530000000</v>
      </c>
      <c r="J31" s="136">
        <f t="shared" si="15"/>
        <v>534000000</v>
      </c>
      <c r="K31" s="136">
        <f t="shared" si="15"/>
        <v>544000000</v>
      </c>
      <c r="L31" s="136">
        <f t="shared" si="15"/>
        <v>544000000</v>
      </c>
      <c r="M31" s="136">
        <f t="shared" si="15"/>
        <v>564000000</v>
      </c>
    </row>
    <row r="32" spans="2:13">
      <c r="B32" s="1"/>
    </row>
    <row r="33" spans="2:13">
      <c r="B33" s="153">
        <f>+CapEx!C45</f>
        <v>7</v>
      </c>
      <c r="C33" t="str">
        <f>+C7</f>
        <v>Factory Equipment</v>
      </c>
    </row>
    <row r="34" spans="2:13" hidden="1" outlineLevel="1">
      <c r="B34" s="1"/>
      <c r="C34">
        <v>1</v>
      </c>
      <c r="D34" s="49">
        <f>+$D$7/$B$33</f>
        <v>285714285.71428573</v>
      </c>
      <c r="E34" s="49">
        <f t="shared" ref="E34:J34" si="16">+$D$7/$B$33</f>
        <v>285714285.71428573</v>
      </c>
      <c r="F34" s="49">
        <f t="shared" si="16"/>
        <v>285714285.71428573</v>
      </c>
      <c r="G34" s="49">
        <f t="shared" si="16"/>
        <v>285714285.71428573</v>
      </c>
      <c r="H34" s="49">
        <f t="shared" si="16"/>
        <v>285714285.71428573</v>
      </c>
      <c r="I34" s="49">
        <f t="shared" si="16"/>
        <v>285714285.71428573</v>
      </c>
      <c r="J34" s="49">
        <f t="shared" si="16"/>
        <v>285714285.71428573</v>
      </c>
      <c r="K34" s="49"/>
      <c r="L34" s="49"/>
      <c r="M34" s="49"/>
    </row>
    <row r="35" spans="2:13" hidden="1" outlineLevel="1">
      <c r="B35" s="1"/>
      <c r="C35">
        <v>2</v>
      </c>
      <c r="D35" s="49"/>
      <c r="E35" s="49"/>
      <c r="F35" s="49"/>
      <c r="G35" s="49">
        <f>+$G$7/$B$33</f>
        <v>42857142.857142858</v>
      </c>
      <c r="H35" s="49">
        <f t="shared" ref="H35:M35" si="17">+$G$7/$B$33</f>
        <v>42857142.857142858</v>
      </c>
      <c r="I35" s="49">
        <f t="shared" si="17"/>
        <v>42857142.857142858</v>
      </c>
      <c r="J35" s="49">
        <f t="shared" si="17"/>
        <v>42857142.857142858</v>
      </c>
      <c r="K35" s="49">
        <f t="shared" si="17"/>
        <v>42857142.857142858</v>
      </c>
      <c r="L35" s="49">
        <f t="shared" si="17"/>
        <v>42857142.857142858</v>
      </c>
      <c r="M35" s="49">
        <f t="shared" si="17"/>
        <v>42857142.857142858</v>
      </c>
    </row>
    <row r="36" spans="2:13" hidden="1" outlineLevel="1">
      <c r="B36" s="1"/>
      <c r="C36">
        <v>3</v>
      </c>
      <c r="D36" s="49"/>
      <c r="E36" s="49"/>
      <c r="F36" s="49"/>
      <c r="G36" s="49"/>
      <c r="H36" s="49"/>
      <c r="I36" s="49"/>
      <c r="J36" s="49">
        <f>+$J$7/$B$33</f>
        <v>2857142.8571428573</v>
      </c>
      <c r="K36" s="49">
        <f t="shared" ref="K36:M36" si="18">+$J$7/$B$33</f>
        <v>2857142.8571428573</v>
      </c>
      <c r="L36" s="49">
        <f t="shared" si="18"/>
        <v>2857142.8571428573</v>
      </c>
      <c r="M36" s="49">
        <f t="shared" si="18"/>
        <v>2857142.8571428573</v>
      </c>
    </row>
    <row r="37" spans="2:13" hidden="1" outlineLevel="1">
      <c r="B37" s="1"/>
      <c r="C37">
        <v>4</v>
      </c>
      <c r="D37" s="49"/>
      <c r="E37" s="49"/>
      <c r="F37" s="49"/>
      <c r="G37" s="49"/>
      <c r="H37" s="49"/>
      <c r="I37" s="49"/>
      <c r="J37" s="49"/>
      <c r="K37" s="49"/>
      <c r="L37" s="49">
        <f>+$L$7/$B$33</f>
        <v>714285.71428571432</v>
      </c>
      <c r="M37" s="49">
        <f>+$L$7/$B$33</f>
        <v>714285.71428571432</v>
      </c>
    </row>
    <row r="38" spans="2:13" hidden="1" outlineLevel="1">
      <c r="B38" s="1"/>
      <c r="C38">
        <v>5</v>
      </c>
      <c r="D38" s="49"/>
      <c r="E38" s="49"/>
      <c r="F38" s="49"/>
      <c r="G38" s="49"/>
      <c r="H38" s="49"/>
      <c r="I38" s="49"/>
      <c r="J38" s="49"/>
      <c r="K38" s="49"/>
      <c r="L38" s="49"/>
      <c r="M38" s="49">
        <f>+$M$7/$B$33</f>
        <v>1428571.4285714286</v>
      </c>
    </row>
    <row r="39" spans="2:13" collapsed="1">
      <c r="B39" s="1"/>
      <c r="C39" s="147" t="s">
        <v>295</v>
      </c>
      <c r="D39" s="136">
        <f>SUM(D34:D38)</f>
        <v>285714285.71428573</v>
      </c>
      <c r="E39" s="136">
        <f t="shared" ref="E39:M39" si="19">SUM(E34:E38)</f>
        <v>285714285.71428573</v>
      </c>
      <c r="F39" s="136">
        <f t="shared" si="19"/>
        <v>285714285.71428573</v>
      </c>
      <c r="G39" s="150">
        <f t="shared" si="19"/>
        <v>328571428.5714286</v>
      </c>
      <c r="H39" s="150">
        <f t="shared" si="19"/>
        <v>328571428.5714286</v>
      </c>
      <c r="I39" s="150">
        <f t="shared" si="19"/>
        <v>328571428.5714286</v>
      </c>
      <c r="J39" s="150">
        <f t="shared" si="19"/>
        <v>331428571.42857146</v>
      </c>
      <c r="K39" s="150">
        <f t="shared" si="19"/>
        <v>45714285.714285716</v>
      </c>
      <c r="L39" s="150">
        <f t="shared" si="19"/>
        <v>46428571.428571433</v>
      </c>
      <c r="M39" s="150">
        <f t="shared" si="19"/>
        <v>47857142.857142858</v>
      </c>
    </row>
    <row r="40" spans="2:13">
      <c r="B40" s="1"/>
    </row>
    <row r="41" spans="2:13">
      <c r="B41" s="153">
        <f>+CapEx!C46</f>
        <v>5</v>
      </c>
      <c r="C41" t="s">
        <v>163</v>
      </c>
    </row>
    <row r="42" spans="2:13" hidden="1" outlineLevel="1">
      <c r="B42" s="1"/>
      <c r="C42">
        <v>1</v>
      </c>
      <c r="D42">
        <f>+$D$8/$B$41</f>
        <v>100000</v>
      </c>
      <c r="E42">
        <f t="shared" ref="E42:H42" si="20">+$D$8/$B$41</f>
        <v>100000</v>
      </c>
      <c r="F42">
        <f t="shared" si="20"/>
        <v>100000</v>
      </c>
      <c r="G42">
        <f t="shared" si="20"/>
        <v>100000</v>
      </c>
      <c r="H42">
        <f t="shared" si="20"/>
        <v>100000</v>
      </c>
    </row>
    <row r="43" spans="2:13" hidden="1" outlineLevel="1">
      <c r="B43" s="1"/>
      <c r="C43">
        <v>2</v>
      </c>
      <c r="G43">
        <f>+$G$8/$B$41</f>
        <v>6000</v>
      </c>
      <c r="H43">
        <f>+$G$8/$B$41</f>
        <v>6000</v>
      </c>
      <c r="I43">
        <f>+$G$8/$B$41</f>
        <v>6000</v>
      </c>
      <c r="J43">
        <f>+$G$8/$B$41</f>
        <v>6000</v>
      </c>
      <c r="K43">
        <f>+$G$8/$B$41</f>
        <v>6000</v>
      </c>
    </row>
    <row r="44" spans="2:13" hidden="1" outlineLevel="1">
      <c r="B44" s="1"/>
      <c r="C44">
        <v>3</v>
      </c>
      <c r="I44">
        <f>+$I$8/$B$41</f>
        <v>8000</v>
      </c>
      <c r="J44">
        <f t="shared" ref="J44:M44" si="21">+$I$8/$B$41</f>
        <v>8000</v>
      </c>
      <c r="K44">
        <f t="shared" si="21"/>
        <v>8000</v>
      </c>
      <c r="L44">
        <f t="shared" si="21"/>
        <v>8000</v>
      </c>
      <c r="M44">
        <f t="shared" si="21"/>
        <v>8000</v>
      </c>
    </row>
    <row r="45" spans="2:13" hidden="1" outlineLevel="1">
      <c r="B45" s="1"/>
      <c r="C45">
        <v>4</v>
      </c>
      <c r="K45">
        <f>+$K$8/$B$41</f>
        <v>12000</v>
      </c>
      <c r="L45">
        <f t="shared" ref="L45:M45" si="22">+$K$8/$B$41</f>
        <v>12000</v>
      </c>
      <c r="M45">
        <f t="shared" si="22"/>
        <v>12000</v>
      </c>
    </row>
    <row r="46" spans="2:13" collapsed="1">
      <c r="B46" s="1"/>
      <c r="C46" s="147" t="s">
        <v>297</v>
      </c>
      <c r="D46" s="136">
        <f>SUM(D42:D45)</f>
        <v>100000</v>
      </c>
      <c r="E46" s="136">
        <f t="shared" ref="E46:M46" si="23">SUM(E42:E45)</f>
        <v>100000</v>
      </c>
      <c r="F46" s="136">
        <f t="shared" si="23"/>
        <v>100000</v>
      </c>
      <c r="G46" s="136">
        <f t="shared" si="23"/>
        <v>106000</v>
      </c>
      <c r="H46" s="136">
        <f t="shared" si="23"/>
        <v>106000</v>
      </c>
      <c r="I46" s="136">
        <f t="shared" si="23"/>
        <v>14000</v>
      </c>
      <c r="J46" s="136">
        <f t="shared" si="23"/>
        <v>14000</v>
      </c>
      <c r="K46" s="136">
        <f t="shared" si="23"/>
        <v>26000</v>
      </c>
      <c r="L46" s="136">
        <f t="shared" si="23"/>
        <v>20000</v>
      </c>
      <c r="M46" s="136">
        <f t="shared" si="23"/>
        <v>20000</v>
      </c>
    </row>
    <row r="47" spans="2:13">
      <c r="B47" s="1"/>
    </row>
    <row r="48" spans="2:13">
      <c r="B48" s="153">
        <f>+CapEx!C47</f>
        <v>7</v>
      </c>
      <c r="C48" s="145" t="s">
        <v>105</v>
      </c>
    </row>
    <row r="49" spans="2:13" hidden="1" outlineLevel="1">
      <c r="C49">
        <v>1</v>
      </c>
      <c r="D49" s="49">
        <f>+$D$9/$B$48</f>
        <v>7142857.1428571427</v>
      </c>
      <c r="E49" s="49">
        <f t="shared" ref="E49:J49" si="24">+$D$9/$B$48</f>
        <v>7142857.1428571427</v>
      </c>
      <c r="F49" s="49">
        <f t="shared" si="24"/>
        <v>7142857.1428571427</v>
      </c>
      <c r="G49" s="49">
        <f t="shared" si="24"/>
        <v>7142857.1428571427</v>
      </c>
      <c r="H49" s="49">
        <f t="shared" si="24"/>
        <v>7142857.1428571427</v>
      </c>
      <c r="I49" s="49">
        <f t="shared" si="24"/>
        <v>7142857.1428571427</v>
      </c>
      <c r="J49" s="49">
        <f t="shared" si="24"/>
        <v>7142857.1428571427</v>
      </c>
      <c r="K49" s="49"/>
      <c r="L49" s="49"/>
      <c r="M49" s="49"/>
    </row>
    <row r="50" spans="2:13" hidden="1" outlineLevel="1">
      <c r="C50">
        <v>2</v>
      </c>
      <c r="D50" s="49"/>
      <c r="E50" s="49"/>
      <c r="F50" s="49"/>
      <c r="G50" s="49">
        <f>+$G$9/$B$48</f>
        <v>7142.8571428571431</v>
      </c>
      <c r="H50" s="49">
        <f t="shared" ref="H50:M50" si="25">+$G$9/$B$48</f>
        <v>7142.8571428571431</v>
      </c>
      <c r="I50" s="49">
        <f t="shared" si="25"/>
        <v>7142.8571428571431</v>
      </c>
      <c r="J50" s="49">
        <f t="shared" si="25"/>
        <v>7142.8571428571431</v>
      </c>
      <c r="K50" s="49">
        <f t="shared" si="25"/>
        <v>7142.8571428571431</v>
      </c>
      <c r="L50" s="49">
        <f t="shared" si="25"/>
        <v>7142.8571428571431</v>
      </c>
      <c r="M50" s="49">
        <f t="shared" si="25"/>
        <v>7142.8571428571431</v>
      </c>
    </row>
    <row r="51" spans="2:13" hidden="1" outlineLevel="1">
      <c r="C51">
        <v>3</v>
      </c>
      <c r="D51" s="49"/>
      <c r="E51" s="49"/>
      <c r="F51" s="49"/>
      <c r="G51" s="49"/>
      <c r="H51" s="49"/>
      <c r="I51" s="49"/>
      <c r="J51" s="49">
        <f>+$J$9/$B$48</f>
        <v>4285.7142857142853</v>
      </c>
      <c r="K51" s="49">
        <f t="shared" ref="K51:M51" si="26">+$J$9/$B$48</f>
        <v>4285.7142857142853</v>
      </c>
      <c r="L51" s="49">
        <f t="shared" si="26"/>
        <v>4285.7142857142853</v>
      </c>
      <c r="M51" s="49">
        <f t="shared" si="26"/>
        <v>4285.7142857142853</v>
      </c>
    </row>
    <row r="52" spans="2:13" hidden="1" outlineLevel="1">
      <c r="C52">
        <v>4</v>
      </c>
      <c r="D52" s="49"/>
      <c r="E52" s="49"/>
      <c r="F52" s="49"/>
      <c r="G52" s="49"/>
      <c r="H52" s="49"/>
      <c r="I52" s="49"/>
      <c r="J52" s="49"/>
      <c r="K52" s="49"/>
      <c r="L52" s="49">
        <f>+$L$9/$B$48</f>
        <v>5714.2857142857147</v>
      </c>
      <c r="M52" s="49">
        <f t="shared" ref="M52" si="27">+$L$9/$B$48</f>
        <v>5714.2857142857147</v>
      </c>
    </row>
    <row r="53" spans="2:13" collapsed="1">
      <c r="C53" s="147" t="s">
        <v>296</v>
      </c>
      <c r="D53" s="136">
        <f>SUM(D49:D52)</f>
        <v>7142857.1428571427</v>
      </c>
      <c r="E53" s="136">
        <f t="shared" ref="E53:M53" si="28">SUM(E49:E52)</f>
        <v>7142857.1428571427</v>
      </c>
      <c r="F53" s="136">
        <f t="shared" si="28"/>
        <v>7142857.1428571427</v>
      </c>
      <c r="G53" s="136">
        <f t="shared" si="28"/>
        <v>7150000</v>
      </c>
      <c r="H53" s="136">
        <f t="shared" si="28"/>
        <v>7150000</v>
      </c>
      <c r="I53" s="136">
        <f t="shared" si="28"/>
        <v>7150000</v>
      </c>
      <c r="J53" s="136">
        <f t="shared" si="28"/>
        <v>7154285.7142857146</v>
      </c>
      <c r="K53" s="136">
        <f t="shared" si="28"/>
        <v>11428.571428571428</v>
      </c>
      <c r="L53" s="136">
        <f t="shared" si="28"/>
        <v>17142.857142857141</v>
      </c>
      <c r="M53" s="136">
        <f t="shared" si="28"/>
        <v>17142.857142857141</v>
      </c>
    </row>
    <row r="56" spans="2:13" ht="14.4" thickBot="1">
      <c r="B56" s="1" t="s">
        <v>35</v>
      </c>
      <c r="C56" s="151" t="s">
        <v>298</v>
      </c>
      <c r="D56" s="152">
        <f>+D14+D23+D31+D39+D46+D53</f>
        <v>942957142.85714293</v>
      </c>
      <c r="E56" s="152">
        <f t="shared" ref="E56:M56" si="29">+E14+E23+E31+E39+E46+E53</f>
        <v>942957142.85714293</v>
      </c>
      <c r="F56" s="152">
        <f t="shared" si="29"/>
        <v>942977142.85714293</v>
      </c>
      <c r="G56" s="152">
        <f t="shared" si="29"/>
        <v>985857428.57142854</v>
      </c>
      <c r="H56" s="152">
        <f t="shared" si="29"/>
        <v>1015857428.5714285</v>
      </c>
      <c r="I56" s="152">
        <f t="shared" si="29"/>
        <v>1015782928.5714285</v>
      </c>
      <c r="J56" s="152">
        <f t="shared" si="29"/>
        <v>1022664357.1428572</v>
      </c>
      <c r="K56" s="152">
        <f t="shared" si="29"/>
        <v>739819214.28571427</v>
      </c>
      <c r="L56" s="152">
        <f t="shared" si="29"/>
        <v>740538214.28571427</v>
      </c>
      <c r="M56" s="152">
        <f t="shared" si="29"/>
        <v>761976785.71428561</v>
      </c>
    </row>
    <row r="57" spans="2:13" ht="14.4" thickTop="1"/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280A8-8738-4B5B-ADF2-420444897244}">
  <dimension ref="A2:V67"/>
  <sheetViews>
    <sheetView showGridLines="0" zoomScale="90" workbookViewId="0">
      <pane xSplit="1" ySplit="6" topLeftCell="B12" activePane="bottomRight" state="frozen"/>
      <selection pane="topRight" activeCell="B1" sqref="B1"/>
      <selection pane="bottomLeft" activeCell="A7" sqref="A7"/>
      <selection pane="bottomRight" activeCell="F37" sqref="F37"/>
    </sheetView>
  </sheetViews>
  <sheetFormatPr defaultColWidth="8.796875" defaultRowHeight="13.8"/>
  <cols>
    <col min="1" max="1" width="8.8984375" customWidth="1"/>
    <col min="2" max="2" width="20.69921875" bestFit="1" customWidth="1"/>
    <col min="3" max="3" width="8.8984375"/>
    <col min="4" max="4" width="21.3984375" bestFit="1" customWidth="1"/>
    <col min="5" max="5" width="14.3984375" bestFit="1" customWidth="1"/>
    <col min="6" max="15" width="10.19921875" bestFit="1" customWidth="1"/>
  </cols>
  <sheetData>
    <row r="2" spans="1:22">
      <c r="A2" s="96"/>
      <c r="B2" s="96" t="s">
        <v>300</v>
      </c>
      <c r="C2" s="96"/>
      <c r="D2" s="96"/>
      <c r="E2" s="96"/>
      <c r="F2" s="139">
        <v>2025</v>
      </c>
      <c r="G2" s="139">
        <v>2026</v>
      </c>
      <c r="H2" s="139">
        <v>2027</v>
      </c>
      <c r="I2" s="139">
        <v>2028</v>
      </c>
      <c r="J2" s="139">
        <v>2029</v>
      </c>
      <c r="K2" s="139">
        <v>2030</v>
      </c>
      <c r="L2" s="139">
        <v>2031</v>
      </c>
      <c r="M2" s="139">
        <v>2032</v>
      </c>
      <c r="N2" s="139">
        <v>2033</v>
      </c>
      <c r="O2" s="139">
        <v>2034</v>
      </c>
    </row>
    <row r="3" spans="1:22">
      <c r="E3" s="24" t="s">
        <v>219</v>
      </c>
      <c r="F3" s="140">
        <v>45658</v>
      </c>
      <c r="G3" s="140">
        <v>46023</v>
      </c>
      <c r="H3" s="140">
        <v>46388</v>
      </c>
      <c r="I3" s="140">
        <v>46753</v>
      </c>
      <c r="J3" s="140">
        <v>47119</v>
      </c>
      <c r="K3" s="140">
        <v>47484</v>
      </c>
      <c r="L3" s="140">
        <v>47849</v>
      </c>
      <c r="M3" s="140">
        <v>48214</v>
      </c>
      <c r="N3" s="140">
        <v>48580</v>
      </c>
      <c r="O3" s="140">
        <v>48945</v>
      </c>
    </row>
    <row r="4" spans="1:22">
      <c r="E4" s="24" t="s">
        <v>220</v>
      </c>
      <c r="F4" s="140">
        <v>46022</v>
      </c>
      <c r="G4" s="140">
        <v>46387</v>
      </c>
      <c r="H4" s="140">
        <v>46752</v>
      </c>
      <c r="I4" s="140">
        <v>47118</v>
      </c>
      <c r="J4" s="140">
        <v>47483</v>
      </c>
      <c r="K4" s="140">
        <v>47848</v>
      </c>
      <c r="L4" s="140">
        <v>48213</v>
      </c>
      <c r="M4" s="140">
        <v>48579</v>
      </c>
      <c r="N4" s="140">
        <v>48944</v>
      </c>
      <c r="O4" s="140">
        <v>49309</v>
      </c>
    </row>
    <row r="5" spans="1:22">
      <c r="B5" t="s">
        <v>306</v>
      </c>
      <c r="E5" s="24" t="s">
        <v>222</v>
      </c>
      <c r="F5" s="42">
        <f>+F4-F3+1</f>
        <v>365</v>
      </c>
      <c r="G5" s="42">
        <f t="shared" ref="G5:O5" si="0">+G4-G3+1</f>
        <v>365</v>
      </c>
      <c r="H5" s="42">
        <f t="shared" si="0"/>
        <v>365</v>
      </c>
      <c r="I5" s="42">
        <f t="shared" si="0"/>
        <v>366</v>
      </c>
      <c r="J5" s="42">
        <f t="shared" si="0"/>
        <v>365</v>
      </c>
      <c r="K5" s="42">
        <f t="shared" si="0"/>
        <v>365</v>
      </c>
      <c r="L5" s="42">
        <f t="shared" si="0"/>
        <v>365</v>
      </c>
      <c r="M5" s="42">
        <f t="shared" si="0"/>
        <v>366</v>
      </c>
      <c r="N5" s="42">
        <f t="shared" si="0"/>
        <v>365</v>
      </c>
      <c r="O5" s="42">
        <f t="shared" si="0"/>
        <v>365</v>
      </c>
    </row>
    <row r="6" spans="1:22">
      <c r="B6" s="164" t="s">
        <v>303</v>
      </c>
      <c r="E6" s="24" t="s">
        <v>221</v>
      </c>
      <c r="F6" s="87" t="s">
        <v>174</v>
      </c>
      <c r="G6" s="87" t="s">
        <v>175</v>
      </c>
      <c r="H6" s="87" t="s">
        <v>176</v>
      </c>
      <c r="I6" s="87" t="s">
        <v>177</v>
      </c>
      <c r="J6" s="87" t="s">
        <v>178</v>
      </c>
      <c r="K6" s="87" t="s">
        <v>179</v>
      </c>
      <c r="L6" s="87" t="s">
        <v>180</v>
      </c>
      <c r="M6" s="87" t="s">
        <v>181</v>
      </c>
      <c r="N6" s="87" t="s">
        <v>182</v>
      </c>
      <c r="O6" s="87" t="s">
        <v>183</v>
      </c>
    </row>
    <row r="8" spans="1:22" s="172" customFormat="1">
      <c r="A8" s="168"/>
      <c r="B8" s="168" t="s">
        <v>301</v>
      </c>
      <c r="C8" s="168"/>
      <c r="D8" s="168"/>
      <c r="E8" s="168"/>
      <c r="F8" s="168"/>
      <c r="G8" s="168"/>
      <c r="H8" s="168"/>
      <c r="I8" s="168"/>
      <c r="J8" s="168"/>
      <c r="K8" s="168"/>
      <c r="L8" s="168"/>
      <c r="M8" s="168"/>
      <c r="N8" s="168"/>
      <c r="O8" s="168"/>
    </row>
    <row r="9" spans="1:22" s="173" customFormat="1">
      <c r="A9" s="169"/>
      <c r="B9" s="170" t="s">
        <v>302</v>
      </c>
      <c r="C9" s="169"/>
      <c r="D9" s="169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</row>
    <row r="10" spans="1:22" s="148" customFormat="1">
      <c r="A10" s="158"/>
      <c r="B10" s="158" t="s">
        <v>45</v>
      </c>
      <c r="C10" s="158"/>
      <c r="D10" s="159" t="s">
        <v>31</v>
      </c>
      <c r="E10" s="158" t="s">
        <v>307</v>
      </c>
      <c r="F10" s="161" cm="1">
        <f t="array" ref="F10:O10">+_xlfn.XLOOKUP($B$6,B11:B13,F11:O13)</f>
        <v>0.7</v>
      </c>
      <c r="G10" s="161">
        <v>0.72</v>
      </c>
      <c r="H10" s="161">
        <v>0.75</v>
      </c>
      <c r="I10" s="161">
        <v>0.77</v>
      </c>
      <c r="J10" s="161">
        <v>0.8</v>
      </c>
      <c r="K10" s="161">
        <v>0.82</v>
      </c>
      <c r="L10" s="161">
        <v>0.85</v>
      </c>
      <c r="M10" s="161">
        <v>0.9</v>
      </c>
      <c r="N10" s="161">
        <v>0.92</v>
      </c>
      <c r="O10" s="161">
        <v>0.95</v>
      </c>
    </row>
    <row r="11" spans="1:22">
      <c r="B11" s="73" t="s">
        <v>303</v>
      </c>
      <c r="D11" s="1" t="s">
        <v>31</v>
      </c>
      <c r="F11" s="163">
        <v>0.7</v>
      </c>
      <c r="G11" s="163">
        <v>0.72</v>
      </c>
      <c r="H11" s="163">
        <v>0.75</v>
      </c>
      <c r="I11" s="163">
        <v>0.77</v>
      </c>
      <c r="J11" s="163">
        <v>0.8</v>
      </c>
      <c r="K11" s="163">
        <v>0.82</v>
      </c>
      <c r="L11" s="163">
        <v>0.85</v>
      </c>
      <c r="M11" s="163">
        <v>0.9</v>
      </c>
      <c r="N11" s="163">
        <v>0.92</v>
      </c>
      <c r="O11" s="163">
        <v>0.95</v>
      </c>
    </row>
    <row r="12" spans="1:22">
      <c r="B12" s="73" t="s">
        <v>304</v>
      </c>
      <c r="D12" s="1" t="s">
        <v>31</v>
      </c>
      <c r="E12" s="166">
        <v>0.1</v>
      </c>
      <c r="F12" s="138">
        <f>MIN(F11+$E$12,1)</f>
        <v>0.79999999999999993</v>
      </c>
      <c r="G12" s="138">
        <f t="shared" ref="G12:O12" si="1">MIN(G11+$E$12,1)</f>
        <v>0.82</v>
      </c>
      <c r="H12" s="138">
        <f t="shared" si="1"/>
        <v>0.85</v>
      </c>
      <c r="I12" s="138">
        <f t="shared" si="1"/>
        <v>0.87</v>
      </c>
      <c r="J12" s="138">
        <f t="shared" si="1"/>
        <v>0.9</v>
      </c>
      <c r="K12" s="138">
        <f t="shared" si="1"/>
        <v>0.91999999999999993</v>
      </c>
      <c r="L12" s="138">
        <f t="shared" si="1"/>
        <v>0.95</v>
      </c>
      <c r="M12" s="138">
        <f t="shared" si="1"/>
        <v>1</v>
      </c>
      <c r="N12" s="138">
        <f t="shared" si="1"/>
        <v>1</v>
      </c>
      <c r="O12" s="138">
        <f t="shared" si="1"/>
        <v>1</v>
      </c>
    </row>
    <row r="13" spans="1:22">
      <c r="B13" s="73" t="s">
        <v>305</v>
      </c>
      <c r="D13" s="1" t="s">
        <v>31</v>
      </c>
      <c r="E13" s="166">
        <v>-0.1</v>
      </c>
      <c r="F13" s="160">
        <f>+MIN(F11+$E$13,1)</f>
        <v>0.6</v>
      </c>
      <c r="G13" s="160">
        <f t="shared" ref="G13:O13" si="2">+MIN(G11+$E$13,1)</f>
        <v>0.62</v>
      </c>
      <c r="H13" s="160">
        <f t="shared" si="2"/>
        <v>0.65</v>
      </c>
      <c r="I13" s="160">
        <f t="shared" si="2"/>
        <v>0.67</v>
      </c>
      <c r="J13" s="160">
        <f t="shared" si="2"/>
        <v>0.70000000000000007</v>
      </c>
      <c r="K13" s="160">
        <f t="shared" si="2"/>
        <v>0.72</v>
      </c>
      <c r="L13" s="160">
        <f t="shared" si="2"/>
        <v>0.75</v>
      </c>
      <c r="M13" s="160">
        <f t="shared" si="2"/>
        <v>0.8</v>
      </c>
      <c r="N13" s="160">
        <f t="shared" si="2"/>
        <v>0.82000000000000006</v>
      </c>
      <c r="O13" s="160">
        <f t="shared" si="2"/>
        <v>0.85</v>
      </c>
    </row>
    <row r="15" spans="1:22" s="148" customFormat="1">
      <c r="A15" s="158"/>
      <c r="B15" s="158" t="s">
        <v>308</v>
      </c>
      <c r="C15" s="158"/>
      <c r="D15" s="159" t="s">
        <v>31</v>
      </c>
      <c r="E15" s="158" t="s">
        <v>307</v>
      </c>
      <c r="F15" s="161" cm="1">
        <f t="array" ref="F15:O15">+_xlfn.XLOOKUP($B$6,B16:B18,F16:O18)</f>
        <v>0.72</v>
      </c>
      <c r="G15" s="161">
        <v>0.75</v>
      </c>
      <c r="H15" s="161">
        <v>0.78</v>
      </c>
      <c r="I15" s="161">
        <v>0.8</v>
      </c>
      <c r="J15" s="161">
        <v>0.82</v>
      </c>
      <c r="K15" s="161">
        <v>0.85</v>
      </c>
      <c r="L15" s="161">
        <v>0.88</v>
      </c>
      <c r="M15" s="161">
        <v>0.9</v>
      </c>
      <c r="N15" s="161">
        <v>0.93</v>
      </c>
      <c r="O15" s="161">
        <v>0.96</v>
      </c>
    </row>
    <row r="16" spans="1:22">
      <c r="B16" s="73" t="s">
        <v>303</v>
      </c>
      <c r="D16" s="1" t="s">
        <v>31</v>
      </c>
      <c r="F16" s="163">
        <v>0.72</v>
      </c>
      <c r="G16" s="163">
        <v>0.75</v>
      </c>
      <c r="H16" s="163">
        <v>0.78</v>
      </c>
      <c r="I16" s="163">
        <v>0.8</v>
      </c>
      <c r="J16" s="163">
        <v>0.82</v>
      </c>
      <c r="K16" s="163">
        <v>0.85</v>
      </c>
      <c r="L16" s="163">
        <v>0.88</v>
      </c>
      <c r="M16" s="163">
        <v>0.9</v>
      </c>
      <c r="N16" s="163">
        <v>0.93</v>
      </c>
      <c r="O16" s="163">
        <v>0.96</v>
      </c>
      <c r="V16" t="s">
        <v>370</v>
      </c>
    </row>
    <row r="17" spans="1:15">
      <c r="B17" s="73" t="s">
        <v>304</v>
      </c>
      <c r="D17" s="1" t="s">
        <v>31</v>
      </c>
      <c r="E17" s="166">
        <v>0.1</v>
      </c>
      <c r="F17" s="138">
        <f>MIN(F16+$E$17,1)</f>
        <v>0.82</v>
      </c>
      <c r="G17" s="138">
        <f t="shared" ref="G17:O17" si="3">MIN(G16+$E$17,1)</f>
        <v>0.85</v>
      </c>
      <c r="H17" s="138">
        <f t="shared" si="3"/>
        <v>0.88</v>
      </c>
      <c r="I17" s="138">
        <f t="shared" si="3"/>
        <v>0.9</v>
      </c>
      <c r="J17" s="138">
        <f t="shared" si="3"/>
        <v>0.91999999999999993</v>
      </c>
      <c r="K17" s="138">
        <f t="shared" si="3"/>
        <v>0.95</v>
      </c>
      <c r="L17" s="138">
        <f t="shared" si="3"/>
        <v>0.98</v>
      </c>
      <c r="M17" s="138">
        <f t="shared" si="3"/>
        <v>1</v>
      </c>
      <c r="N17" s="138">
        <f t="shared" si="3"/>
        <v>1</v>
      </c>
      <c r="O17" s="138">
        <f t="shared" si="3"/>
        <v>1</v>
      </c>
    </row>
    <row r="18" spans="1:15">
      <c r="B18" s="73" t="s">
        <v>305</v>
      </c>
      <c r="D18" s="1" t="s">
        <v>31</v>
      </c>
      <c r="E18" s="166">
        <v>-0.1</v>
      </c>
      <c r="F18" s="160">
        <f>+MIN(F16+$E$18,1)</f>
        <v>0.62</v>
      </c>
      <c r="G18" s="160">
        <f t="shared" ref="G18:O18" si="4">+MIN(G16+$E$18,1)</f>
        <v>0.65</v>
      </c>
      <c r="H18" s="160">
        <f t="shared" si="4"/>
        <v>0.68</v>
      </c>
      <c r="I18" s="160">
        <f t="shared" si="4"/>
        <v>0.70000000000000007</v>
      </c>
      <c r="J18" s="160">
        <f t="shared" si="4"/>
        <v>0.72</v>
      </c>
      <c r="K18" s="160">
        <f t="shared" si="4"/>
        <v>0.75</v>
      </c>
      <c r="L18" s="160">
        <f t="shared" si="4"/>
        <v>0.78</v>
      </c>
      <c r="M18" s="160">
        <f t="shared" si="4"/>
        <v>0.8</v>
      </c>
      <c r="N18" s="160">
        <f t="shared" si="4"/>
        <v>0.83000000000000007</v>
      </c>
      <c r="O18" s="160">
        <f t="shared" si="4"/>
        <v>0.86</v>
      </c>
    </row>
    <row r="20" spans="1:15" s="148" customFormat="1">
      <c r="A20" s="158"/>
      <c r="B20" s="158" t="s">
        <v>310</v>
      </c>
      <c r="C20" s="158"/>
      <c r="D20" s="159" t="s">
        <v>31</v>
      </c>
      <c r="E20" s="158" t="s">
        <v>307</v>
      </c>
      <c r="F20" s="161" cm="1">
        <f t="array" ref="F20:O20">+_xlfn.XLOOKUP($B$6,B21:B23,F21:O23)</f>
        <v>0.75</v>
      </c>
      <c r="G20" s="161">
        <v>0.78</v>
      </c>
      <c r="H20" s="161">
        <v>0.8</v>
      </c>
      <c r="I20" s="161">
        <v>0.82</v>
      </c>
      <c r="J20" s="161">
        <v>0.85</v>
      </c>
      <c r="K20" s="161">
        <v>0.87</v>
      </c>
      <c r="L20" s="161">
        <v>0.9</v>
      </c>
      <c r="M20" s="161">
        <v>0.92</v>
      </c>
      <c r="N20" s="161">
        <v>0.95</v>
      </c>
      <c r="O20" s="161">
        <v>0.97</v>
      </c>
    </row>
    <row r="21" spans="1:15">
      <c r="B21" s="73" t="s">
        <v>303</v>
      </c>
      <c r="D21" s="1" t="s">
        <v>31</v>
      </c>
      <c r="F21" s="163">
        <v>0.75</v>
      </c>
      <c r="G21" s="163">
        <v>0.78</v>
      </c>
      <c r="H21" s="163">
        <v>0.8</v>
      </c>
      <c r="I21" s="163">
        <v>0.82</v>
      </c>
      <c r="J21" s="163">
        <v>0.85</v>
      </c>
      <c r="K21" s="163">
        <v>0.87</v>
      </c>
      <c r="L21" s="163">
        <v>0.9</v>
      </c>
      <c r="M21" s="163">
        <v>0.92</v>
      </c>
      <c r="N21" s="163">
        <v>0.95</v>
      </c>
      <c r="O21" s="163">
        <v>0.97</v>
      </c>
    </row>
    <row r="22" spans="1:15">
      <c r="B22" s="73" t="s">
        <v>304</v>
      </c>
      <c r="D22" s="1" t="s">
        <v>31</v>
      </c>
      <c r="E22" s="166">
        <v>0.1</v>
      </c>
      <c r="F22" s="138">
        <f>MIN(F21+$E$22,1)</f>
        <v>0.85</v>
      </c>
      <c r="G22" s="138">
        <f t="shared" ref="G22:O22" si="5">MIN(G21+$E$22,1)</f>
        <v>0.88</v>
      </c>
      <c r="H22" s="138">
        <f t="shared" si="5"/>
        <v>0.9</v>
      </c>
      <c r="I22" s="138">
        <f t="shared" si="5"/>
        <v>0.91999999999999993</v>
      </c>
      <c r="J22" s="138">
        <f t="shared" si="5"/>
        <v>0.95</v>
      </c>
      <c r="K22" s="138">
        <f t="shared" si="5"/>
        <v>0.97</v>
      </c>
      <c r="L22" s="138">
        <f t="shared" si="5"/>
        <v>1</v>
      </c>
      <c r="M22" s="138">
        <f t="shared" si="5"/>
        <v>1</v>
      </c>
      <c r="N22" s="138">
        <f t="shared" si="5"/>
        <v>1</v>
      </c>
      <c r="O22" s="138">
        <f t="shared" si="5"/>
        <v>1</v>
      </c>
    </row>
    <row r="23" spans="1:15">
      <c r="B23" s="73" t="s">
        <v>305</v>
      </c>
      <c r="D23" s="1" t="s">
        <v>31</v>
      </c>
      <c r="E23" s="166">
        <v>-0.1</v>
      </c>
      <c r="F23" s="160">
        <f>+MIN(F21+$E$23,1)</f>
        <v>0.65</v>
      </c>
      <c r="G23" s="160">
        <f t="shared" ref="G23:O23" si="6">+MIN(G21+$E$23,1)</f>
        <v>0.68</v>
      </c>
      <c r="H23" s="160">
        <f t="shared" si="6"/>
        <v>0.70000000000000007</v>
      </c>
      <c r="I23" s="160">
        <f t="shared" si="6"/>
        <v>0.72</v>
      </c>
      <c r="J23" s="160">
        <f t="shared" si="6"/>
        <v>0.75</v>
      </c>
      <c r="K23" s="160">
        <f t="shared" si="6"/>
        <v>0.77</v>
      </c>
      <c r="L23" s="160">
        <f t="shared" si="6"/>
        <v>0.8</v>
      </c>
      <c r="M23" s="160">
        <f t="shared" si="6"/>
        <v>0.82000000000000006</v>
      </c>
      <c r="N23" s="160">
        <f t="shared" si="6"/>
        <v>0.85</v>
      </c>
      <c r="O23" s="160">
        <f t="shared" si="6"/>
        <v>0.87</v>
      </c>
    </row>
    <row r="25" spans="1:15" s="148" customFormat="1">
      <c r="A25" s="158"/>
      <c r="B25" s="158" t="s">
        <v>309</v>
      </c>
      <c r="C25" s="158"/>
      <c r="D25" s="159" t="s">
        <v>31</v>
      </c>
      <c r="E25" s="158" t="s">
        <v>307</v>
      </c>
      <c r="F25" s="161" cm="1">
        <f t="array" ref="F25:O25">+_xlfn.XLOOKUP($B$6,B26:B28,F26:O28)</f>
        <v>0.65</v>
      </c>
      <c r="G25" s="161">
        <v>0.68</v>
      </c>
      <c r="H25" s="161">
        <v>0.73</v>
      </c>
      <c r="I25" s="161">
        <v>0.75</v>
      </c>
      <c r="J25" s="161">
        <v>0.8</v>
      </c>
      <c r="K25" s="161">
        <v>0.82</v>
      </c>
      <c r="L25" s="161">
        <v>0.85</v>
      </c>
      <c r="M25" s="161">
        <v>0.9</v>
      </c>
      <c r="N25" s="161">
        <v>0.92</v>
      </c>
      <c r="O25" s="161">
        <v>0.95</v>
      </c>
    </row>
    <row r="26" spans="1:15">
      <c r="B26" s="73" t="s">
        <v>303</v>
      </c>
      <c r="D26" s="1" t="s">
        <v>31</v>
      </c>
      <c r="F26" s="163">
        <v>0.65</v>
      </c>
      <c r="G26" s="163">
        <v>0.68</v>
      </c>
      <c r="H26" s="163">
        <v>0.73</v>
      </c>
      <c r="I26" s="163">
        <v>0.75</v>
      </c>
      <c r="J26" s="163">
        <v>0.8</v>
      </c>
      <c r="K26" s="163">
        <v>0.82</v>
      </c>
      <c r="L26" s="163">
        <v>0.85</v>
      </c>
      <c r="M26" s="163">
        <v>0.9</v>
      </c>
      <c r="N26" s="163">
        <v>0.92</v>
      </c>
      <c r="O26" s="163">
        <v>0.95</v>
      </c>
    </row>
    <row r="27" spans="1:15">
      <c r="B27" s="73" t="s">
        <v>304</v>
      </c>
      <c r="D27" s="1" t="s">
        <v>31</v>
      </c>
      <c r="E27" s="167">
        <v>0.1</v>
      </c>
      <c r="F27" s="138">
        <f>MIN(F26+$E$27,1)</f>
        <v>0.75</v>
      </c>
      <c r="G27" s="138">
        <f t="shared" ref="G27:O27" si="7">MIN(G26+$E$27,1)</f>
        <v>0.78</v>
      </c>
      <c r="H27" s="138">
        <f t="shared" si="7"/>
        <v>0.83</v>
      </c>
      <c r="I27" s="138">
        <f t="shared" si="7"/>
        <v>0.85</v>
      </c>
      <c r="J27" s="138">
        <f t="shared" si="7"/>
        <v>0.9</v>
      </c>
      <c r="K27" s="138">
        <f t="shared" si="7"/>
        <v>0.91999999999999993</v>
      </c>
      <c r="L27" s="138">
        <f t="shared" si="7"/>
        <v>0.95</v>
      </c>
      <c r="M27" s="138">
        <f t="shared" si="7"/>
        <v>1</v>
      </c>
      <c r="N27" s="138">
        <f t="shared" si="7"/>
        <v>1</v>
      </c>
      <c r="O27" s="138">
        <f t="shared" si="7"/>
        <v>1</v>
      </c>
    </row>
    <row r="28" spans="1:15">
      <c r="B28" s="73" t="s">
        <v>305</v>
      </c>
      <c r="D28" s="1" t="s">
        <v>31</v>
      </c>
      <c r="E28" s="167">
        <v>-0.1</v>
      </c>
      <c r="F28" s="160">
        <f>+MIN(F26+$E$28,1)</f>
        <v>0.55000000000000004</v>
      </c>
      <c r="G28" s="160">
        <f t="shared" ref="G28:O28" si="8">+MIN(G26+$E$28,1)</f>
        <v>0.58000000000000007</v>
      </c>
      <c r="H28" s="160">
        <f t="shared" si="8"/>
        <v>0.63</v>
      </c>
      <c r="I28" s="160">
        <f t="shared" si="8"/>
        <v>0.65</v>
      </c>
      <c r="J28" s="160">
        <f t="shared" si="8"/>
        <v>0.70000000000000007</v>
      </c>
      <c r="K28" s="160">
        <f t="shared" si="8"/>
        <v>0.72</v>
      </c>
      <c r="L28" s="160">
        <f t="shared" si="8"/>
        <v>0.75</v>
      </c>
      <c r="M28" s="160">
        <f t="shared" si="8"/>
        <v>0.8</v>
      </c>
      <c r="N28" s="160">
        <f t="shared" si="8"/>
        <v>0.82000000000000006</v>
      </c>
      <c r="O28" s="160">
        <f t="shared" si="8"/>
        <v>0.85</v>
      </c>
    </row>
    <row r="29" spans="1:15">
      <c r="B29" s="73"/>
      <c r="D29" s="1"/>
      <c r="E29" s="167"/>
      <c r="F29" s="160"/>
      <c r="G29" s="160"/>
      <c r="H29" s="160"/>
      <c r="I29" s="160"/>
      <c r="J29" s="160"/>
      <c r="K29" s="160"/>
      <c r="L29" s="160"/>
      <c r="M29" s="160"/>
      <c r="N29" s="160"/>
      <c r="O29" s="160"/>
    </row>
    <row r="31" spans="1:15" s="173" customFormat="1">
      <c r="A31" s="169"/>
      <c r="B31" s="170" t="s">
        <v>311</v>
      </c>
      <c r="C31" s="169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</row>
    <row r="32" spans="1:15" s="148" customFormat="1">
      <c r="A32" s="158"/>
      <c r="B32" s="158" t="s">
        <v>312</v>
      </c>
      <c r="C32" s="158"/>
      <c r="D32" s="159" t="s">
        <v>92</v>
      </c>
      <c r="E32" s="158" t="s">
        <v>307</v>
      </c>
      <c r="F32" s="161" cm="1">
        <f t="array" ref="F32:O32">+_xlfn.XLOOKUP($B$6,B33:B35,F33:O35)</f>
        <v>0.75</v>
      </c>
      <c r="G32" s="161">
        <v>0.75</v>
      </c>
      <c r="H32" s="161">
        <v>0.8</v>
      </c>
      <c r="I32" s="161">
        <v>0.8</v>
      </c>
      <c r="J32" s="161">
        <v>0.85</v>
      </c>
      <c r="K32" s="161">
        <v>0.85</v>
      </c>
      <c r="L32" s="161">
        <v>0.85</v>
      </c>
      <c r="M32" s="161">
        <v>0.9</v>
      </c>
      <c r="N32" s="161">
        <v>0.9</v>
      </c>
      <c r="O32" s="161">
        <v>0.9</v>
      </c>
    </row>
    <row r="33" spans="1:15">
      <c r="B33" s="73" t="s">
        <v>303</v>
      </c>
      <c r="D33" s="1" t="s">
        <v>92</v>
      </c>
      <c r="F33" s="163">
        <v>0.75</v>
      </c>
      <c r="G33" s="163">
        <v>0.75</v>
      </c>
      <c r="H33" s="163">
        <v>0.8</v>
      </c>
      <c r="I33" s="163">
        <v>0.8</v>
      </c>
      <c r="J33" s="163">
        <v>0.85</v>
      </c>
      <c r="K33" s="163">
        <v>0.85</v>
      </c>
      <c r="L33" s="163">
        <v>0.85</v>
      </c>
      <c r="M33" s="163">
        <v>0.9</v>
      </c>
      <c r="N33" s="163">
        <v>0.9</v>
      </c>
      <c r="O33" s="163">
        <v>0.9</v>
      </c>
    </row>
    <row r="34" spans="1:15">
      <c r="B34" s="73" t="s">
        <v>304</v>
      </c>
      <c r="D34" s="1" t="s">
        <v>92</v>
      </c>
      <c r="E34" s="167">
        <v>0.05</v>
      </c>
      <c r="F34" s="138">
        <f>MIN(F33+$E$34,1)</f>
        <v>0.8</v>
      </c>
      <c r="G34" s="138">
        <f t="shared" ref="G34:O34" si="9">MIN(G33+$E$34,1)</f>
        <v>0.8</v>
      </c>
      <c r="H34" s="138">
        <f t="shared" si="9"/>
        <v>0.85000000000000009</v>
      </c>
      <c r="I34" s="138">
        <f t="shared" si="9"/>
        <v>0.85000000000000009</v>
      </c>
      <c r="J34" s="138">
        <f t="shared" si="9"/>
        <v>0.9</v>
      </c>
      <c r="K34" s="138">
        <f t="shared" si="9"/>
        <v>0.9</v>
      </c>
      <c r="L34" s="138">
        <f t="shared" si="9"/>
        <v>0.9</v>
      </c>
      <c r="M34" s="138">
        <f t="shared" si="9"/>
        <v>0.95000000000000007</v>
      </c>
      <c r="N34" s="138">
        <f t="shared" si="9"/>
        <v>0.95000000000000007</v>
      </c>
      <c r="O34" s="138">
        <f t="shared" si="9"/>
        <v>0.95000000000000007</v>
      </c>
    </row>
    <row r="35" spans="1:15">
      <c r="B35" s="73" t="s">
        <v>305</v>
      </c>
      <c r="D35" s="1" t="s">
        <v>92</v>
      </c>
      <c r="E35" s="167">
        <v>-0.05</v>
      </c>
      <c r="F35" s="160">
        <f>+MIN(F33+$E$35,1)</f>
        <v>0.7</v>
      </c>
      <c r="G35" s="160">
        <f t="shared" ref="G35:O35" si="10">+MIN(G33+$E$35,1)</f>
        <v>0.7</v>
      </c>
      <c r="H35" s="160">
        <f t="shared" si="10"/>
        <v>0.75</v>
      </c>
      <c r="I35" s="160">
        <f t="shared" si="10"/>
        <v>0.75</v>
      </c>
      <c r="J35" s="160">
        <f t="shared" si="10"/>
        <v>0.79999999999999993</v>
      </c>
      <c r="K35" s="160">
        <f t="shared" si="10"/>
        <v>0.79999999999999993</v>
      </c>
      <c r="L35" s="160">
        <f t="shared" si="10"/>
        <v>0.79999999999999993</v>
      </c>
      <c r="M35" s="160">
        <f t="shared" si="10"/>
        <v>0.85</v>
      </c>
      <c r="N35" s="160">
        <f t="shared" si="10"/>
        <v>0.85</v>
      </c>
      <c r="O35" s="160">
        <f t="shared" si="10"/>
        <v>0.85</v>
      </c>
    </row>
    <row r="37" spans="1:15" s="148" customFormat="1">
      <c r="A37" s="158"/>
      <c r="B37" s="158" t="s">
        <v>313</v>
      </c>
      <c r="C37" s="158"/>
      <c r="D37" s="159" t="s">
        <v>314</v>
      </c>
      <c r="E37" s="158" t="s">
        <v>307</v>
      </c>
      <c r="F37" s="161" cm="1">
        <f t="array" ref="F37:O37">+_xlfn.XLOOKUP($B$6,B38:B40,F38:O40)</f>
        <v>0</v>
      </c>
      <c r="G37" s="161">
        <v>0.8</v>
      </c>
      <c r="H37" s="161">
        <v>0.85</v>
      </c>
      <c r="I37" s="161">
        <v>0.85</v>
      </c>
      <c r="J37" s="161">
        <v>0.85</v>
      </c>
      <c r="K37" s="161">
        <v>0.9</v>
      </c>
      <c r="L37" s="161">
        <v>0.9</v>
      </c>
      <c r="M37" s="161">
        <v>0.9</v>
      </c>
      <c r="N37" s="161">
        <v>0.95</v>
      </c>
      <c r="O37" s="161">
        <v>0.95</v>
      </c>
    </row>
    <row r="38" spans="1:15">
      <c r="B38" s="73" t="s">
        <v>303</v>
      </c>
      <c r="D38" s="1" t="s">
        <v>314</v>
      </c>
      <c r="F38" s="171">
        <v>0</v>
      </c>
      <c r="G38" s="163">
        <v>0.8</v>
      </c>
      <c r="H38" s="163">
        <v>0.85</v>
      </c>
      <c r="I38" s="163">
        <v>0.85</v>
      </c>
      <c r="J38" s="163">
        <v>0.85</v>
      </c>
      <c r="K38" s="163">
        <v>0.9</v>
      </c>
      <c r="L38" s="163">
        <v>0.9</v>
      </c>
      <c r="M38" s="163">
        <v>0.9</v>
      </c>
      <c r="N38" s="163">
        <v>0.95</v>
      </c>
      <c r="O38" s="163">
        <v>0.95</v>
      </c>
    </row>
    <row r="39" spans="1:15">
      <c r="B39" s="73" t="s">
        <v>304</v>
      </c>
      <c r="D39" s="1" t="s">
        <v>314</v>
      </c>
      <c r="E39" s="167">
        <v>0.05</v>
      </c>
      <c r="F39" s="162">
        <v>0</v>
      </c>
      <c r="G39" s="138">
        <f t="shared" ref="G39:O39" si="11">MIN(G38+$E$39,1)</f>
        <v>0.85000000000000009</v>
      </c>
      <c r="H39" s="138">
        <f t="shared" si="11"/>
        <v>0.9</v>
      </c>
      <c r="I39" s="138">
        <f t="shared" si="11"/>
        <v>0.9</v>
      </c>
      <c r="J39" s="138">
        <f t="shared" si="11"/>
        <v>0.9</v>
      </c>
      <c r="K39" s="138">
        <f t="shared" si="11"/>
        <v>0.95000000000000007</v>
      </c>
      <c r="L39" s="138">
        <f t="shared" si="11"/>
        <v>0.95000000000000007</v>
      </c>
      <c r="M39" s="138">
        <f t="shared" si="11"/>
        <v>0.95000000000000007</v>
      </c>
      <c r="N39" s="138">
        <f t="shared" si="11"/>
        <v>1</v>
      </c>
      <c r="O39" s="138">
        <f t="shared" si="11"/>
        <v>1</v>
      </c>
    </row>
    <row r="40" spans="1:15">
      <c r="B40" s="73" t="s">
        <v>305</v>
      </c>
      <c r="D40" s="1" t="s">
        <v>314</v>
      </c>
      <c r="E40" s="167">
        <v>-0.05</v>
      </c>
      <c r="F40" s="165">
        <v>0</v>
      </c>
      <c r="G40" s="160">
        <f t="shared" ref="G40:O40" si="12">+MIN(G38+$E$40,1)</f>
        <v>0.75</v>
      </c>
      <c r="H40" s="160">
        <f t="shared" si="12"/>
        <v>0.79999999999999993</v>
      </c>
      <c r="I40" s="160">
        <f t="shared" si="12"/>
        <v>0.79999999999999993</v>
      </c>
      <c r="J40" s="160">
        <f t="shared" si="12"/>
        <v>0.79999999999999993</v>
      </c>
      <c r="K40" s="160">
        <f t="shared" si="12"/>
        <v>0.85</v>
      </c>
      <c r="L40" s="160">
        <f t="shared" si="12"/>
        <v>0.85</v>
      </c>
      <c r="M40" s="160">
        <f t="shared" si="12"/>
        <v>0.85</v>
      </c>
      <c r="N40" s="160">
        <f t="shared" si="12"/>
        <v>0.89999999999999991</v>
      </c>
      <c r="O40" s="160">
        <f t="shared" si="12"/>
        <v>0.89999999999999991</v>
      </c>
    </row>
    <row r="42" spans="1:15" s="148" customFormat="1">
      <c r="A42" s="158"/>
      <c r="B42" s="158" t="s">
        <v>315</v>
      </c>
      <c r="C42" s="158"/>
      <c r="D42" s="159" t="s">
        <v>316</v>
      </c>
      <c r="E42" s="158" t="s">
        <v>307</v>
      </c>
      <c r="F42" s="161" cm="1">
        <f t="array" ref="F42:O42">+_xlfn.XLOOKUP($B$6,B43:B45,F43:O45)</f>
        <v>0</v>
      </c>
      <c r="G42" s="161">
        <v>0.04</v>
      </c>
      <c r="H42" s="161">
        <v>0.04</v>
      </c>
      <c r="I42" s="161">
        <v>0.04</v>
      </c>
      <c r="J42" s="161">
        <v>0.04</v>
      </c>
      <c r="K42" s="161">
        <v>0.05</v>
      </c>
      <c r="L42" s="161">
        <v>0.05</v>
      </c>
      <c r="M42" s="161">
        <v>0.05</v>
      </c>
      <c r="N42" s="161">
        <v>0.05</v>
      </c>
      <c r="O42" s="161">
        <v>0.05</v>
      </c>
    </row>
    <row r="43" spans="1:15">
      <c r="B43" s="73" t="s">
        <v>303</v>
      </c>
      <c r="D43" s="1" t="s">
        <v>316</v>
      </c>
      <c r="F43" s="171">
        <v>0</v>
      </c>
      <c r="G43" s="163">
        <v>0.04</v>
      </c>
      <c r="H43" s="163">
        <v>0.04</v>
      </c>
      <c r="I43" s="163">
        <v>0.04</v>
      </c>
      <c r="J43" s="163">
        <v>0.04</v>
      </c>
      <c r="K43" s="163">
        <v>0.05</v>
      </c>
      <c r="L43" s="163">
        <v>0.05</v>
      </c>
      <c r="M43" s="163">
        <v>0.05</v>
      </c>
      <c r="N43" s="163">
        <v>0.05</v>
      </c>
      <c r="O43" s="163">
        <v>0.05</v>
      </c>
    </row>
    <row r="44" spans="1:15">
      <c r="B44" s="73" t="s">
        <v>304</v>
      </c>
      <c r="D44" s="1" t="s">
        <v>316</v>
      </c>
      <c r="E44" s="167">
        <v>0.01</v>
      </c>
      <c r="F44" s="162">
        <v>0</v>
      </c>
      <c r="G44" s="138">
        <f>MIN(G43+$E$44,1)</f>
        <v>0.05</v>
      </c>
      <c r="H44" s="138">
        <f t="shared" ref="H44:O44" si="13">MIN(H43+$E$44,1)</f>
        <v>0.05</v>
      </c>
      <c r="I44" s="138">
        <f t="shared" si="13"/>
        <v>0.05</v>
      </c>
      <c r="J44" s="138">
        <f t="shared" si="13"/>
        <v>0.05</v>
      </c>
      <c r="K44" s="138">
        <f t="shared" si="13"/>
        <v>6.0000000000000005E-2</v>
      </c>
      <c r="L44" s="138">
        <f t="shared" si="13"/>
        <v>6.0000000000000005E-2</v>
      </c>
      <c r="M44" s="138">
        <f t="shared" si="13"/>
        <v>6.0000000000000005E-2</v>
      </c>
      <c r="N44" s="138">
        <f t="shared" si="13"/>
        <v>6.0000000000000005E-2</v>
      </c>
      <c r="O44" s="138">
        <f t="shared" si="13"/>
        <v>6.0000000000000005E-2</v>
      </c>
    </row>
    <row r="45" spans="1:15">
      <c r="B45" s="73" t="s">
        <v>305</v>
      </c>
      <c r="D45" s="1" t="s">
        <v>316</v>
      </c>
      <c r="E45" s="167">
        <v>-0.01</v>
      </c>
      <c r="F45" s="165">
        <v>0</v>
      </c>
      <c r="G45" s="160">
        <f>+MIN(G43+$E$45,1)</f>
        <v>0.03</v>
      </c>
      <c r="H45" s="160">
        <f t="shared" ref="H45:O45" si="14">+MIN(H43+$E$45,1)</f>
        <v>0.03</v>
      </c>
      <c r="I45" s="160">
        <f t="shared" si="14"/>
        <v>0.03</v>
      </c>
      <c r="J45" s="160">
        <f t="shared" si="14"/>
        <v>0.03</v>
      </c>
      <c r="K45" s="160">
        <f t="shared" si="14"/>
        <v>0.04</v>
      </c>
      <c r="L45" s="160">
        <f t="shared" si="14"/>
        <v>0.04</v>
      </c>
      <c r="M45" s="160">
        <f t="shared" si="14"/>
        <v>0.04</v>
      </c>
      <c r="N45" s="160">
        <f t="shared" si="14"/>
        <v>0.04</v>
      </c>
      <c r="O45" s="160">
        <f t="shared" si="14"/>
        <v>0.04</v>
      </c>
    </row>
    <row r="47" spans="1:15" s="173" customFormat="1">
      <c r="A47" s="169"/>
      <c r="B47" s="170" t="s">
        <v>317</v>
      </c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</row>
    <row r="48" spans="1:15" s="148" customFormat="1">
      <c r="A48" s="158"/>
      <c r="B48" s="158" t="s">
        <v>55</v>
      </c>
      <c r="C48" s="158"/>
      <c r="D48" s="159" t="s">
        <v>316</v>
      </c>
      <c r="E48" s="158" t="s">
        <v>307</v>
      </c>
      <c r="F48" s="161" cm="1">
        <f t="array" ref="F48:O48">+_xlfn.XLOOKUP($B$6,B49:B51,F49:O51)</f>
        <v>0</v>
      </c>
      <c r="G48" s="161">
        <v>0.04</v>
      </c>
      <c r="H48" s="161">
        <v>0.04</v>
      </c>
      <c r="I48" s="161">
        <v>0.04</v>
      </c>
      <c r="J48" s="161">
        <v>0.04</v>
      </c>
      <c r="K48" s="161">
        <v>0.04</v>
      </c>
      <c r="L48" s="161">
        <v>0.04</v>
      </c>
      <c r="M48" s="161">
        <v>0.04</v>
      </c>
      <c r="N48" s="161">
        <v>0.04</v>
      </c>
      <c r="O48" s="161">
        <v>0.04</v>
      </c>
    </row>
    <row r="49" spans="1:15">
      <c r="B49" s="73" t="s">
        <v>303</v>
      </c>
      <c r="D49" s="1" t="s">
        <v>316</v>
      </c>
      <c r="F49" s="171">
        <v>0</v>
      </c>
      <c r="G49" s="163">
        <v>0.04</v>
      </c>
      <c r="H49" s="163">
        <v>0.04</v>
      </c>
      <c r="I49" s="163">
        <v>0.04</v>
      </c>
      <c r="J49" s="163">
        <v>0.04</v>
      </c>
      <c r="K49" s="163">
        <v>0.04</v>
      </c>
      <c r="L49" s="163">
        <v>0.04</v>
      </c>
      <c r="M49" s="163">
        <v>0.04</v>
      </c>
      <c r="N49" s="163">
        <v>0.04</v>
      </c>
      <c r="O49" s="163">
        <v>0.04</v>
      </c>
    </row>
    <row r="50" spans="1:15">
      <c r="B50" s="73" t="s">
        <v>304</v>
      </c>
      <c r="D50" s="1" t="s">
        <v>316</v>
      </c>
      <c r="E50" s="167">
        <v>0.02</v>
      </c>
      <c r="F50" s="162">
        <v>0</v>
      </c>
      <c r="G50" s="138">
        <f>MIN(G49+$E$50,1)</f>
        <v>0.06</v>
      </c>
      <c r="H50" s="138">
        <f t="shared" ref="H50:O50" si="15">MIN(H49+$E$50,1)</f>
        <v>0.06</v>
      </c>
      <c r="I50" s="138">
        <f t="shared" si="15"/>
        <v>0.06</v>
      </c>
      <c r="J50" s="138">
        <f t="shared" si="15"/>
        <v>0.06</v>
      </c>
      <c r="K50" s="138">
        <f t="shared" si="15"/>
        <v>0.06</v>
      </c>
      <c r="L50" s="138">
        <f t="shared" si="15"/>
        <v>0.06</v>
      </c>
      <c r="M50" s="138">
        <f t="shared" si="15"/>
        <v>0.06</v>
      </c>
      <c r="N50" s="138">
        <f t="shared" si="15"/>
        <v>0.06</v>
      </c>
      <c r="O50" s="138">
        <f t="shared" si="15"/>
        <v>0.06</v>
      </c>
    </row>
    <row r="51" spans="1:15">
      <c r="B51" s="73" t="s">
        <v>305</v>
      </c>
      <c r="D51" s="1" t="s">
        <v>316</v>
      </c>
      <c r="E51" s="167">
        <v>-0.02</v>
      </c>
      <c r="F51" s="165">
        <v>0</v>
      </c>
      <c r="G51" s="160">
        <f>+MIN(G49+$E$51,1)</f>
        <v>0.02</v>
      </c>
      <c r="H51" s="160">
        <f t="shared" ref="H51:O51" si="16">+MIN(H49+$E$51,1)</f>
        <v>0.02</v>
      </c>
      <c r="I51" s="160">
        <f t="shared" si="16"/>
        <v>0.02</v>
      </c>
      <c r="J51" s="160">
        <f t="shared" si="16"/>
        <v>0.02</v>
      </c>
      <c r="K51" s="160">
        <f t="shared" si="16"/>
        <v>0.02</v>
      </c>
      <c r="L51" s="160">
        <f t="shared" si="16"/>
        <v>0.02</v>
      </c>
      <c r="M51" s="160">
        <f t="shared" si="16"/>
        <v>0.02</v>
      </c>
      <c r="N51" s="160">
        <f t="shared" si="16"/>
        <v>0.02</v>
      </c>
      <c r="O51" s="160">
        <f t="shared" si="16"/>
        <v>0.02</v>
      </c>
    </row>
    <row r="53" spans="1:15" s="148" customFormat="1">
      <c r="A53" s="158"/>
      <c r="B53" s="158" t="s">
        <v>318</v>
      </c>
      <c r="C53" s="158"/>
      <c r="D53" s="159" t="s">
        <v>316</v>
      </c>
      <c r="E53" s="158" t="s">
        <v>307</v>
      </c>
      <c r="F53" s="161" cm="1">
        <f t="array" ref="F53:O53">+_xlfn.XLOOKUP($B$6,B54:B56,F54:O56)</f>
        <v>0</v>
      </c>
      <c r="G53" s="161">
        <v>0.03</v>
      </c>
      <c r="H53" s="161">
        <v>0.03</v>
      </c>
      <c r="I53" s="161">
        <v>0.03</v>
      </c>
      <c r="J53" s="161">
        <v>0.03</v>
      </c>
      <c r="K53" s="161">
        <v>0.03</v>
      </c>
      <c r="L53" s="161">
        <v>0.03</v>
      </c>
      <c r="M53" s="161">
        <v>0.03</v>
      </c>
      <c r="N53" s="161">
        <v>0.03</v>
      </c>
      <c r="O53" s="161">
        <v>0.03</v>
      </c>
    </row>
    <row r="54" spans="1:15">
      <c r="B54" s="73" t="s">
        <v>303</v>
      </c>
      <c r="D54" s="1" t="s">
        <v>316</v>
      </c>
      <c r="F54" s="171">
        <v>0</v>
      </c>
      <c r="G54" s="163">
        <v>0.03</v>
      </c>
      <c r="H54" s="163">
        <v>0.03</v>
      </c>
      <c r="I54" s="163">
        <v>0.03</v>
      </c>
      <c r="J54" s="163">
        <v>0.03</v>
      </c>
      <c r="K54" s="163">
        <v>0.03</v>
      </c>
      <c r="L54" s="163">
        <v>0.03</v>
      </c>
      <c r="M54" s="163">
        <v>0.03</v>
      </c>
      <c r="N54" s="163">
        <v>0.03</v>
      </c>
      <c r="O54" s="163">
        <v>0.03</v>
      </c>
    </row>
    <row r="55" spans="1:15">
      <c r="B55" s="73" t="s">
        <v>304</v>
      </c>
      <c r="D55" s="1" t="s">
        <v>316</v>
      </c>
      <c r="E55" s="167">
        <v>0.02</v>
      </c>
      <c r="F55" s="138">
        <v>0</v>
      </c>
      <c r="G55" s="138">
        <f>MIN(G54+$E$55,1)</f>
        <v>0.05</v>
      </c>
      <c r="H55" s="138">
        <f t="shared" ref="H55:O55" si="17">MIN(H54+$E$55,1)</f>
        <v>0.05</v>
      </c>
      <c r="I55" s="138">
        <f t="shared" si="17"/>
        <v>0.05</v>
      </c>
      <c r="J55" s="138">
        <f t="shared" si="17"/>
        <v>0.05</v>
      </c>
      <c r="K55" s="138">
        <f t="shared" si="17"/>
        <v>0.05</v>
      </c>
      <c r="L55" s="138">
        <f t="shared" si="17"/>
        <v>0.05</v>
      </c>
      <c r="M55" s="138">
        <f t="shared" si="17"/>
        <v>0.05</v>
      </c>
      <c r="N55" s="138">
        <f t="shared" si="17"/>
        <v>0.05</v>
      </c>
      <c r="O55" s="138">
        <f t="shared" si="17"/>
        <v>0.05</v>
      </c>
    </row>
    <row r="56" spans="1:15">
      <c r="B56" s="73" t="s">
        <v>305</v>
      </c>
      <c r="D56" s="1" t="s">
        <v>316</v>
      </c>
      <c r="E56" s="167">
        <v>-0.02</v>
      </c>
      <c r="F56" s="160">
        <v>0</v>
      </c>
      <c r="G56" s="160">
        <f>+MIN(G54+$E$56,1)</f>
        <v>9.9999999999999985E-3</v>
      </c>
      <c r="H56" s="160">
        <f t="shared" ref="H56:O56" si="18">+MIN(H54+$E$56,1)</f>
        <v>9.9999999999999985E-3</v>
      </c>
      <c r="I56" s="160">
        <f t="shared" si="18"/>
        <v>9.9999999999999985E-3</v>
      </c>
      <c r="J56" s="160">
        <f t="shared" si="18"/>
        <v>9.9999999999999985E-3</v>
      </c>
      <c r="K56" s="160">
        <f t="shared" si="18"/>
        <v>9.9999999999999985E-3</v>
      </c>
      <c r="L56" s="160">
        <f t="shared" si="18"/>
        <v>9.9999999999999985E-3</v>
      </c>
      <c r="M56" s="160">
        <f t="shared" si="18"/>
        <v>9.9999999999999985E-3</v>
      </c>
      <c r="N56" s="160">
        <f t="shared" si="18"/>
        <v>9.9999999999999985E-3</v>
      </c>
      <c r="O56" s="160">
        <f t="shared" si="18"/>
        <v>9.9999999999999985E-3</v>
      </c>
    </row>
    <row r="58" spans="1:15" s="173" customFormat="1">
      <c r="A58" s="169"/>
      <c r="B58" s="170" t="s">
        <v>218</v>
      </c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</row>
    <row r="59" spans="1:15" s="148" customFormat="1">
      <c r="A59" s="158"/>
      <c r="B59" s="158" t="s">
        <v>206</v>
      </c>
      <c r="C59" s="158"/>
      <c r="D59" s="159" t="s">
        <v>316</v>
      </c>
      <c r="E59" s="158" t="s">
        <v>307</v>
      </c>
      <c r="F59" s="161" cm="1">
        <f t="array" ref="F59:O59">+_xlfn.XLOOKUP($B$6,B60:B62,F60:O62)</f>
        <v>0</v>
      </c>
      <c r="G59" s="161">
        <v>0.05</v>
      </c>
      <c r="H59" s="161">
        <v>0.05</v>
      </c>
      <c r="I59" s="161">
        <v>0.05</v>
      </c>
      <c r="J59" s="161">
        <v>0.05</v>
      </c>
      <c r="K59" s="161">
        <v>0.05</v>
      </c>
      <c r="L59" s="161">
        <v>0.05</v>
      </c>
      <c r="M59" s="161">
        <v>0.05</v>
      </c>
      <c r="N59" s="161">
        <v>0.05</v>
      </c>
      <c r="O59" s="161">
        <v>0.05</v>
      </c>
    </row>
    <row r="60" spans="1:15">
      <c r="B60" s="73" t="s">
        <v>303</v>
      </c>
      <c r="D60" s="1" t="s">
        <v>316</v>
      </c>
      <c r="F60" s="171">
        <v>0</v>
      </c>
      <c r="G60" s="163">
        <v>0.05</v>
      </c>
      <c r="H60" s="163">
        <v>0.05</v>
      </c>
      <c r="I60" s="163">
        <v>0.05</v>
      </c>
      <c r="J60" s="163">
        <v>0.05</v>
      </c>
      <c r="K60" s="163">
        <v>0.05</v>
      </c>
      <c r="L60" s="163">
        <v>0.05</v>
      </c>
      <c r="M60" s="163">
        <v>0.05</v>
      </c>
      <c r="N60" s="163">
        <v>0.05</v>
      </c>
      <c r="O60" s="163">
        <v>0.05</v>
      </c>
    </row>
    <row r="61" spans="1:15">
      <c r="B61" s="73" t="s">
        <v>304</v>
      </c>
      <c r="D61" s="1" t="s">
        <v>316</v>
      </c>
      <c r="E61" s="167">
        <v>0.02</v>
      </c>
      <c r="F61" s="162">
        <v>0</v>
      </c>
      <c r="G61" s="138">
        <f>MIN(G60+$E$61,1)</f>
        <v>7.0000000000000007E-2</v>
      </c>
      <c r="H61" s="138">
        <f t="shared" ref="H61:O61" si="19">MIN(H60+$E$61,1)</f>
        <v>7.0000000000000007E-2</v>
      </c>
      <c r="I61" s="138">
        <f t="shared" si="19"/>
        <v>7.0000000000000007E-2</v>
      </c>
      <c r="J61" s="138">
        <f t="shared" si="19"/>
        <v>7.0000000000000007E-2</v>
      </c>
      <c r="K61" s="138">
        <f t="shared" si="19"/>
        <v>7.0000000000000007E-2</v>
      </c>
      <c r="L61" s="138">
        <f t="shared" si="19"/>
        <v>7.0000000000000007E-2</v>
      </c>
      <c r="M61" s="138">
        <f t="shared" si="19"/>
        <v>7.0000000000000007E-2</v>
      </c>
      <c r="N61" s="138">
        <f t="shared" si="19"/>
        <v>7.0000000000000007E-2</v>
      </c>
      <c r="O61" s="138">
        <f t="shared" si="19"/>
        <v>7.0000000000000007E-2</v>
      </c>
    </row>
    <row r="62" spans="1:15">
      <c r="B62" s="73" t="s">
        <v>305</v>
      </c>
      <c r="D62" s="1" t="s">
        <v>316</v>
      </c>
      <c r="E62" s="167">
        <v>-0.02</v>
      </c>
      <c r="F62" s="165">
        <v>0</v>
      </c>
      <c r="G62" s="160">
        <f>+MIN(G60+$E$62,1)</f>
        <v>3.0000000000000002E-2</v>
      </c>
      <c r="H62" s="160">
        <f t="shared" ref="H62:O62" si="20">+MIN(H60+$E$62,1)</f>
        <v>3.0000000000000002E-2</v>
      </c>
      <c r="I62" s="160">
        <f t="shared" si="20"/>
        <v>3.0000000000000002E-2</v>
      </c>
      <c r="J62" s="160">
        <f t="shared" si="20"/>
        <v>3.0000000000000002E-2</v>
      </c>
      <c r="K62" s="160">
        <f t="shared" si="20"/>
        <v>3.0000000000000002E-2</v>
      </c>
      <c r="L62" s="160">
        <f t="shared" si="20"/>
        <v>3.0000000000000002E-2</v>
      </c>
      <c r="M62" s="160">
        <f t="shared" si="20"/>
        <v>3.0000000000000002E-2</v>
      </c>
      <c r="N62" s="160">
        <f t="shared" si="20"/>
        <v>3.0000000000000002E-2</v>
      </c>
      <c r="O62" s="160">
        <f t="shared" si="20"/>
        <v>3.0000000000000002E-2</v>
      </c>
    </row>
    <row r="64" spans="1:15" s="148" customFormat="1">
      <c r="A64" s="158"/>
      <c r="B64" s="158" t="s">
        <v>319</v>
      </c>
      <c r="C64" s="158"/>
      <c r="D64" s="159" t="s">
        <v>316</v>
      </c>
      <c r="E64" s="158" t="s">
        <v>307</v>
      </c>
      <c r="F64" s="161" cm="1">
        <f t="array" ref="F64:O64">+_xlfn.XLOOKUP($B$6,B65:B67,F65:O67)</f>
        <v>0</v>
      </c>
      <c r="G64" s="161">
        <v>0.03</v>
      </c>
      <c r="H64" s="161">
        <v>0.03</v>
      </c>
      <c r="I64" s="161">
        <v>0.03</v>
      </c>
      <c r="J64" s="161">
        <v>0.03</v>
      </c>
      <c r="K64" s="161">
        <v>0.03</v>
      </c>
      <c r="L64" s="161">
        <v>0.03</v>
      </c>
      <c r="M64" s="161">
        <v>0.03</v>
      </c>
      <c r="N64" s="161">
        <v>0.03</v>
      </c>
      <c r="O64" s="161">
        <v>0.03</v>
      </c>
    </row>
    <row r="65" spans="2:15">
      <c r="B65" s="73" t="s">
        <v>303</v>
      </c>
      <c r="D65" s="1" t="s">
        <v>316</v>
      </c>
      <c r="F65" s="171">
        <v>0</v>
      </c>
      <c r="G65" s="163">
        <v>0.03</v>
      </c>
      <c r="H65" s="163">
        <v>0.03</v>
      </c>
      <c r="I65" s="163">
        <v>0.03</v>
      </c>
      <c r="J65" s="163">
        <v>0.03</v>
      </c>
      <c r="K65" s="163">
        <v>0.03</v>
      </c>
      <c r="L65" s="163">
        <v>0.03</v>
      </c>
      <c r="M65" s="163">
        <v>0.03</v>
      </c>
      <c r="N65" s="163">
        <v>0.03</v>
      </c>
      <c r="O65" s="163">
        <v>0.03</v>
      </c>
    </row>
    <row r="66" spans="2:15">
      <c r="B66" s="73" t="s">
        <v>304</v>
      </c>
      <c r="D66" s="1" t="s">
        <v>316</v>
      </c>
      <c r="E66" s="167">
        <v>0.02</v>
      </c>
      <c r="F66" s="162">
        <v>0</v>
      </c>
      <c r="G66" s="138">
        <f>MIN(G65+$E$66,1)</f>
        <v>0.05</v>
      </c>
      <c r="H66" s="138">
        <f t="shared" ref="H66:O66" si="21">MIN(H65+$E$66,1)</f>
        <v>0.05</v>
      </c>
      <c r="I66" s="138">
        <f t="shared" si="21"/>
        <v>0.05</v>
      </c>
      <c r="J66" s="138">
        <f t="shared" si="21"/>
        <v>0.05</v>
      </c>
      <c r="K66" s="138">
        <f t="shared" si="21"/>
        <v>0.05</v>
      </c>
      <c r="L66" s="138">
        <f t="shared" si="21"/>
        <v>0.05</v>
      </c>
      <c r="M66" s="138">
        <f t="shared" si="21"/>
        <v>0.05</v>
      </c>
      <c r="N66" s="138">
        <f t="shared" si="21"/>
        <v>0.05</v>
      </c>
      <c r="O66" s="138">
        <f t="shared" si="21"/>
        <v>0.05</v>
      </c>
    </row>
    <row r="67" spans="2:15">
      <c r="B67" s="73" t="s">
        <v>305</v>
      </c>
      <c r="D67" s="1" t="s">
        <v>316</v>
      </c>
      <c r="E67" s="167">
        <v>-0.02</v>
      </c>
      <c r="F67" s="165">
        <v>0</v>
      </c>
      <c r="G67" s="160">
        <f>+MIN(G65+$E$67,1)</f>
        <v>9.9999999999999985E-3</v>
      </c>
      <c r="H67" s="160">
        <f t="shared" ref="H67:O67" si="22">+MIN(H65+$E$67,1)</f>
        <v>9.9999999999999985E-3</v>
      </c>
      <c r="I67" s="160">
        <f t="shared" si="22"/>
        <v>9.9999999999999985E-3</v>
      </c>
      <c r="J67" s="160">
        <f t="shared" si="22"/>
        <v>9.9999999999999985E-3</v>
      </c>
      <c r="K67" s="160">
        <f t="shared" si="22"/>
        <v>9.9999999999999985E-3</v>
      </c>
      <c r="L67" s="160">
        <f t="shared" si="22"/>
        <v>9.9999999999999985E-3</v>
      </c>
      <c r="M67" s="160">
        <f t="shared" si="22"/>
        <v>9.9999999999999985E-3</v>
      </c>
      <c r="N67" s="160">
        <f t="shared" si="22"/>
        <v>9.9999999999999985E-3</v>
      </c>
      <c r="O67" s="160">
        <f t="shared" si="22"/>
        <v>9.9999999999999985E-3</v>
      </c>
    </row>
  </sheetData>
  <dataValidations count="1">
    <dataValidation type="list" allowBlank="1" showInputMessage="1" showErrorMessage="1" sqref="B6" xr:uid="{449ED676-1D74-4AE2-B093-52FE0DC05AD2}">
      <formula1>$B$11:$B$13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B5237-EB79-4A85-863F-B2BF3D71DF17}">
  <dimension ref="A2:P41"/>
  <sheetViews>
    <sheetView showGridLines="0" workbookViewId="0">
      <pane xSplit="2" ySplit="6" topLeftCell="C7" activePane="bottomRight" state="frozen"/>
      <selection pane="topRight" activeCell="C1" sqref="C1"/>
      <selection pane="bottomLeft" activeCell="A7" sqref="A7"/>
      <selection pane="bottomRight" activeCell="D10" sqref="D10"/>
    </sheetView>
  </sheetViews>
  <sheetFormatPr defaultRowHeight="13.8"/>
  <cols>
    <col min="2" max="2" width="24.69921875" bestFit="1" customWidth="1"/>
    <col min="3" max="3" width="13.3984375" bestFit="1" customWidth="1"/>
    <col min="4" max="4" width="9.09765625" bestFit="1" customWidth="1"/>
    <col min="5" max="5" width="9.296875" bestFit="1" customWidth="1"/>
    <col min="6" max="6" width="9.59765625" bestFit="1" customWidth="1"/>
    <col min="7" max="7" width="9.09765625" bestFit="1" customWidth="1"/>
    <col min="8" max="8" width="9.69921875" bestFit="1" customWidth="1"/>
    <col min="9" max="9" width="9.09765625" bestFit="1" customWidth="1"/>
    <col min="10" max="10" width="8.59765625" bestFit="1" customWidth="1"/>
    <col min="11" max="11" width="9.3984375" bestFit="1" customWidth="1"/>
    <col min="12" max="12" width="10.69921875" bestFit="1" customWidth="1"/>
    <col min="13" max="13" width="9.19921875" bestFit="1" customWidth="1"/>
    <col min="14" max="15" width="10.09765625" bestFit="1" customWidth="1"/>
    <col min="16" max="16" width="9.796875" style="176" bestFit="1" customWidth="1"/>
  </cols>
  <sheetData>
    <row r="2" spans="1:16">
      <c r="A2" s="96"/>
      <c r="B2" s="96" t="s">
        <v>300</v>
      </c>
      <c r="C2" s="96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</row>
    <row r="3" spans="1:16">
      <c r="C3" s="24" t="s">
        <v>332</v>
      </c>
      <c r="D3" s="140" t="s">
        <v>320</v>
      </c>
      <c r="E3" s="140" t="s">
        <v>321</v>
      </c>
      <c r="F3" s="140" t="s">
        <v>322</v>
      </c>
      <c r="G3" s="140" t="s">
        <v>323</v>
      </c>
      <c r="H3" s="140" t="s">
        <v>324</v>
      </c>
      <c r="I3" s="140" t="s">
        <v>325</v>
      </c>
      <c r="J3" s="140" t="s">
        <v>326</v>
      </c>
      <c r="K3" s="140" t="s">
        <v>327</v>
      </c>
      <c r="L3" s="140" t="s">
        <v>328</v>
      </c>
      <c r="M3" s="140" t="s">
        <v>329</v>
      </c>
      <c r="N3" s="140" t="s">
        <v>330</v>
      </c>
      <c r="O3" s="140" t="s">
        <v>331</v>
      </c>
      <c r="P3" s="177" t="s">
        <v>336</v>
      </c>
    </row>
    <row r="4" spans="1:16">
      <c r="C4" s="24" t="s">
        <v>333</v>
      </c>
      <c r="D4" s="140">
        <v>45658</v>
      </c>
      <c r="E4" s="140">
        <v>45689</v>
      </c>
      <c r="F4" s="140">
        <v>45717</v>
      </c>
      <c r="G4" s="140">
        <v>45748</v>
      </c>
      <c r="H4" s="140">
        <v>45778</v>
      </c>
      <c r="I4" s="140">
        <v>45809</v>
      </c>
      <c r="J4" s="140">
        <v>45839</v>
      </c>
      <c r="K4" s="140">
        <v>45870</v>
      </c>
      <c r="L4" s="140">
        <v>45901</v>
      </c>
      <c r="M4" s="140">
        <v>45931</v>
      </c>
      <c r="N4" s="140">
        <v>45962</v>
      </c>
      <c r="O4" s="140">
        <v>45992</v>
      </c>
      <c r="P4" s="178">
        <f>+D4</f>
        <v>45658</v>
      </c>
    </row>
    <row r="5" spans="1:16">
      <c r="C5" s="24" t="s">
        <v>334</v>
      </c>
      <c r="D5" s="174">
        <f>+EOMONTH(D4,0)</f>
        <v>45688</v>
      </c>
      <c r="E5" s="174">
        <f t="shared" ref="E5:O5" si="0">+EOMONTH(E4,0)</f>
        <v>45716</v>
      </c>
      <c r="F5" s="174">
        <f t="shared" si="0"/>
        <v>45747</v>
      </c>
      <c r="G5" s="174">
        <f t="shared" si="0"/>
        <v>45777</v>
      </c>
      <c r="H5" s="174">
        <f t="shared" si="0"/>
        <v>45808</v>
      </c>
      <c r="I5" s="174">
        <f t="shared" si="0"/>
        <v>45838</v>
      </c>
      <c r="J5" s="174">
        <f t="shared" si="0"/>
        <v>45869</v>
      </c>
      <c r="K5" s="174">
        <f t="shared" si="0"/>
        <v>45900</v>
      </c>
      <c r="L5" s="174">
        <f t="shared" si="0"/>
        <v>45930</v>
      </c>
      <c r="M5" s="174">
        <f t="shared" si="0"/>
        <v>45961</v>
      </c>
      <c r="N5" s="174">
        <f t="shared" si="0"/>
        <v>45991</v>
      </c>
      <c r="O5" s="174">
        <f t="shared" si="0"/>
        <v>46022</v>
      </c>
      <c r="P5" s="178">
        <f>+O5</f>
        <v>46022</v>
      </c>
    </row>
    <row r="6" spans="1:16">
      <c r="C6" s="24" t="s">
        <v>335</v>
      </c>
      <c r="D6" s="87">
        <f>DAY(EOMONTH(D5,0))</f>
        <v>31</v>
      </c>
      <c r="E6" s="87">
        <f t="shared" ref="E6:O6" si="1">DAY(EOMONTH(E5,0))</f>
        <v>28</v>
      </c>
      <c r="F6" s="87">
        <f t="shared" si="1"/>
        <v>31</v>
      </c>
      <c r="G6" s="87">
        <f t="shared" si="1"/>
        <v>30</v>
      </c>
      <c r="H6" s="87">
        <f t="shared" si="1"/>
        <v>31</v>
      </c>
      <c r="I6" s="87">
        <f t="shared" si="1"/>
        <v>30</v>
      </c>
      <c r="J6" s="87">
        <f t="shared" si="1"/>
        <v>31</v>
      </c>
      <c r="K6" s="87">
        <f t="shared" si="1"/>
        <v>31</v>
      </c>
      <c r="L6" s="87">
        <f t="shared" si="1"/>
        <v>30</v>
      </c>
      <c r="M6" s="87">
        <f t="shared" si="1"/>
        <v>31</v>
      </c>
      <c r="N6" s="87">
        <f t="shared" si="1"/>
        <v>30</v>
      </c>
      <c r="O6" s="87">
        <f t="shared" si="1"/>
        <v>31</v>
      </c>
      <c r="P6" s="179">
        <f>SUM(D6:O6)</f>
        <v>365</v>
      </c>
    </row>
    <row r="8" spans="1:16">
      <c r="B8" s="148" t="s">
        <v>337</v>
      </c>
    </row>
    <row r="9" spans="1:16">
      <c r="B9" s="175" t="s">
        <v>311</v>
      </c>
    </row>
    <row r="10" spans="1:16">
      <c r="B10" t="s">
        <v>45</v>
      </c>
      <c r="D10" s="182">
        <v>0.08</v>
      </c>
      <c r="E10" s="182">
        <v>0.1</v>
      </c>
      <c r="F10" s="182">
        <v>0.1</v>
      </c>
      <c r="G10" s="182">
        <v>0.08</v>
      </c>
      <c r="H10" s="182">
        <v>0.08</v>
      </c>
      <c r="I10" s="182">
        <v>0.08</v>
      </c>
      <c r="J10" s="182">
        <v>0.08</v>
      </c>
      <c r="K10" s="182">
        <v>0.08</v>
      </c>
      <c r="L10" s="182">
        <v>0.08</v>
      </c>
      <c r="M10" s="182">
        <v>0.08</v>
      </c>
      <c r="N10" s="182">
        <v>0.06</v>
      </c>
      <c r="O10" s="182">
        <v>0.1</v>
      </c>
      <c r="P10" s="180">
        <f t="shared" ref="P10:P12" si="2">SUM(D10:O10)</f>
        <v>0.99999999999999989</v>
      </c>
    </row>
    <row r="11" spans="1:16">
      <c r="B11" t="s">
        <v>308</v>
      </c>
      <c r="D11" s="182">
        <v>0.08</v>
      </c>
      <c r="E11" s="182">
        <v>0.1</v>
      </c>
      <c r="F11" s="182">
        <v>0.1</v>
      </c>
      <c r="G11" s="182">
        <v>0.08</v>
      </c>
      <c r="H11" s="182">
        <v>0.08</v>
      </c>
      <c r="I11" s="182">
        <v>0.08</v>
      </c>
      <c r="J11" s="182">
        <v>0.08</v>
      </c>
      <c r="K11" s="182">
        <v>0.08</v>
      </c>
      <c r="L11" s="182">
        <v>0.08</v>
      </c>
      <c r="M11" s="182">
        <v>0.08</v>
      </c>
      <c r="N11" s="182">
        <v>0.06</v>
      </c>
      <c r="O11" s="182">
        <v>0.1</v>
      </c>
      <c r="P11" s="180">
        <f t="shared" si="2"/>
        <v>0.99999999999999989</v>
      </c>
    </row>
    <row r="12" spans="1:16">
      <c r="B12" t="s">
        <v>310</v>
      </c>
      <c r="D12" s="182">
        <v>0.08</v>
      </c>
      <c r="E12" s="182">
        <v>0.1</v>
      </c>
      <c r="F12" s="182">
        <v>0.1</v>
      </c>
      <c r="G12" s="182">
        <v>0.08</v>
      </c>
      <c r="H12" s="182">
        <v>0.08</v>
      </c>
      <c r="I12" s="182">
        <v>0.08</v>
      </c>
      <c r="J12" s="182">
        <v>0.08</v>
      </c>
      <c r="K12" s="182">
        <v>0.08</v>
      </c>
      <c r="L12" s="182">
        <v>0.08</v>
      </c>
      <c r="M12" s="182">
        <v>0.08</v>
      </c>
      <c r="N12" s="182">
        <v>0.06</v>
      </c>
      <c r="O12" s="182">
        <v>0.1</v>
      </c>
      <c r="P12" s="180">
        <f t="shared" si="2"/>
        <v>0.99999999999999989</v>
      </c>
    </row>
    <row r="13" spans="1:16">
      <c r="B13" t="s">
        <v>309</v>
      </c>
      <c r="D13" s="182">
        <v>0.08</v>
      </c>
      <c r="E13" s="182">
        <v>0.1</v>
      </c>
      <c r="F13" s="182">
        <v>0.1</v>
      </c>
      <c r="G13" s="182">
        <v>0.08</v>
      </c>
      <c r="H13" s="182">
        <v>0.08</v>
      </c>
      <c r="I13" s="182">
        <v>0.08</v>
      </c>
      <c r="J13" s="182">
        <v>0.08</v>
      </c>
      <c r="K13" s="182">
        <v>0.08</v>
      </c>
      <c r="L13" s="182">
        <v>0.08</v>
      </c>
      <c r="M13" s="182">
        <v>0.08</v>
      </c>
      <c r="N13" s="182">
        <v>0.06</v>
      </c>
      <c r="O13" s="182">
        <v>0.1</v>
      </c>
      <c r="P13" s="180">
        <f>SUM(D13:O13)</f>
        <v>0.99999999999999989</v>
      </c>
    </row>
    <row r="14" spans="1:16"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80"/>
    </row>
    <row r="15" spans="1:16">
      <c r="B15" s="148" t="s">
        <v>338</v>
      </c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80"/>
    </row>
    <row r="16" spans="1:16">
      <c r="B16" t="s">
        <v>55</v>
      </c>
      <c r="D16" s="182">
        <v>0.08</v>
      </c>
      <c r="E16" s="182">
        <v>0.1</v>
      </c>
      <c r="F16" s="182">
        <v>0.1</v>
      </c>
      <c r="G16" s="182">
        <v>0.08</v>
      </c>
      <c r="H16" s="182">
        <v>0.08</v>
      </c>
      <c r="I16" s="182">
        <v>0.08</v>
      </c>
      <c r="J16" s="182">
        <v>0.08</v>
      </c>
      <c r="K16" s="182">
        <v>0.08</v>
      </c>
      <c r="L16" s="182">
        <v>0.08</v>
      </c>
      <c r="M16" s="182">
        <v>0.08</v>
      </c>
      <c r="N16" s="182">
        <v>0.06</v>
      </c>
      <c r="O16" s="182">
        <v>0.1</v>
      </c>
      <c r="P16" s="180">
        <f t="shared" ref="P16:P19" si="3">SUM(D16:O16)</f>
        <v>0.99999999999999989</v>
      </c>
    </row>
    <row r="17" spans="2:16">
      <c r="B17" t="s">
        <v>318</v>
      </c>
      <c r="D17" s="182">
        <v>0.08</v>
      </c>
      <c r="E17" s="182">
        <v>0.1</v>
      </c>
      <c r="F17" s="182">
        <v>0.1</v>
      </c>
      <c r="G17" s="182">
        <v>0.08</v>
      </c>
      <c r="H17" s="182">
        <v>0.08</v>
      </c>
      <c r="I17" s="182">
        <v>0.08</v>
      </c>
      <c r="J17" s="182">
        <v>0.08</v>
      </c>
      <c r="K17" s="182">
        <v>0.08</v>
      </c>
      <c r="L17" s="182">
        <v>0.08</v>
      </c>
      <c r="M17" s="182">
        <v>0.08</v>
      </c>
      <c r="N17" s="182">
        <v>0.06</v>
      </c>
      <c r="O17" s="182">
        <v>0.1</v>
      </c>
      <c r="P17" s="180">
        <f t="shared" si="3"/>
        <v>0.99999999999999989</v>
      </c>
    </row>
    <row r="18" spans="2:16">
      <c r="B18" t="s">
        <v>81</v>
      </c>
      <c r="D18" s="182">
        <v>0.08</v>
      </c>
      <c r="E18" s="182">
        <v>0.1</v>
      </c>
      <c r="F18" s="182">
        <v>0.1</v>
      </c>
      <c r="G18" s="182">
        <v>0.08</v>
      </c>
      <c r="H18" s="182">
        <v>0.08</v>
      </c>
      <c r="I18" s="182">
        <v>0.08</v>
      </c>
      <c r="J18" s="182">
        <v>0.08</v>
      </c>
      <c r="K18" s="182">
        <v>0.08</v>
      </c>
      <c r="L18" s="182">
        <v>0.08</v>
      </c>
      <c r="M18" s="182">
        <v>0.08</v>
      </c>
      <c r="N18" s="182">
        <v>0.06</v>
      </c>
      <c r="O18" s="182">
        <v>0.1</v>
      </c>
      <c r="P18" s="180">
        <f t="shared" si="3"/>
        <v>0.99999999999999989</v>
      </c>
    </row>
    <row r="19" spans="2:16">
      <c r="B19" t="s">
        <v>82</v>
      </c>
      <c r="D19" s="182">
        <v>0.08</v>
      </c>
      <c r="E19" s="182">
        <v>0.1</v>
      </c>
      <c r="F19" s="182">
        <v>0.1</v>
      </c>
      <c r="G19" s="182">
        <v>0.08</v>
      </c>
      <c r="H19" s="182">
        <v>0.08</v>
      </c>
      <c r="I19" s="182">
        <v>0.08</v>
      </c>
      <c r="J19" s="182">
        <v>0.08</v>
      </c>
      <c r="K19" s="182">
        <v>0.08</v>
      </c>
      <c r="L19" s="182">
        <v>0.08</v>
      </c>
      <c r="M19" s="182">
        <v>0.08</v>
      </c>
      <c r="N19" s="182">
        <v>0.06</v>
      </c>
      <c r="O19" s="182">
        <v>0.1</v>
      </c>
      <c r="P19" s="180">
        <f t="shared" si="3"/>
        <v>0.99999999999999989</v>
      </c>
    </row>
    <row r="20" spans="2:16">
      <c r="B20" t="s">
        <v>339</v>
      </c>
      <c r="D20" s="182">
        <v>8.3333333333333329E-2</v>
      </c>
      <c r="E20" s="182">
        <v>8.3333333333333329E-2</v>
      </c>
      <c r="F20" s="182">
        <v>8.3333333333333329E-2</v>
      </c>
      <c r="G20" s="182">
        <v>8.3333333333333329E-2</v>
      </c>
      <c r="H20" s="182">
        <v>8.3333333333333329E-2</v>
      </c>
      <c r="I20" s="182">
        <v>8.3333333333333329E-2</v>
      </c>
      <c r="J20" s="182">
        <v>8.3333333333333329E-2</v>
      </c>
      <c r="K20" s="182">
        <v>8.3333333333333329E-2</v>
      </c>
      <c r="L20" s="182">
        <v>8.3333333333333329E-2</v>
      </c>
      <c r="M20" s="182">
        <v>8.3333333333333329E-2</v>
      </c>
      <c r="N20" s="182">
        <v>8.3333333333333329E-2</v>
      </c>
      <c r="O20" s="182">
        <v>8.3333333333333329E-2</v>
      </c>
      <c r="P20" s="183">
        <v>1</v>
      </c>
    </row>
    <row r="21" spans="2:16"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80"/>
    </row>
    <row r="22" spans="2:16">
      <c r="B22" s="148" t="s">
        <v>218</v>
      </c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80"/>
    </row>
    <row r="23" spans="2:16">
      <c r="B23" t="s">
        <v>340</v>
      </c>
      <c r="D23" s="182">
        <v>8.3333333333333329E-2</v>
      </c>
      <c r="E23" s="182">
        <v>8.3333333333333329E-2</v>
      </c>
      <c r="F23" s="182">
        <v>8.3333333333333329E-2</v>
      </c>
      <c r="G23" s="182">
        <v>8.3333333333333329E-2</v>
      </c>
      <c r="H23" s="182">
        <v>8.3333333333333329E-2</v>
      </c>
      <c r="I23" s="182">
        <v>8.3333333333333329E-2</v>
      </c>
      <c r="J23" s="182">
        <v>8.3333333333333329E-2</v>
      </c>
      <c r="K23" s="182">
        <v>8.3333333333333329E-2</v>
      </c>
      <c r="L23" s="182">
        <v>8.3333333333333329E-2</v>
      </c>
      <c r="M23" s="182">
        <v>8.3333333333333329E-2</v>
      </c>
      <c r="N23" s="182">
        <v>8.3333333333333329E-2</v>
      </c>
      <c r="O23" s="182">
        <v>8.3333333333333329E-2</v>
      </c>
      <c r="P23" s="180">
        <f>SUM(D23:O23)</f>
        <v>1</v>
      </c>
    </row>
    <row r="24" spans="2:16">
      <c r="B24" t="s">
        <v>226</v>
      </c>
      <c r="D24" s="182">
        <v>0.08</v>
      </c>
      <c r="E24" s="182">
        <v>0.1</v>
      </c>
      <c r="F24" s="182">
        <v>0.1</v>
      </c>
      <c r="G24" s="182">
        <v>0.08</v>
      </c>
      <c r="H24" s="182">
        <v>0.08</v>
      </c>
      <c r="I24" s="182">
        <v>0.08</v>
      </c>
      <c r="J24" s="182">
        <v>0.08</v>
      </c>
      <c r="K24" s="182">
        <v>0.08</v>
      </c>
      <c r="L24" s="182">
        <v>0.08</v>
      </c>
      <c r="M24" s="182">
        <v>0.08</v>
      </c>
      <c r="N24" s="182">
        <v>0.06</v>
      </c>
      <c r="O24" s="182">
        <v>0.1</v>
      </c>
      <c r="P24" s="180">
        <f>SUM(D24:O24)</f>
        <v>0.99999999999999989</v>
      </c>
    </row>
    <row r="25" spans="2:16">
      <c r="B25" t="s">
        <v>319</v>
      </c>
      <c r="D25" s="182">
        <v>8.3333333333333329E-2</v>
      </c>
      <c r="E25" s="182">
        <v>8.3333333333333329E-2</v>
      </c>
      <c r="F25" s="182">
        <v>8.3333333333333329E-2</v>
      </c>
      <c r="G25" s="182">
        <v>8.3333333333333329E-2</v>
      </c>
      <c r="H25" s="182">
        <v>8.3333333333333329E-2</v>
      </c>
      <c r="I25" s="182">
        <v>8.3333333333333329E-2</v>
      </c>
      <c r="J25" s="182">
        <v>8.3333333333333329E-2</v>
      </c>
      <c r="K25" s="182">
        <v>8.3333333333333329E-2</v>
      </c>
      <c r="L25" s="182">
        <v>8.3333333333333329E-2</v>
      </c>
      <c r="M25" s="182">
        <v>8.3333333333333329E-2</v>
      </c>
      <c r="N25" s="182">
        <v>8.3333333333333329E-2</v>
      </c>
      <c r="O25" s="182">
        <v>8.3333333333333329E-2</v>
      </c>
      <c r="P25" s="180">
        <f>SUM(D25:O25)</f>
        <v>1</v>
      </c>
    </row>
    <row r="26" spans="2:16">
      <c r="B26" t="s">
        <v>341</v>
      </c>
      <c r="D26" s="181">
        <v>0.08</v>
      </c>
      <c r="E26" s="181">
        <v>0.1</v>
      </c>
      <c r="F26" s="181">
        <v>0.1</v>
      </c>
      <c r="G26" s="181">
        <v>0.08</v>
      </c>
      <c r="H26" s="181">
        <v>0.08</v>
      </c>
      <c r="I26" s="181">
        <v>0.08</v>
      </c>
      <c r="J26" s="181">
        <v>0.08</v>
      </c>
      <c r="K26" s="181">
        <v>0.08</v>
      </c>
      <c r="L26" s="181">
        <v>0.08</v>
      </c>
      <c r="M26" s="181">
        <v>0.08</v>
      </c>
      <c r="N26" s="181">
        <v>0.06</v>
      </c>
      <c r="O26" s="181">
        <v>0.1</v>
      </c>
      <c r="P26" s="180">
        <f>SUM(D26:O26)</f>
        <v>0.99999999999999989</v>
      </c>
    </row>
    <row r="27" spans="2:16">
      <c r="D27" s="138"/>
      <c r="E27" s="138"/>
      <c r="F27" s="138"/>
      <c r="G27" s="138"/>
      <c r="H27" s="138"/>
      <c r="I27" s="138"/>
      <c r="J27" s="138"/>
      <c r="K27" s="138"/>
      <c r="L27" s="138"/>
      <c r="M27" s="138"/>
      <c r="N27" s="138"/>
      <c r="O27" s="138"/>
      <c r="P27" s="180"/>
    </row>
    <row r="28" spans="2:16">
      <c r="B28" s="148" t="s">
        <v>342</v>
      </c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80"/>
    </row>
    <row r="29" spans="2:16">
      <c r="B29" t="s">
        <v>100</v>
      </c>
      <c r="D29" s="182">
        <v>0.5</v>
      </c>
      <c r="E29" s="182">
        <v>0</v>
      </c>
      <c r="F29" s="182">
        <v>0</v>
      </c>
      <c r="G29" s="182">
        <v>0</v>
      </c>
      <c r="H29" s="182">
        <v>0</v>
      </c>
      <c r="I29" s="182">
        <v>0.5</v>
      </c>
      <c r="J29" s="182">
        <v>0</v>
      </c>
      <c r="K29" s="182">
        <v>0</v>
      </c>
      <c r="L29" s="182">
        <v>0</v>
      </c>
      <c r="M29" s="182">
        <v>0</v>
      </c>
      <c r="N29" s="182">
        <v>0</v>
      </c>
      <c r="O29" s="182">
        <v>0</v>
      </c>
      <c r="P29" s="184">
        <f t="shared" ref="P29:P34" si="4">SUM(D29:O29)</f>
        <v>1</v>
      </c>
    </row>
    <row r="30" spans="2:16">
      <c r="B30" t="s">
        <v>101</v>
      </c>
      <c r="D30" s="182">
        <v>0.5</v>
      </c>
      <c r="E30" s="182">
        <v>0</v>
      </c>
      <c r="F30" s="182">
        <v>0</v>
      </c>
      <c r="G30" s="182">
        <v>0</v>
      </c>
      <c r="H30" s="182">
        <v>0</v>
      </c>
      <c r="I30" s="182">
        <v>0.5</v>
      </c>
      <c r="J30" s="182">
        <v>0</v>
      </c>
      <c r="K30" s="182">
        <v>0</v>
      </c>
      <c r="L30" s="182">
        <v>0</v>
      </c>
      <c r="M30" s="182">
        <v>0</v>
      </c>
      <c r="N30" s="182">
        <v>0</v>
      </c>
      <c r="O30" s="182">
        <v>0</v>
      </c>
      <c r="P30" s="184">
        <f t="shared" si="4"/>
        <v>1</v>
      </c>
    </row>
    <row r="31" spans="2:16">
      <c r="B31" t="s">
        <v>278</v>
      </c>
      <c r="D31" s="182">
        <v>0.5</v>
      </c>
      <c r="E31" s="182">
        <v>0</v>
      </c>
      <c r="F31" s="182">
        <v>0</v>
      </c>
      <c r="G31" s="182">
        <v>0</v>
      </c>
      <c r="H31" s="182">
        <v>0</v>
      </c>
      <c r="I31" s="182">
        <v>0.5</v>
      </c>
      <c r="J31" s="182">
        <v>0</v>
      </c>
      <c r="K31" s="182">
        <v>0</v>
      </c>
      <c r="L31" s="182">
        <v>0</v>
      </c>
      <c r="M31" s="182">
        <v>0</v>
      </c>
      <c r="N31" s="182">
        <v>0</v>
      </c>
      <c r="O31" s="182">
        <v>0</v>
      </c>
      <c r="P31" s="184">
        <f t="shared" si="4"/>
        <v>1</v>
      </c>
    </row>
    <row r="32" spans="2:16">
      <c r="B32" t="s">
        <v>103</v>
      </c>
      <c r="D32" s="182">
        <v>0.5</v>
      </c>
      <c r="E32" s="182">
        <v>0</v>
      </c>
      <c r="F32" s="182">
        <v>0</v>
      </c>
      <c r="G32" s="182">
        <v>0</v>
      </c>
      <c r="H32" s="182">
        <v>0</v>
      </c>
      <c r="I32" s="182">
        <v>0.5</v>
      </c>
      <c r="J32" s="182">
        <v>0</v>
      </c>
      <c r="K32" s="182">
        <v>0</v>
      </c>
      <c r="L32" s="182">
        <v>0</v>
      </c>
      <c r="M32" s="182">
        <v>0</v>
      </c>
      <c r="N32" s="182">
        <v>0</v>
      </c>
      <c r="O32" s="182">
        <v>0</v>
      </c>
      <c r="P32" s="184">
        <f t="shared" si="4"/>
        <v>1</v>
      </c>
    </row>
    <row r="33" spans="2:16">
      <c r="B33" t="s">
        <v>163</v>
      </c>
      <c r="D33" s="182">
        <v>0.5</v>
      </c>
      <c r="E33" s="182">
        <v>0</v>
      </c>
      <c r="F33" s="182">
        <v>0</v>
      </c>
      <c r="G33" s="182">
        <v>0</v>
      </c>
      <c r="H33" s="182">
        <v>0</v>
      </c>
      <c r="I33" s="182">
        <v>0.5</v>
      </c>
      <c r="J33" s="182">
        <v>0</v>
      </c>
      <c r="K33" s="182">
        <v>0</v>
      </c>
      <c r="L33" s="182">
        <v>0</v>
      </c>
      <c r="M33" s="182">
        <v>0</v>
      </c>
      <c r="N33" s="182">
        <v>0</v>
      </c>
      <c r="O33" s="182">
        <v>0</v>
      </c>
      <c r="P33" s="184">
        <f t="shared" si="4"/>
        <v>1</v>
      </c>
    </row>
    <row r="34" spans="2:16">
      <c r="B34" t="s">
        <v>279</v>
      </c>
      <c r="D34" s="182">
        <v>0.5</v>
      </c>
      <c r="E34" s="182">
        <v>0</v>
      </c>
      <c r="F34" s="182">
        <v>0</v>
      </c>
      <c r="G34" s="182">
        <v>0</v>
      </c>
      <c r="H34" s="182">
        <v>0</v>
      </c>
      <c r="I34" s="182">
        <v>0.5</v>
      </c>
      <c r="J34" s="182">
        <v>0</v>
      </c>
      <c r="K34" s="182">
        <v>0</v>
      </c>
      <c r="L34" s="182">
        <v>0</v>
      </c>
      <c r="M34" s="182">
        <v>0</v>
      </c>
      <c r="N34" s="182">
        <v>0</v>
      </c>
      <c r="O34" s="182">
        <v>0</v>
      </c>
      <c r="P34" s="184">
        <f t="shared" si="4"/>
        <v>1</v>
      </c>
    </row>
    <row r="35" spans="2:16">
      <c r="B35" t="s">
        <v>226</v>
      </c>
      <c r="D35" s="181">
        <v>0.08</v>
      </c>
      <c r="E35" s="181">
        <v>0.1</v>
      </c>
      <c r="F35" s="181">
        <v>0.1</v>
      </c>
      <c r="G35" s="181">
        <v>0.08</v>
      </c>
      <c r="H35" s="181">
        <v>0.08</v>
      </c>
      <c r="I35" s="181">
        <v>0.08</v>
      </c>
      <c r="J35" s="181">
        <v>0.08</v>
      </c>
      <c r="K35" s="181">
        <v>0.08</v>
      </c>
      <c r="L35" s="181">
        <v>0.08</v>
      </c>
      <c r="M35" s="181">
        <v>0.08</v>
      </c>
      <c r="N35" s="181">
        <v>0.06</v>
      </c>
      <c r="O35" s="181">
        <v>0.1</v>
      </c>
      <c r="P35" s="180">
        <f>SUM(D35:O35)</f>
        <v>0.99999999999999989</v>
      </c>
    </row>
    <row r="36" spans="2:16"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80"/>
    </row>
    <row r="37" spans="2:16">
      <c r="B37" s="148" t="s">
        <v>343</v>
      </c>
      <c r="D37" s="138"/>
      <c r="E37" s="138"/>
      <c r="F37" s="138"/>
      <c r="G37" s="138"/>
      <c r="H37" s="138"/>
      <c r="I37" s="138"/>
      <c r="J37" s="138"/>
      <c r="K37" s="138"/>
      <c r="L37" s="138"/>
      <c r="M37" s="138"/>
      <c r="N37" s="138"/>
      <c r="O37" s="138"/>
      <c r="P37" s="180"/>
    </row>
    <row r="38" spans="2:16">
      <c r="B38" t="s">
        <v>344</v>
      </c>
      <c r="D38" s="138">
        <v>1</v>
      </c>
      <c r="E38" s="138">
        <v>0</v>
      </c>
      <c r="F38" s="138">
        <v>0</v>
      </c>
      <c r="G38" s="138">
        <v>0</v>
      </c>
      <c r="H38" s="138">
        <v>0</v>
      </c>
      <c r="I38" s="138">
        <v>0</v>
      </c>
      <c r="J38" s="138">
        <v>0</v>
      </c>
      <c r="K38" s="138">
        <v>0</v>
      </c>
      <c r="L38" s="138">
        <v>0</v>
      </c>
      <c r="M38" s="138">
        <v>0</v>
      </c>
      <c r="N38" s="138">
        <v>0</v>
      </c>
      <c r="O38" s="138">
        <v>0</v>
      </c>
      <c r="P38" s="180">
        <f>SUM(D38:O38)</f>
        <v>1</v>
      </c>
    </row>
    <row r="39" spans="2:16">
      <c r="B39" t="s">
        <v>345</v>
      </c>
      <c r="D39" s="182">
        <v>8.3333333333333329E-2</v>
      </c>
      <c r="E39" s="182">
        <v>8.3333333333333329E-2</v>
      </c>
      <c r="F39" s="182">
        <v>8.3333333333333329E-2</v>
      </c>
      <c r="G39" s="182">
        <v>8.3333333333333329E-2</v>
      </c>
      <c r="H39" s="182">
        <v>8.3333333333333329E-2</v>
      </c>
      <c r="I39" s="182">
        <v>8.3333333333333329E-2</v>
      </c>
      <c r="J39" s="182">
        <v>8.3333333333333329E-2</v>
      </c>
      <c r="K39" s="182">
        <v>8.3333333333333329E-2</v>
      </c>
      <c r="L39" s="182">
        <v>8.3333333333333329E-2</v>
      </c>
      <c r="M39" s="182">
        <v>8.3333333333333329E-2</v>
      </c>
      <c r="N39" s="182">
        <v>8.3333333333333329E-2</v>
      </c>
      <c r="O39" s="182">
        <v>8.3333333333333329E-2</v>
      </c>
      <c r="P39" s="180">
        <f t="shared" ref="P39:P41" si="5">SUM(D39:O39)</f>
        <v>1</v>
      </c>
    </row>
    <row r="40" spans="2:16">
      <c r="B40" t="s">
        <v>346</v>
      </c>
      <c r="D40" s="182">
        <v>8.3333333333333329E-2</v>
      </c>
      <c r="E40" s="182">
        <v>8.3333333333333329E-2</v>
      </c>
      <c r="F40" s="182">
        <v>8.3333333333333329E-2</v>
      </c>
      <c r="G40" s="182">
        <v>8.3333333333333329E-2</v>
      </c>
      <c r="H40" s="182">
        <v>8.3333333333333329E-2</v>
      </c>
      <c r="I40" s="182">
        <v>8.3333333333333329E-2</v>
      </c>
      <c r="J40" s="182">
        <v>8.3333333333333329E-2</v>
      </c>
      <c r="K40" s="182">
        <v>8.3333333333333329E-2</v>
      </c>
      <c r="L40" s="182">
        <v>8.3333333333333329E-2</v>
      </c>
      <c r="M40" s="182">
        <v>8.3333333333333329E-2</v>
      </c>
      <c r="N40" s="182">
        <v>8.3333333333333329E-2</v>
      </c>
      <c r="O40" s="182">
        <v>8.3333333333333329E-2</v>
      </c>
      <c r="P40" s="180">
        <f t="shared" si="5"/>
        <v>1</v>
      </c>
    </row>
    <row r="41" spans="2:16">
      <c r="B41" t="s">
        <v>347</v>
      </c>
      <c r="D41" s="182">
        <v>0</v>
      </c>
      <c r="E41" s="182">
        <v>0</v>
      </c>
      <c r="F41" s="182">
        <v>0</v>
      </c>
      <c r="G41" s="182">
        <v>0</v>
      </c>
      <c r="H41" s="182">
        <v>0</v>
      </c>
      <c r="I41" s="182">
        <v>0</v>
      </c>
      <c r="J41" s="182">
        <v>0</v>
      </c>
      <c r="K41" s="182">
        <v>0</v>
      </c>
      <c r="L41" s="182">
        <v>0</v>
      </c>
      <c r="M41" s="182">
        <v>0</v>
      </c>
      <c r="N41" s="182">
        <v>0</v>
      </c>
      <c r="O41" s="182">
        <v>1</v>
      </c>
      <c r="P41" s="180">
        <f t="shared" si="5"/>
        <v>1</v>
      </c>
    </row>
  </sheetData>
  <phoneticPr fontId="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238E-FAD1-4C71-AAFF-EBB5FB0A9D5B}">
  <dimension ref="A2:T63"/>
  <sheetViews>
    <sheetView showGridLines="0" zoomScale="85" zoomScaleNormal="85" workbookViewId="0">
      <pane xSplit="2" ySplit="7" topLeftCell="D8" activePane="bottomRight" state="frozen"/>
      <selection pane="topRight" activeCell="C1" sqref="C1"/>
      <selection pane="bottomLeft" activeCell="A8" sqref="A8"/>
      <selection pane="bottomRight" activeCell="P11" sqref="P11"/>
    </sheetView>
  </sheetViews>
  <sheetFormatPr defaultRowHeight="13.8"/>
  <cols>
    <col min="1" max="1" width="3.296875" customWidth="1"/>
    <col min="2" max="2" width="22.69921875" bestFit="1" customWidth="1"/>
    <col min="3" max="3" width="6.19921875" customWidth="1"/>
    <col min="4" max="4" width="1.8984375" customWidth="1"/>
    <col min="5" max="5" width="17.3984375" bestFit="1" customWidth="1"/>
    <col min="6" max="17" width="15" bestFit="1" customWidth="1"/>
    <col min="18" max="18" width="17.796875" style="9" bestFit="1" customWidth="1"/>
    <col min="19" max="19" width="17" bestFit="1" customWidth="1"/>
    <col min="20" max="20" width="14.296875" bestFit="1" customWidth="1"/>
    <col min="22" max="22" width="17.59765625" bestFit="1" customWidth="1"/>
    <col min="23" max="23" width="11.59765625" bestFit="1" customWidth="1"/>
  </cols>
  <sheetData>
    <row r="2" spans="1:19">
      <c r="A2" s="96"/>
      <c r="B2" s="96" t="s">
        <v>300</v>
      </c>
      <c r="C2" s="96"/>
      <c r="D2" s="96"/>
      <c r="E2" s="96"/>
      <c r="F2" s="139"/>
      <c r="G2" s="139"/>
      <c r="H2" s="139"/>
      <c r="I2" s="139"/>
      <c r="J2" s="139"/>
      <c r="K2" s="139"/>
      <c r="L2" s="139"/>
      <c r="M2" s="139"/>
      <c r="N2" s="139"/>
      <c r="O2" s="139"/>
    </row>
    <row r="3" spans="1:19">
      <c r="E3" s="24" t="s">
        <v>332</v>
      </c>
      <c r="F3" s="140" t="s">
        <v>320</v>
      </c>
      <c r="G3" s="140" t="s">
        <v>321</v>
      </c>
      <c r="H3" s="140" t="s">
        <v>322</v>
      </c>
      <c r="I3" s="140" t="s">
        <v>323</v>
      </c>
      <c r="J3" s="140" t="s">
        <v>324</v>
      </c>
      <c r="K3" s="140" t="s">
        <v>325</v>
      </c>
      <c r="L3" s="140" t="s">
        <v>326</v>
      </c>
      <c r="M3" s="140" t="s">
        <v>327</v>
      </c>
      <c r="N3" s="140" t="s">
        <v>328</v>
      </c>
      <c r="O3" s="140" t="s">
        <v>329</v>
      </c>
      <c r="P3" s="140" t="s">
        <v>330</v>
      </c>
      <c r="Q3" s="140" t="s">
        <v>331</v>
      </c>
      <c r="R3" s="189" t="s">
        <v>336</v>
      </c>
    </row>
    <row r="4" spans="1:19">
      <c r="B4" t="s">
        <v>355</v>
      </c>
      <c r="E4" s="24" t="s">
        <v>333</v>
      </c>
      <c r="F4" s="140">
        <v>45658</v>
      </c>
      <c r="G4" s="140">
        <v>45689</v>
      </c>
      <c r="H4" s="140">
        <v>45717</v>
      </c>
      <c r="I4" s="140">
        <v>45748</v>
      </c>
      <c r="J4" s="140">
        <v>45778</v>
      </c>
      <c r="K4" s="140">
        <v>45809</v>
      </c>
      <c r="L4" s="140">
        <v>45839</v>
      </c>
      <c r="M4" s="140">
        <v>45870</v>
      </c>
      <c r="N4" s="140">
        <v>45901</v>
      </c>
      <c r="O4" s="140">
        <v>45931</v>
      </c>
      <c r="P4" s="140">
        <v>45962</v>
      </c>
      <c r="Q4" s="140">
        <v>45992</v>
      </c>
      <c r="R4" s="190">
        <f>+F4</f>
        <v>45658</v>
      </c>
    </row>
    <row r="5" spans="1:19">
      <c r="B5" t="s">
        <v>306</v>
      </c>
      <c r="C5" s="164"/>
      <c r="E5" s="24" t="s">
        <v>334</v>
      </c>
      <c r="F5" s="174">
        <f>+EOMONTH(F4,0)</f>
        <v>45688</v>
      </c>
      <c r="G5" s="174">
        <f t="shared" ref="G5:Q5" si="0">+EOMONTH(G4,0)</f>
        <v>45716</v>
      </c>
      <c r="H5" s="174">
        <f t="shared" si="0"/>
        <v>45747</v>
      </c>
      <c r="I5" s="174">
        <f t="shared" si="0"/>
        <v>45777</v>
      </c>
      <c r="J5" s="174">
        <f t="shared" si="0"/>
        <v>45808</v>
      </c>
      <c r="K5" s="174">
        <f t="shared" si="0"/>
        <v>45838</v>
      </c>
      <c r="L5" s="174">
        <f t="shared" si="0"/>
        <v>45869</v>
      </c>
      <c r="M5" s="174">
        <f t="shared" si="0"/>
        <v>45900</v>
      </c>
      <c r="N5" s="174">
        <f t="shared" si="0"/>
        <v>45930</v>
      </c>
      <c r="O5" s="174">
        <f t="shared" si="0"/>
        <v>45961</v>
      </c>
      <c r="P5" s="174">
        <f t="shared" si="0"/>
        <v>45991</v>
      </c>
      <c r="Q5" s="174">
        <f t="shared" si="0"/>
        <v>46022</v>
      </c>
      <c r="R5" s="190">
        <f>+Q5</f>
        <v>46022</v>
      </c>
    </row>
    <row r="6" spans="1:19">
      <c r="E6" s="24" t="s">
        <v>335</v>
      </c>
      <c r="F6" s="87">
        <f>DAY(EOMONTH(F5,0))</f>
        <v>31</v>
      </c>
      <c r="G6" s="87">
        <f t="shared" ref="G6:Q6" si="1">DAY(EOMONTH(G5,0))</f>
        <v>28</v>
      </c>
      <c r="H6" s="87">
        <f t="shared" si="1"/>
        <v>31</v>
      </c>
      <c r="I6" s="87">
        <f t="shared" si="1"/>
        <v>30</v>
      </c>
      <c r="J6" s="87">
        <f>DAY(EOMONTH(J5,0))</f>
        <v>31</v>
      </c>
      <c r="K6" s="87">
        <f t="shared" si="1"/>
        <v>30</v>
      </c>
      <c r="L6" s="87">
        <f t="shared" si="1"/>
        <v>31</v>
      </c>
      <c r="M6" s="87">
        <f t="shared" si="1"/>
        <v>31</v>
      </c>
      <c r="N6" s="87">
        <f t="shared" si="1"/>
        <v>30</v>
      </c>
      <c r="O6" s="87">
        <f t="shared" si="1"/>
        <v>31</v>
      </c>
      <c r="P6" s="87">
        <f t="shared" si="1"/>
        <v>30</v>
      </c>
      <c r="Q6" s="87">
        <f t="shared" si="1"/>
        <v>31</v>
      </c>
      <c r="R6" s="191">
        <f>SUM(F6:Q6)</f>
        <v>365</v>
      </c>
    </row>
    <row r="7" spans="1:19" s="148" customFormat="1">
      <c r="F7" s="148" t="s">
        <v>348</v>
      </c>
      <c r="G7" s="148" t="s">
        <v>348</v>
      </c>
      <c r="H7" s="148" t="s">
        <v>348</v>
      </c>
      <c r="I7" s="148" t="s">
        <v>348</v>
      </c>
      <c r="J7" s="148" t="s">
        <v>348</v>
      </c>
      <c r="K7" s="148" t="s">
        <v>348</v>
      </c>
      <c r="L7" s="148" t="s">
        <v>348</v>
      </c>
      <c r="M7" s="148" t="s">
        <v>348</v>
      </c>
      <c r="N7" s="148" t="s">
        <v>348</v>
      </c>
      <c r="O7" s="148" t="s">
        <v>348</v>
      </c>
      <c r="P7" s="148" t="s">
        <v>348</v>
      </c>
      <c r="Q7" s="148" t="s">
        <v>348</v>
      </c>
      <c r="R7" s="192"/>
    </row>
    <row r="8" spans="1:19">
      <c r="B8" s="148" t="s">
        <v>349</v>
      </c>
    </row>
    <row r="9" spans="1:19">
      <c r="E9" s="24" t="s">
        <v>350</v>
      </c>
    </row>
    <row r="10" spans="1:19">
      <c r="B10" s="175" t="s">
        <v>311</v>
      </c>
      <c r="C10" s="175"/>
    </row>
    <row r="11" spans="1:19">
      <c r="B11" t="s">
        <v>45</v>
      </c>
      <c r="E11" s="48">
        <v>0</v>
      </c>
      <c r="F11" s="49">
        <f>+$R$11*'Monthly CF Budget Allocation'!D10</f>
        <v>56926799.999999993</v>
      </c>
      <c r="G11" s="49">
        <f>+$R$11*'Monthly CF Budget Allocation'!E10</f>
        <v>71158499.999999985</v>
      </c>
      <c r="H11" s="49">
        <f>+$R$11*'Monthly CF Budget Allocation'!F10</f>
        <v>71158499.999999985</v>
      </c>
      <c r="I11" s="49">
        <f>+$R$11*'Monthly CF Budget Allocation'!G10</f>
        <v>56926799.999999993</v>
      </c>
      <c r="J11" s="49">
        <f>+$R$11*'Monthly CF Budget Allocation'!H10</f>
        <v>56926799.999999993</v>
      </c>
      <c r="K11" s="49">
        <f>+$R$11*'Monthly CF Budget Allocation'!I10</f>
        <v>56926799.999999993</v>
      </c>
      <c r="L11" s="49">
        <f>+$R$11*'Monthly CF Budget Allocation'!J10</f>
        <v>56926799.999999993</v>
      </c>
      <c r="M11" s="49">
        <f>+$R$11*'Monthly CF Budget Allocation'!K10</f>
        <v>56926799.999999993</v>
      </c>
      <c r="N11" s="49">
        <f>+$R$11*'Monthly CF Budget Allocation'!L10</f>
        <v>56926799.999999993</v>
      </c>
      <c r="O11" s="49">
        <f>+$R$11*'Monthly CF Budget Allocation'!M10</f>
        <v>56926799.999999993</v>
      </c>
      <c r="P11" s="49">
        <f>+$R$11*'Monthly CF Budget Allocation'!N10</f>
        <v>42695099.999999993</v>
      </c>
      <c r="Q11" s="49">
        <f>+$R$11*'Monthly CF Budget Allocation'!O10</f>
        <v>71158499.999999985</v>
      </c>
      <c r="R11" s="193">
        <f>+'Set Up Assumptions'!H7*'Set Up Assumptions'!H10*'Set Up Assumptions'!H17*Scenarios!F10*Scenarios!F32</f>
        <v>711584999.99999988</v>
      </c>
      <c r="S11" s="138">
        <f>711585000/R11-1</f>
        <v>0</v>
      </c>
    </row>
    <row r="12" spans="1:19">
      <c r="B12" t="s">
        <v>308</v>
      </c>
      <c r="E12" s="48">
        <v>0</v>
      </c>
      <c r="F12" s="49">
        <f>+$R$12*'Monthly CF Budget Allocation'!D11</f>
        <v>84576960</v>
      </c>
      <c r="G12" s="49">
        <f>+$R$12*'Monthly CF Budget Allocation'!E11</f>
        <v>105721200</v>
      </c>
      <c r="H12" s="49">
        <f>+$R$12*'Monthly CF Budget Allocation'!F11</f>
        <v>105721200</v>
      </c>
      <c r="I12" s="49">
        <f>+$R$12*'Monthly CF Budget Allocation'!G11</f>
        <v>84576960</v>
      </c>
      <c r="J12" s="49">
        <f>+$R$12*'Monthly CF Budget Allocation'!H11</f>
        <v>84576960</v>
      </c>
      <c r="K12" s="49">
        <f>+$R$12*'Monthly CF Budget Allocation'!I11</f>
        <v>84576960</v>
      </c>
      <c r="L12" s="49">
        <f>+$R$12*'Monthly CF Budget Allocation'!J11</f>
        <v>84576960</v>
      </c>
      <c r="M12" s="49">
        <f>+$R$12*'Monthly CF Budget Allocation'!K11</f>
        <v>84576960</v>
      </c>
      <c r="N12" s="49">
        <f>+$R$12*'Monthly CF Budget Allocation'!L11</f>
        <v>84576960</v>
      </c>
      <c r="O12" s="49">
        <f>+$R$12*'Monthly CF Budget Allocation'!M11</f>
        <v>84576960</v>
      </c>
      <c r="P12" s="49">
        <f>+$R$12*'Monthly CF Budget Allocation'!N11</f>
        <v>63432720</v>
      </c>
      <c r="Q12" s="49">
        <f>+$R$12*'Monthly CF Budget Allocation'!O11</f>
        <v>105721200</v>
      </c>
      <c r="R12" s="193">
        <f>+'Set Up Assumptions'!H7*'Set Up Assumptions'!H11*'Set Up Assumptions'!H18*Scenarios!F15*Scenarios!F32</f>
        <v>1057212000</v>
      </c>
      <c r="S12" s="49"/>
    </row>
    <row r="13" spans="1:19">
      <c r="B13" t="s">
        <v>310</v>
      </c>
      <c r="E13" s="48">
        <v>0</v>
      </c>
      <c r="F13" s="49">
        <f>+$R$13*'Monthly CF Budget Allocation'!D12</f>
        <v>22590000</v>
      </c>
      <c r="G13" s="49">
        <f>+$R$13*'Monthly CF Budget Allocation'!E12</f>
        <v>28237500</v>
      </c>
      <c r="H13" s="49">
        <f>+$R$13*'Monthly CF Budget Allocation'!F12</f>
        <v>28237500</v>
      </c>
      <c r="I13" s="49">
        <f>+$R$13*'Monthly CF Budget Allocation'!G12</f>
        <v>22590000</v>
      </c>
      <c r="J13" s="49">
        <f>+$R$13*'Monthly CF Budget Allocation'!H12</f>
        <v>22590000</v>
      </c>
      <c r="K13" s="49">
        <f>+$R$13*'Monthly CF Budget Allocation'!I12</f>
        <v>22590000</v>
      </c>
      <c r="L13" s="49">
        <f>+$R$13*'Monthly CF Budget Allocation'!J12</f>
        <v>22590000</v>
      </c>
      <c r="M13" s="49">
        <f>+$R$13*'Monthly CF Budget Allocation'!K12</f>
        <v>22590000</v>
      </c>
      <c r="N13" s="49">
        <f>+$R$13*'Monthly CF Budget Allocation'!L12</f>
        <v>22590000</v>
      </c>
      <c r="O13" s="49">
        <f>+$R$13*'Monthly CF Budget Allocation'!M12</f>
        <v>22590000</v>
      </c>
      <c r="P13" s="49">
        <f>+$R$13*'Monthly CF Budget Allocation'!N12</f>
        <v>16942500</v>
      </c>
      <c r="Q13" s="49">
        <f>+$R$13*'Monthly CF Budget Allocation'!O12</f>
        <v>28237500</v>
      </c>
      <c r="R13" s="193">
        <f>+'Set Up Assumptions'!H7*'Set Up Assumptions'!H12*'Set Up Assumptions'!H19*Scenarios!F20*Scenarios!F32</f>
        <v>282375000</v>
      </c>
      <c r="S13" s="49"/>
    </row>
    <row r="14" spans="1:19">
      <c r="B14" t="s">
        <v>309</v>
      </c>
      <c r="E14" s="48">
        <v>0</v>
      </c>
      <c r="F14" s="49">
        <f>+$R$14*'Monthly CF Budget Allocation'!D13</f>
        <v>52860600</v>
      </c>
      <c r="G14" s="49">
        <f>+$R$14*'Monthly CF Budget Allocation'!E13</f>
        <v>66075750</v>
      </c>
      <c r="H14" s="49">
        <f>+$R$14*'Monthly CF Budget Allocation'!F13</f>
        <v>66075750</v>
      </c>
      <c r="I14" s="49">
        <f>+$R$14*'Monthly CF Budget Allocation'!G13</f>
        <v>52860600</v>
      </c>
      <c r="J14" s="49">
        <f>+$R$14*'Monthly CF Budget Allocation'!H13</f>
        <v>52860600</v>
      </c>
      <c r="K14" s="49">
        <f>+$R$14*'Monthly CF Budget Allocation'!I13</f>
        <v>52860600</v>
      </c>
      <c r="L14" s="49">
        <f>+$R$14*'Monthly CF Budget Allocation'!J13</f>
        <v>52860600</v>
      </c>
      <c r="M14" s="49">
        <f>+$R$14*'Monthly CF Budget Allocation'!K13</f>
        <v>52860600</v>
      </c>
      <c r="N14" s="49">
        <f>+$R$14*'Monthly CF Budget Allocation'!L13</f>
        <v>52860600</v>
      </c>
      <c r="O14" s="49">
        <f>+$R$14*'Monthly CF Budget Allocation'!M13</f>
        <v>52860600</v>
      </c>
      <c r="P14" s="49">
        <f>+$R$14*'Monthly CF Budget Allocation'!N13</f>
        <v>39645450</v>
      </c>
      <c r="Q14" s="49">
        <f>+$R$14*'Monthly CF Budget Allocation'!O13</f>
        <v>66075750</v>
      </c>
      <c r="R14" s="193">
        <f>+'Set Up Assumptions'!H7*'Set Up Assumptions'!H13*'Set Up Assumptions'!H20*Scenarios!F25*Scenarios!F32</f>
        <v>660757500</v>
      </c>
      <c r="S14" s="49"/>
    </row>
    <row r="15" spans="1:19">
      <c r="B15" s="155" t="s">
        <v>351</v>
      </c>
      <c r="C15" s="155"/>
      <c r="D15" s="30"/>
      <c r="E15" s="185">
        <f>SUM(E11:E14)</f>
        <v>0</v>
      </c>
      <c r="F15" s="186">
        <f>SUM(F11:F14)</f>
        <v>216954360</v>
      </c>
      <c r="G15" s="186">
        <f t="shared" ref="G15:Q15" si="2">SUM(G11:G14)</f>
        <v>271192950</v>
      </c>
      <c r="H15" s="186">
        <f t="shared" si="2"/>
        <v>271192950</v>
      </c>
      <c r="I15" s="186">
        <f t="shared" si="2"/>
        <v>216954360</v>
      </c>
      <c r="J15" s="186">
        <f t="shared" si="2"/>
        <v>216954360</v>
      </c>
      <c r="K15" s="186">
        <f t="shared" si="2"/>
        <v>216954360</v>
      </c>
      <c r="L15" s="186">
        <f t="shared" si="2"/>
        <v>216954360</v>
      </c>
      <c r="M15" s="186">
        <f t="shared" si="2"/>
        <v>216954360</v>
      </c>
      <c r="N15" s="186">
        <f t="shared" si="2"/>
        <v>216954360</v>
      </c>
      <c r="O15" s="186">
        <f t="shared" si="2"/>
        <v>216954360</v>
      </c>
      <c r="P15" s="186">
        <f t="shared" si="2"/>
        <v>162715770</v>
      </c>
      <c r="Q15" s="186">
        <f t="shared" si="2"/>
        <v>271192950</v>
      </c>
      <c r="R15" s="202">
        <f>SUM(R11:R14)</f>
        <v>2711929500</v>
      </c>
      <c r="S15" s="49">
        <v>2711929500</v>
      </c>
    </row>
    <row r="16" spans="1:19">
      <c r="S16" s="49"/>
    </row>
    <row r="17" spans="2:20">
      <c r="B17" s="175" t="s">
        <v>338</v>
      </c>
      <c r="C17" s="175"/>
      <c r="S17" s="49"/>
    </row>
    <row r="18" spans="2:20">
      <c r="B18" t="s">
        <v>55</v>
      </c>
      <c r="F18" s="49">
        <f>+$R$18*'Monthly CF Budget Allocation'!D16</f>
        <v>-84000000</v>
      </c>
      <c r="G18" s="49">
        <f>+$R$18*'Monthly CF Budget Allocation'!E16</f>
        <v>-105000000</v>
      </c>
      <c r="H18" s="49">
        <f>+$R$18*'Monthly CF Budget Allocation'!F16</f>
        <v>-105000000</v>
      </c>
      <c r="I18" s="49">
        <f>+$R$18*'Monthly CF Budget Allocation'!G16</f>
        <v>-84000000</v>
      </c>
      <c r="J18" s="49">
        <f>+$R$18*'Monthly CF Budget Allocation'!H16</f>
        <v>-84000000</v>
      </c>
      <c r="K18" s="49">
        <f>+$R$18*'Monthly CF Budget Allocation'!I16</f>
        <v>-84000000</v>
      </c>
      <c r="L18" s="49">
        <f>+$R$18*'Monthly CF Budget Allocation'!J16</f>
        <v>-84000000</v>
      </c>
      <c r="M18" s="49">
        <f>+$R$18*'Monthly CF Budget Allocation'!K16</f>
        <v>-84000000</v>
      </c>
      <c r="N18" s="49">
        <f>+$R$18*'Monthly CF Budget Allocation'!L16</f>
        <v>-84000000</v>
      </c>
      <c r="O18" s="49">
        <f>+$R$18*'Monthly CF Budget Allocation'!M16</f>
        <v>-84000000</v>
      </c>
      <c r="P18" s="49">
        <f>+$R$18*'Monthly CF Budget Allocation'!N16</f>
        <v>-63000000</v>
      </c>
      <c r="Q18" s="49">
        <f>+$R$18*'Monthly CF Budget Allocation'!O16</f>
        <v>-105000000</v>
      </c>
      <c r="R18" s="193">
        <f>-+SUM('Set Up Assumptions'!H24:H27)</f>
        <v>-1050000000</v>
      </c>
      <c r="S18" s="49">
        <v>1050000000</v>
      </c>
      <c r="T18" s="85">
        <f>+S18+R18</f>
        <v>0</v>
      </c>
    </row>
    <row r="19" spans="2:20">
      <c r="B19" t="s">
        <v>318</v>
      </c>
      <c r="F19" s="49">
        <f>+$R$19*'Monthly CF Budget Allocation'!D17</f>
        <v>-5640000</v>
      </c>
      <c r="G19" s="49">
        <f>+$R$19*'Monthly CF Budget Allocation'!E17</f>
        <v>-7050000</v>
      </c>
      <c r="H19" s="49">
        <f>+$R$19*'Monthly CF Budget Allocation'!F17</f>
        <v>-7050000</v>
      </c>
      <c r="I19" s="49">
        <f>+$R$19*'Monthly CF Budget Allocation'!G17</f>
        <v>-5640000</v>
      </c>
      <c r="J19" s="49">
        <f>+$R$19*'Monthly CF Budget Allocation'!H17</f>
        <v>-5640000</v>
      </c>
      <c r="K19" s="49">
        <f>+$R$19*'Monthly CF Budget Allocation'!I17</f>
        <v>-5640000</v>
      </c>
      <c r="L19" s="49">
        <f>+$R$19*'Monthly CF Budget Allocation'!J17</f>
        <v>-5640000</v>
      </c>
      <c r="M19" s="49">
        <f>+$R$19*'Monthly CF Budget Allocation'!K17</f>
        <v>-5640000</v>
      </c>
      <c r="N19" s="49">
        <f>+$R$19*'Monthly CF Budget Allocation'!L17</f>
        <v>-5640000</v>
      </c>
      <c r="O19" s="49">
        <f>+$R$19*'Monthly CF Budget Allocation'!M17</f>
        <v>-5640000</v>
      </c>
      <c r="P19" s="49">
        <f>+$R$19*'Monthly CF Budget Allocation'!N17</f>
        <v>-4230000</v>
      </c>
      <c r="Q19" s="49">
        <f>+$R$19*'Monthly CF Budget Allocation'!O17</f>
        <v>-7050000</v>
      </c>
      <c r="R19" s="193">
        <f>-+(('Set Up Assumptions'!H31*'Set Up Assumptions'!H32)+('Set Up Assumptions'!H35*'Set Up Assumptions'!H36)+('Set Up Assumptions'!H39*'Set Up Assumptions'!H40))*(AVERAGE(Scenarios!F10,Scenarios!F15,Scenarios!F20,Scenarios!F25))</f>
        <v>-70500000</v>
      </c>
      <c r="S19" s="49">
        <v>70000000</v>
      </c>
      <c r="T19" s="85">
        <f t="shared" ref="T19:T23" si="3">+S19+R19</f>
        <v>-500000</v>
      </c>
    </row>
    <row r="20" spans="2:20">
      <c r="B20" t="s">
        <v>81</v>
      </c>
      <c r="F20" s="49">
        <f>(+F15*'Set Up Assumptions'!$H$43)*-1</f>
        <v>-4339087.2</v>
      </c>
      <c r="G20" s="49">
        <f>(+G15*'Set Up Assumptions'!$H$43)*-1</f>
        <v>-5423859</v>
      </c>
      <c r="H20" s="49">
        <f>(+H15*'Set Up Assumptions'!$H$43)*-1</f>
        <v>-5423859</v>
      </c>
      <c r="I20" s="49">
        <f>(+I15*'Set Up Assumptions'!$H$43)*-1</f>
        <v>-4339087.2</v>
      </c>
      <c r="J20" s="49">
        <f>(+J15*'Set Up Assumptions'!$H$43)*-1</f>
        <v>-4339087.2</v>
      </c>
      <c r="K20" s="49">
        <f>(+K15*'Set Up Assumptions'!$H$43)*-1</f>
        <v>-4339087.2</v>
      </c>
      <c r="L20" s="49">
        <f>(+L15*'Set Up Assumptions'!$H$43)*-1</f>
        <v>-4339087.2</v>
      </c>
      <c r="M20" s="49">
        <f>(+M15*'Set Up Assumptions'!$H$43)*-1</f>
        <v>-4339087.2</v>
      </c>
      <c r="N20" s="49">
        <f>(+N15*'Set Up Assumptions'!$H$43)*-1</f>
        <v>-4339087.2</v>
      </c>
      <c r="O20" s="49">
        <f>(+O15*'Set Up Assumptions'!$H$43)*-1</f>
        <v>-4339087.2</v>
      </c>
      <c r="P20" s="49">
        <f>(+P15*'Set Up Assumptions'!$H$43)*-1</f>
        <v>-3254315.4</v>
      </c>
      <c r="Q20" s="49">
        <f>(+Q15*'Set Up Assumptions'!$H$43)*-1</f>
        <v>-5423859</v>
      </c>
      <c r="R20" s="193">
        <f>SUM(F20:Q20)</f>
        <v>-54238590</v>
      </c>
      <c r="S20" s="49">
        <v>54238590</v>
      </c>
      <c r="T20" s="85">
        <f t="shared" si="3"/>
        <v>0</v>
      </c>
    </row>
    <row r="21" spans="2:20">
      <c r="B21" t="s">
        <v>82</v>
      </c>
      <c r="F21" s="49">
        <f>(+F15*'Set Up Assumptions'!$H$44)*-1</f>
        <v>-7593402.6000000006</v>
      </c>
      <c r="G21" s="49">
        <f>(+G15*'Set Up Assumptions'!$H$44)*-1</f>
        <v>-9491753.25</v>
      </c>
      <c r="H21" s="49">
        <f>(+H15*'Set Up Assumptions'!$H$44)*-1</f>
        <v>-9491753.25</v>
      </c>
      <c r="I21" s="49">
        <f>(+I15*'Set Up Assumptions'!$H$44)*-1</f>
        <v>-7593402.6000000006</v>
      </c>
      <c r="J21" s="49">
        <f>(+J15*'Set Up Assumptions'!$H$44)*-1</f>
        <v>-7593402.6000000006</v>
      </c>
      <c r="K21" s="49">
        <f>(+K15*'Set Up Assumptions'!$H$44)*-1</f>
        <v>-7593402.6000000006</v>
      </c>
      <c r="L21" s="49">
        <f>(+L15*'Set Up Assumptions'!$H$44)*-1</f>
        <v>-7593402.6000000006</v>
      </c>
      <c r="M21" s="49">
        <f>(+M15*'Set Up Assumptions'!$H$44)*-1</f>
        <v>-7593402.6000000006</v>
      </c>
      <c r="N21" s="49">
        <f>(+N15*'Set Up Assumptions'!$H$44)*-1</f>
        <v>-7593402.6000000006</v>
      </c>
      <c r="O21" s="49">
        <f>(+O15*'Set Up Assumptions'!$H$44)*-1</f>
        <v>-7593402.6000000006</v>
      </c>
      <c r="P21" s="49">
        <f>(+P15*'Set Up Assumptions'!$H$44)*-1</f>
        <v>-5695051.9500000002</v>
      </c>
      <c r="Q21" s="49">
        <f>(+Q15*'Set Up Assumptions'!$H$44)*-1</f>
        <v>-9491753.25</v>
      </c>
      <c r="R21" s="193">
        <f>SUM(F21:Q21)</f>
        <v>-94917532.5</v>
      </c>
      <c r="S21" s="49">
        <v>94917533</v>
      </c>
      <c r="T21" s="85">
        <f t="shared" si="3"/>
        <v>0.5</v>
      </c>
    </row>
    <row r="22" spans="2:20">
      <c r="B22" t="s">
        <v>339</v>
      </c>
      <c r="F22" s="49">
        <f>((+$R$22*'Monthly CF Budget Allocation'!D20)*-1)*-1</f>
        <v>-696000</v>
      </c>
      <c r="G22" s="49">
        <f>((+$R$22*'Monthly CF Budget Allocation'!E20)*-1)*-1</f>
        <v>-696000</v>
      </c>
      <c r="H22" s="49">
        <f>((+$R$22*'Monthly CF Budget Allocation'!F20)*-1)*-1</f>
        <v>-696000</v>
      </c>
      <c r="I22" s="49">
        <f>((+$R$22*'Monthly CF Budget Allocation'!G20)*-1)*-1</f>
        <v>-696000</v>
      </c>
      <c r="J22" s="49">
        <f>((+$R$22*'Monthly CF Budget Allocation'!H20)*-1)*-1</f>
        <v>-696000</v>
      </c>
      <c r="K22" s="49">
        <f>((+$R$22*'Monthly CF Budget Allocation'!I20)*-1)*-1</f>
        <v>-696000</v>
      </c>
      <c r="L22" s="49">
        <f>((+$R$22*'Monthly CF Budget Allocation'!J20)*-1)*-1</f>
        <v>-696000</v>
      </c>
      <c r="M22" s="49">
        <f>((+$R$22*'Monthly CF Budget Allocation'!K20)*-1)*-1</f>
        <v>-696000</v>
      </c>
      <c r="N22" s="49">
        <f>((+$R$22*'Monthly CF Budget Allocation'!L20)*-1)*-1</f>
        <v>-696000</v>
      </c>
      <c r="O22" s="49">
        <f>((+$R$22*'Monthly CF Budget Allocation'!M20)*-1)*-1</f>
        <v>-696000</v>
      </c>
      <c r="P22" s="49">
        <f>((+$R$22*'Monthly CF Budget Allocation'!N20)*-1)*-1</f>
        <v>-696000</v>
      </c>
      <c r="Q22" s="49">
        <f>((+$R$22*'Monthly CF Budget Allocation'!O20)*-1)*-1</f>
        <v>-696000</v>
      </c>
      <c r="R22" s="193">
        <f>-+Payroll!R28</f>
        <v>-8352000</v>
      </c>
      <c r="S22" s="49">
        <v>8352000</v>
      </c>
      <c r="T22" s="85">
        <f t="shared" si="3"/>
        <v>0</v>
      </c>
    </row>
    <row r="23" spans="2:20">
      <c r="B23" s="155" t="s">
        <v>352</v>
      </c>
      <c r="C23" s="155"/>
      <c r="D23" s="30"/>
      <c r="E23" s="30"/>
      <c r="F23" s="187">
        <f>SUM(F18:F22)</f>
        <v>-102268489.8</v>
      </c>
      <c r="G23" s="187">
        <f t="shared" ref="G23:R23" si="4">SUM(G18:G22)</f>
        <v>-127661612.25</v>
      </c>
      <c r="H23" s="187">
        <f t="shared" si="4"/>
        <v>-127661612.25</v>
      </c>
      <c r="I23" s="187">
        <f t="shared" si="4"/>
        <v>-102268489.8</v>
      </c>
      <c r="J23" s="187">
        <f t="shared" si="4"/>
        <v>-102268489.8</v>
      </c>
      <c r="K23" s="187">
        <f t="shared" si="4"/>
        <v>-102268489.8</v>
      </c>
      <c r="L23" s="187">
        <f t="shared" si="4"/>
        <v>-102268489.8</v>
      </c>
      <c r="M23" s="187">
        <f t="shared" si="4"/>
        <v>-102268489.8</v>
      </c>
      <c r="N23" s="187">
        <f t="shared" si="4"/>
        <v>-102268489.8</v>
      </c>
      <c r="O23" s="187">
        <f t="shared" si="4"/>
        <v>-102268489.8</v>
      </c>
      <c r="P23" s="187">
        <f t="shared" si="4"/>
        <v>-76875367.350000009</v>
      </c>
      <c r="Q23" s="187">
        <f t="shared" si="4"/>
        <v>-127661612.25</v>
      </c>
      <c r="R23" s="194">
        <f t="shared" si="4"/>
        <v>-1278008122.5</v>
      </c>
      <c r="S23" s="49">
        <v>1277508123</v>
      </c>
      <c r="T23" s="85">
        <f t="shared" si="3"/>
        <v>-499999.5</v>
      </c>
    </row>
    <row r="24" spans="2:20">
      <c r="B24" s="148"/>
      <c r="C24" s="148"/>
      <c r="F24" s="188"/>
      <c r="G24" s="188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93"/>
      <c r="S24" s="49"/>
      <c r="T24" s="49"/>
    </row>
    <row r="25" spans="2:20">
      <c r="B25" s="147" t="s">
        <v>354</v>
      </c>
      <c r="C25" s="147"/>
      <c r="D25" s="14"/>
      <c r="E25" s="14"/>
      <c r="F25" s="136">
        <f>+F15+F23</f>
        <v>114685870.2</v>
      </c>
      <c r="G25" s="136">
        <f t="shared" ref="G25:Q25" si="5">+G15+G23</f>
        <v>143531337.75</v>
      </c>
      <c r="H25" s="136">
        <f t="shared" si="5"/>
        <v>143531337.75</v>
      </c>
      <c r="I25" s="136">
        <f t="shared" si="5"/>
        <v>114685870.2</v>
      </c>
      <c r="J25" s="136">
        <f t="shared" si="5"/>
        <v>114685870.2</v>
      </c>
      <c r="K25" s="136">
        <f t="shared" si="5"/>
        <v>114685870.2</v>
      </c>
      <c r="L25" s="136">
        <f t="shared" si="5"/>
        <v>114685870.2</v>
      </c>
      <c r="M25" s="136">
        <f t="shared" si="5"/>
        <v>114685870.2</v>
      </c>
      <c r="N25" s="136">
        <f t="shared" si="5"/>
        <v>114685870.2</v>
      </c>
      <c r="O25" s="136">
        <f t="shared" si="5"/>
        <v>114685870.2</v>
      </c>
      <c r="P25" s="136">
        <f t="shared" si="5"/>
        <v>85840402.649999991</v>
      </c>
      <c r="Q25" s="136">
        <f t="shared" si="5"/>
        <v>143531337.75</v>
      </c>
      <c r="R25" s="195">
        <f>+R15+R23</f>
        <v>1433921377.5</v>
      </c>
      <c r="S25" s="49">
        <v>1434421378</v>
      </c>
      <c r="T25" s="85">
        <f>+R25-S25</f>
        <v>-500000.5</v>
      </c>
    </row>
    <row r="26" spans="2:20">
      <c r="S26" t="s">
        <v>371</v>
      </c>
    </row>
    <row r="27" spans="2:20">
      <c r="B27" s="148" t="s">
        <v>218</v>
      </c>
      <c r="C27" s="148"/>
    </row>
    <row r="28" spans="2:20">
      <c r="B28" s="157" t="s">
        <v>356</v>
      </c>
      <c r="C28" s="148"/>
      <c r="E28" s="49">
        <f>-+'Set Up Assumptions'!D21</f>
        <v>-32620000</v>
      </c>
      <c r="F28" s="49">
        <v>0</v>
      </c>
      <c r="G28" s="49">
        <v>0</v>
      </c>
      <c r="H28" s="49">
        <v>0</v>
      </c>
      <c r="I28" s="49">
        <v>0</v>
      </c>
      <c r="J28" s="49">
        <v>0</v>
      </c>
      <c r="K28" s="49">
        <v>0</v>
      </c>
      <c r="L28" s="49">
        <v>0</v>
      </c>
      <c r="M28" s="49">
        <v>0</v>
      </c>
      <c r="N28" s="49">
        <v>0</v>
      </c>
      <c r="O28" s="49">
        <v>0</v>
      </c>
      <c r="P28" s="49">
        <v>0</v>
      </c>
      <c r="Q28" s="49">
        <v>0</v>
      </c>
      <c r="R28" s="193">
        <f>SUM(F28:Q28)</f>
        <v>0</v>
      </c>
    </row>
    <row r="29" spans="2:20">
      <c r="B29" t="s">
        <v>340</v>
      </c>
      <c r="C29" s="148"/>
      <c r="E29" s="49"/>
      <c r="F29" s="49">
        <f>(+Payroll!$R$52*'Monthly CF Budget Allocation'!D23)*-1</f>
        <v>-187000</v>
      </c>
      <c r="G29" s="49">
        <f>(+Payroll!$R$52*'Monthly CF Budget Allocation'!E23)*-1</f>
        <v>-187000</v>
      </c>
      <c r="H29" s="49">
        <f>(+Payroll!$R$52*'Monthly CF Budget Allocation'!F23)*-1</f>
        <v>-187000</v>
      </c>
      <c r="I29" s="49">
        <f>(+Payroll!$R$52*'Monthly CF Budget Allocation'!G23)*-1</f>
        <v>-187000</v>
      </c>
      <c r="J29" s="49">
        <f>(+Payroll!$R$52*'Monthly CF Budget Allocation'!H23)*-1</f>
        <v>-187000</v>
      </c>
      <c r="K29" s="49">
        <f>(+Payroll!$R$52*'Monthly CF Budget Allocation'!I23)*-1</f>
        <v>-187000</v>
      </c>
      <c r="L29" s="49">
        <f>(+Payroll!$R$52*'Monthly CF Budget Allocation'!J23)*-1</f>
        <v>-187000</v>
      </c>
      <c r="M29" s="49">
        <f>(+Payroll!$R$52*'Monthly CF Budget Allocation'!K23)*-1</f>
        <v>-187000</v>
      </c>
      <c r="N29" s="49">
        <f>(+Payroll!$R$52*'Monthly CF Budget Allocation'!L23)*-1</f>
        <v>-187000</v>
      </c>
      <c r="O29" s="49">
        <f>(+Payroll!$R$52*'Monthly CF Budget Allocation'!M23)*-1</f>
        <v>-187000</v>
      </c>
      <c r="P29" s="49">
        <f>(+Payroll!$R$52*'Monthly CF Budget Allocation'!N23)*-1</f>
        <v>-187000</v>
      </c>
      <c r="Q29" s="49">
        <f>(+Payroll!$R$52*'Monthly CF Budget Allocation'!O23)*-1</f>
        <v>-187000</v>
      </c>
      <c r="R29" s="193">
        <f t="shared" ref="R29:R38" si="6">SUM(F29:Q29)</f>
        <v>-2244000</v>
      </c>
    </row>
    <row r="30" spans="2:20">
      <c r="B30" t="s">
        <v>226</v>
      </c>
      <c r="C30" s="148"/>
      <c r="E30" s="49"/>
      <c r="F30" s="49">
        <f>(+OpEx!$I$30*'Monthly CF Budget Allocation'!D24)*-1</f>
        <v>-7040000</v>
      </c>
      <c r="G30" s="49">
        <f>(+OpEx!$I$30*'Monthly CF Budget Allocation'!E24)*-1</f>
        <v>-8800000</v>
      </c>
      <c r="H30" s="49">
        <f>(+OpEx!$I$30*'Monthly CF Budget Allocation'!F24)*-1</f>
        <v>-8800000</v>
      </c>
      <c r="I30" s="49">
        <f>(+OpEx!$I$30*'Monthly CF Budget Allocation'!G24)*-1</f>
        <v>-7040000</v>
      </c>
      <c r="J30" s="49">
        <f>(+OpEx!$I$30*'Monthly CF Budget Allocation'!H24)*-1</f>
        <v>-7040000</v>
      </c>
      <c r="K30" s="49">
        <f>(+OpEx!$I$30*'Monthly CF Budget Allocation'!I24)*-1</f>
        <v>-7040000</v>
      </c>
      <c r="L30" s="49">
        <f>(+OpEx!$I$30*'Monthly CF Budget Allocation'!J24)*-1</f>
        <v>-7040000</v>
      </c>
      <c r="M30" s="49">
        <f>(+OpEx!$I$30*'Monthly CF Budget Allocation'!K24)*-1</f>
        <v>-7040000</v>
      </c>
      <c r="N30" s="49">
        <f>(+OpEx!$I$30*'Monthly CF Budget Allocation'!L24)*-1</f>
        <v>-7040000</v>
      </c>
      <c r="O30" s="49">
        <f>(+OpEx!$I$30*'Monthly CF Budget Allocation'!M24)*-1</f>
        <v>-7040000</v>
      </c>
      <c r="P30" s="49">
        <f>(+OpEx!$I$30*'Monthly CF Budget Allocation'!N24)*-1</f>
        <v>-5280000</v>
      </c>
      <c r="Q30" s="49">
        <f>(+OpEx!$I$30*'Monthly CF Budget Allocation'!O24)*-1</f>
        <v>-8800000</v>
      </c>
      <c r="R30" s="193">
        <f t="shared" si="6"/>
        <v>-88000000</v>
      </c>
    </row>
    <row r="31" spans="2:20">
      <c r="B31" s="157" t="s">
        <v>237</v>
      </c>
      <c r="C31" s="148"/>
      <c r="E31" s="49"/>
      <c r="F31" s="49">
        <f>(+OpEx!$I$38*'Monthly CF Budget Allocation'!D25)*-1</f>
        <v>-233333.33333333331</v>
      </c>
      <c r="G31" s="49">
        <f>(+OpEx!$I$38*'Monthly CF Budget Allocation'!E25)*-1</f>
        <v>-233333.33333333331</v>
      </c>
      <c r="H31" s="49">
        <f>(+OpEx!$I$38*'Monthly CF Budget Allocation'!F25)*-1</f>
        <v>-233333.33333333331</v>
      </c>
      <c r="I31" s="49">
        <f>(+OpEx!$I$38*'Monthly CF Budget Allocation'!G25)*-1</f>
        <v>-233333.33333333331</v>
      </c>
      <c r="J31" s="49">
        <f>(+OpEx!$I$38*'Monthly CF Budget Allocation'!H25)*-1</f>
        <v>-233333.33333333331</v>
      </c>
      <c r="K31" s="49">
        <f>(+OpEx!$I$38*'Monthly CF Budget Allocation'!I25)*-1</f>
        <v>-233333.33333333331</v>
      </c>
      <c r="L31" s="49">
        <f>(+OpEx!$I$38*'Monthly CF Budget Allocation'!J25)*-1</f>
        <v>-233333.33333333331</v>
      </c>
      <c r="M31" s="49">
        <f>(+OpEx!$I$38*'Monthly CF Budget Allocation'!K25)*-1</f>
        <v>-233333.33333333331</v>
      </c>
      <c r="N31" s="49">
        <f>(+OpEx!$I$38*'Monthly CF Budget Allocation'!L25)*-1</f>
        <v>-233333.33333333331</v>
      </c>
      <c r="O31" s="49">
        <f>(+OpEx!$I$38*'Monthly CF Budget Allocation'!M25)*-1</f>
        <v>-233333.33333333331</v>
      </c>
      <c r="P31" s="49">
        <f>(+OpEx!$I$38*'Monthly CF Budget Allocation'!N25)*-1</f>
        <v>-233333.33333333331</v>
      </c>
      <c r="Q31" s="49">
        <f>(+OpEx!$I$38*'Monthly CF Budget Allocation'!O25)*-1</f>
        <v>-233333.33333333331</v>
      </c>
      <c r="R31" s="193">
        <f t="shared" si="6"/>
        <v>-2800000</v>
      </c>
    </row>
    <row r="32" spans="2:20">
      <c r="B32" s="157" t="s">
        <v>242</v>
      </c>
      <c r="C32" s="148"/>
      <c r="E32" s="49"/>
      <c r="F32" s="49">
        <f>(+OpEx!$I$45*'Monthly CF Budget Allocation'!D25)*-1</f>
        <v>-5000</v>
      </c>
      <c r="G32" s="49">
        <f>(+OpEx!$I$45*'Monthly CF Budget Allocation'!E25)*-1</f>
        <v>-5000</v>
      </c>
      <c r="H32" s="49">
        <f>(+OpEx!$I$45*'Monthly CF Budget Allocation'!F25)*-1</f>
        <v>-5000</v>
      </c>
      <c r="I32" s="49">
        <f>(+OpEx!$I$45*'Monthly CF Budget Allocation'!G25)*-1</f>
        <v>-5000</v>
      </c>
      <c r="J32" s="49">
        <f>(+OpEx!$I$45*'Monthly CF Budget Allocation'!H25)*-1</f>
        <v>-5000</v>
      </c>
      <c r="K32" s="49">
        <f>(+OpEx!$I$45*'Monthly CF Budget Allocation'!I25)*-1</f>
        <v>-5000</v>
      </c>
      <c r="L32" s="49">
        <f>(+OpEx!$I$45*'Monthly CF Budget Allocation'!J25)*-1</f>
        <v>-5000</v>
      </c>
      <c r="M32" s="49">
        <f>(+OpEx!$I$45*'Monthly CF Budget Allocation'!K25)*-1</f>
        <v>-5000</v>
      </c>
      <c r="N32" s="49">
        <f>(+OpEx!$I$45*'Monthly CF Budget Allocation'!L25)*-1</f>
        <v>-5000</v>
      </c>
      <c r="O32" s="49">
        <f>(+OpEx!$I$45*'Monthly CF Budget Allocation'!M25)*-1</f>
        <v>-5000</v>
      </c>
      <c r="P32" s="49">
        <f>(+OpEx!$I$45*'Monthly CF Budget Allocation'!N25)*-1</f>
        <v>-5000</v>
      </c>
      <c r="Q32" s="49">
        <f>(+OpEx!$I$45*'Monthly CF Budget Allocation'!O25)*-1</f>
        <v>-5000</v>
      </c>
      <c r="R32" s="193">
        <f t="shared" si="6"/>
        <v>-60000</v>
      </c>
    </row>
    <row r="33" spans="2:18">
      <c r="B33" s="157" t="s">
        <v>245</v>
      </c>
      <c r="C33" s="148"/>
      <c r="E33" s="49"/>
      <c r="F33" s="49">
        <f>(+OpEx!$I$55*'Monthly CF Budget Allocation'!D25)*-1</f>
        <v>-8333.3333333333321</v>
      </c>
      <c r="G33" s="49">
        <f>(+OpEx!$I$55*'Monthly CF Budget Allocation'!E25)*-1</f>
        <v>-8333.3333333333321</v>
      </c>
      <c r="H33" s="49">
        <f>(+OpEx!$I$55*'Monthly CF Budget Allocation'!F25)*-1</f>
        <v>-8333.3333333333321</v>
      </c>
      <c r="I33" s="49">
        <f>(+OpEx!$I$55*'Monthly CF Budget Allocation'!G25)*-1</f>
        <v>-8333.3333333333321</v>
      </c>
      <c r="J33" s="49">
        <f>(+OpEx!$I$55*'Monthly CF Budget Allocation'!H25)*-1</f>
        <v>-8333.3333333333321</v>
      </c>
      <c r="K33" s="49">
        <f>(+OpEx!$I$55*'Monthly CF Budget Allocation'!I25)*-1</f>
        <v>-8333.3333333333321</v>
      </c>
      <c r="L33" s="49">
        <f>(+OpEx!$I$55*'Monthly CF Budget Allocation'!J25)*-1</f>
        <v>-8333.3333333333321</v>
      </c>
      <c r="M33" s="49">
        <f>(+OpEx!$I$55*'Monthly CF Budget Allocation'!K25)*-1</f>
        <v>-8333.3333333333321</v>
      </c>
      <c r="N33" s="49">
        <f>(+OpEx!$I$55*'Monthly CF Budget Allocation'!L25)*-1</f>
        <v>-8333.3333333333321</v>
      </c>
      <c r="O33" s="49">
        <f>(+OpEx!$I$55*'Monthly CF Budget Allocation'!M25)*-1</f>
        <v>-8333.3333333333321</v>
      </c>
      <c r="P33" s="49">
        <f>(+OpEx!$I$55*'Monthly CF Budget Allocation'!N25)*-1</f>
        <v>-8333.3333333333321</v>
      </c>
      <c r="Q33" s="49">
        <f>(+OpEx!$I$55*'Monthly CF Budget Allocation'!O25)*-1</f>
        <v>-8333.3333333333321</v>
      </c>
      <c r="R33" s="193">
        <f t="shared" si="6"/>
        <v>-99999.999999999956</v>
      </c>
    </row>
    <row r="34" spans="2:18">
      <c r="B34" s="157" t="s">
        <v>251</v>
      </c>
      <c r="C34" s="148"/>
      <c r="E34" s="49"/>
      <c r="F34" s="49">
        <f>(+OpEx!$I$62*'Monthly CF Budget Allocation'!D25)*-1</f>
        <v>0</v>
      </c>
      <c r="G34" s="49">
        <f>(+OpEx!$I$62*'Monthly CF Budget Allocation'!E25)*-1</f>
        <v>0</v>
      </c>
      <c r="H34" s="49">
        <f>(+OpEx!$I$62*'Monthly CF Budget Allocation'!F25)*-1</f>
        <v>0</v>
      </c>
      <c r="I34" s="49">
        <f>(+OpEx!$I$62*'Monthly CF Budget Allocation'!G25)*-1</f>
        <v>0</v>
      </c>
      <c r="J34" s="49">
        <f>(+OpEx!$I$62*'Monthly CF Budget Allocation'!H25)*-1</f>
        <v>0</v>
      </c>
      <c r="K34" s="49">
        <f>(+OpEx!$I$62*'Monthly CF Budget Allocation'!I25)*-1</f>
        <v>0</v>
      </c>
      <c r="L34" s="49">
        <f>(+OpEx!$I$62*'Monthly CF Budget Allocation'!J25)*-1</f>
        <v>0</v>
      </c>
      <c r="M34" s="49">
        <f>(+OpEx!$I$62*'Monthly CF Budget Allocation'!K25)*-1</f>
        <v>0</v>
      </c>
      <c r="N34" s="49">
        <f>(+OpEx!$I$62*'Monthly CF Budget Allocation'!L25)*-1</f>
        <v>0</v>
      </c>
      <c r="O34" s="49">
        <f>(+OpEx!$I$62*'Monthly CF Budget Allocation'!M25)*-1</f>
        <v>0</v>
      </c>
      <c r="P34" s="49">
        <f>(+OpEx!$I$62*'Monthly CF Budget Allocation'!N25)*-1</f>
        <v>0</v>
      </c>
      <c r="Q34" s="49">
        <f>(+OpEx!$I$62*'Monthly CF Budget Allocation'!O25)*-1</f>
        <v>0</v>
      </c>
      <c r="R34" s="193">
        <f t="shared" si="6"/>
        <v>0</v>
      </c>
    </row>
    <row r="35" spans="2:18">
      <c r="B35" s="157" t="s">
        <v>257</v>
      </c>
      <c r="C35" s="148"/>
      <c r="E35" s="49"/>
      <c r="F35" s="49">
        <f>(+OpEx!$I$69*'Monthly CF Budget Allocation'!D25)*-1</f>
        <v>-2500</v>
      </c>
      <c r="G35" s="49">
        <f>(+OpEx!$I$69*'Monthly CF Budget Allocation'!E25)*-1</f>
        <v>-2500</v>
      </c>
      <c r="H35" s="49">
        <f>(+OpEx!$I$69*'Monthly CF Budget Allocation'!F25)*-1</f>
        <v>-2500</v>
      </c>
      <c r="I35" s="49">
        <f>(+OpEx!$I$69*'Monthly CF Budget Allocation'!G25)*-1</f>
        <v>-2500</v>
      </c>
      <c r="J35" s="49">
        <f>(+OpEx!$I$69*'Monthly CF Budget Allocation'!H25)*-1</f>
        <v>-2500</v>
      </c>
      <c r="K35" s="49">
        <f>(+OpEx!$I$69*'Monthly CF Budget Allocation'!I25)*-1</f>
        <v>-2500</v>
      </c>
      <c r="L35" s="49">
        <f>(+OpEx!$I$69*'Monthly CF Budget Allocation'!J25)*-1</f>
        <v>-2500</v>
      </c>
      <c r="M35" s="49">
        <f>(+OpEx!$I$69*'Monthly CF Budget Allocation'!K25)*-1</f>
        <v>-2500</v>
      </c>
      <c r="N35" s="49">
        <f>(+OpEx!$I$69*'Monthly CF Budget Allocation'!L25)*-1</f>
        <v>-2500</v>
      </c>
      <c r="O35" s="49">
        <f>(+OpEx!$I$69*'Monthly CF Budget Allocation'!M25)*-1</f>
        <v>-2500</v>
      </c>
      <c r="P35" s="49">
        <f>(+OpEx!$I$69*'Monthly CF Budget Allocation'!N25)*-1</f>
        <v>-2500</v>
      </c>
      <c r="Q35" s="49">
        <f>(+OpEx!$I$69*'Monthly CF Budget Allocation'!O25)*-1</f>
        <v>-2500</v>
      </c>
      <c r="R35" s="193">
        <f t="shared" si="6"/>
        <v>-30000</v>
      </c>
    </row>
    <row r="36" spans="2:18">
      <c r="B36" s="157" t="s">
        <v>258</v>
      </c>
      <c r="C36" s="148"/>
      <c r="E36" s="49"/>
      <c r="F36" s="49">
        <f>(+OpEx!$I$77*'Monthly CF Budget Allocation'!D25)*-1</f>
        <v>-26666.666666666664</v>
      </c>
      <c r="G36" s="49">
        <f>(+OpEx!$I$77*'Monthly CF Budget Allocation'!E25)*-1</f>
        <v>-26666.666666666664</v>
      </c>
      <c r="H36" s="49">
        <f>(+OpEx!$I$77*'Monthly CF Budget Allocation'!F25)*-1</f>
        <v>-26666.666666666664</v>
      </c>
      <c r="I36" s="49">
        <f>(+OpEx!$I$77*'Monthly CF Budget Allocation'!G25)*-1</f>
        <v>-26666.666666666664</v>
      </c>
      <c r="J36" s="49">
        <f>(+OpEx!$I$77*'Monthly CF Budget Allocation'!H25)*-1</f>
        <v>-26666.666666666664</v>
      </c>
      <c r="K36" s="49">
        <f>(+OpEx!$I$77*'Monthly CF Budget Allocation'!I25)*-1</f>
        <v>-26666.666666666664</v>
      </c>
      <c r="L36" s="49">
        <f>(+OpEx!$I$77*'Monthly CF Budget Allocation'!J25)*-1</f>
        <v>-26666.666666666664</v>
      </c>
      <c r="M36" s="49">
        <f>(+OpEx!$I$77*'Monthly CF Budget Allocation'!K25)*-1</f>
        <v>-26666.666666666664</v>
      </c>
      <c r="N36" s="49">
        <f>(+OpEx!$I$77*'Monthly CF Budget Allocation'!L25)*-1</f>
        <v>-26666.666666666664</v>
      </c>
      <c r="O36" s="49">
        <f>(+OpEx!$I$77*'Monthly CF Budget Allocation'!M25)*-1</f>
        <v>-26666.666666666664</v>
      </c>
      <c r="P36" s="49">
        <f>(+OpEx!$I$77*'Monthly CF Budget Allocation'!N25)*-1</f>
        <v>-26666.666666666664</v>
      </c>
      <c r="Q36" s="49">
        <f>(+OpEx!$I$77*'Monthly CF Budget Allocation'!O25)*-1</f>
        <v>-26666.666666666664</v>
      </c>
      <c r="R36" s="193">
        <f t="shared" si="6"/>
        <v>-320000</v>
      </c>
    </row>
    <row r="37" spans="2:18">
      <c r="B37" s="157" t="s">
        <v>264</v>
      </c>
      <c r="C37" s="148"/>
      <c r="E37" s="49"/>
      <c r="F37" s="49">
        <f>(+OpEx!$I$87*'Monthly CF Budget Allocation'!D25)*-1</f>
        <v>-325000</v>
      </c>
      <c r="G37" s="49">
        <f>(+OpEx!$I$87*'Monthly CF Budget Allocation'!E25)*-1</f>
        <v>-325000</v>
      </c>
      <c r="H37" s="49">
        <f>(+OpEx!$I$87*'Monthly CF Budget Allocation'!F25)*-1</f>
        <v>-325000</v>
      </c>
      <c r="I37" s="49">
        <f>(+OpEx!$I$87*'Monthly CF Budget Allocation'!G25)*-1</f>
        <v>-325000</v>
      </c>
      <c r="J37" s="49">
        <f>(+OpEx!$I$87*'Monthly CF Budget Allocation'!H25)*-1</f>
        <v>-325000</v>
      </c>
      <c r="K37" s="49">
        <f>(+OpEx!$I$87*'Monthly CF Budget Allocation'!I25)*-1</f>
        <v>-325000</v>
      </c>
      <c r="L37" s="49">
        <f>(+OpEx!$I$87*'Monthly CF Budget Allocation'!J25)*-1</f>
        <v>-325000</v>
      </c>
      <c r="M37" s="49">
        <f>(+OpEx!$I$87*'Monthly CF Budget Allocation'!K25)*-1</f>
        <v>-325000</v>
      </c>
      <c r="N37" s="49">
        <f>(+OpEx!$I$87*'Monthly CF Budget Allocation'!L25)*-1</f>
        <v>-325000</v>
      </c>
      <c r="O37" s="49">
        <f>(+OpEx!$I$87*'Monthly CF Budget Allocation'!M25)*-1</f>
        <v>-325000</v>
      </c>
      <c r="P37" s="49">
        <f>(+OpEx!$I$87*'Monthly CF Budget Allocation'!N25)*-1</f>
        <v>-325000</v>
      </c>
      <c r="Q37" s="49">
        <f>(+OpEx!$I$87*'Monthly CF Budget Allocation'!O25)*-1</f>
        <v>-325000</v>
      </c>
      <c r="R37" s="193">
        <f t="shared" si="6"/>
        <v>-3900000</v>
      </c>
    </row>
    <row r="38" spans="2:18">
      <c r="B38" s="157" t="s">
        <v>271</v>
      </c>
      <c r="C38" s="148"/>
      <c r="F38" s="49">
        <f>(+OpEx!$I$17*'Monthly CF Budget Allocation'!D26)*-1</f>
        <v>-21695.436000000002</v>
      </c>
      <c r="G38" s="49">
        <f>(+OpEx!$I$17*'Monthly CF Budget Allocation'!E26)*-1</f>
        <v>-27119.295000000002</v>
      </c>
      <c r="H38" s="49">
        <f>(+OpEx!$I$17*'Monthly CF Budget Allocation'!F26)*-1</f>
        <v>-27119.295000000002</v>
      </c>
      <c r="I38" s="49">
        <f>(+OpEx!$I$17*'Monthly CF Budget Allocation'!G26)*-1</f>
        <v>-21695.436000000002</v>
      </c>
      <c r="J38" s="49">
        <f>(+OpEx!$I$17*'Monthly CF Budget Allocation'!H26)*-1</f>
        <v>-21695.436000000002</v>
      </c>
      <c r="K38" s="49">
        <f>(+OpEx!$I$17*'Monthly CF Budget Allocation'!I26)*-1</f>
        <v>-21695.436000000002</v>
      </c>
      <c r="L38" s="49">
        <f>(+OpEx!$I$17*'Monthly CF Budget Allocation'!J26)*-1</f>
        <v>-21695.436000000002</v>
      </c>
      <c r="M38" s="49">
        <f>(+OpEx!$I$17*'Monthly CF Budget Allocation'!K26)*-1</f>
        <v>-21695.436000000002</v>
      </c>
      <c r="N38" s="49">
        <f>(+OpEx!$I$17*'Monthly CF Budget Allocation'!L26)*-1</f>
        <v>-21695.436000000002</v>
      </c>
      <c r="O38" s="49">
        <f>(+OpEx!$I$17*'Monthly CF Budget Allocation'!M26)*-1</f>
        <v>-21695.436000000002</v>
      </c>
      <c r="P38" s="49">
        <f>(+OpEx!$I$17*'Monthly CF Budget Allocation'!N26)*-1</f>
        <v>-16271.576999999999</v>
      </c>
      <c r="Q38" s="49">
        <f>(+OpEx!$I$17*'Monthly CF Budget Allocation'!O26)*-1</f>
        <v>-27119.295000000002</v>
      </c>
      <c r="R38" s="193">
        <f t="shared" si="6"/>
        <v>-271192.94999999995</v>
      </c>
    </row>
    <row r="39" spans="2:18">
      <c r="B39" s="155" t="s">
        <v>225</v>
      </c>
      <c r="C39" s="155"/>
      <c r="D39" s="30"/>
      <c r="E39" s="186">
        <f>SUM(E28:E38)</f>
        <v>-32620000</v>
      </c>
      <c r="F39" s="186">
        <f>SUM(F28:F38)</f>
        <v>-7849528.7693333328</v>
      </c>
      <c r="G39" s="186">
        <f t="shared" ref="G39:Q39" si="7">SUM(G28:G38)</f>
        <v>-9614952.6283333339</v>
      </c>
      <c r="H39" s="186">
        <f t="shared" si="7"/>
        <v>-9614952.6283333339</v>
      </c>
      <c r="I39" s="186">
        <f t="shared" si="7"/>
        <v>-7849528.7693333328</v>
      </c>
      <c r="J39" s="186">
        <f t="shared" si="7"/>
        <v>-7849528.7693333328</v>
      </c>
      <c r="K39" s="186">
        <f t="shared" si="7"/>
        <v>-7849528.7693333328</v>
      </c>
      <c r="L39" s="186">
        <f t="shared" si="7"/>
        <v>-7849528.7693333328</v>
      </c>
      <c r="M39" s="186">
        <f t="shared" si="7"/>
        <v>-7849528.7693333328</v>
      </c>
      <c r="N39" s="186">
        <f t="shared" si="7"/>
        <v>-7849528.7693333328</v>
      </c>
      <c r="O39" s="186">
        <f t="shared" si="7"/>
        <v>-7849528.7693333328</v>
      </c>
      <c r="P39" s="186">
        <f t="shared" si="7"/>
        <v>-6084104.9103333326</v>
      </c>
      <c r="Q39" s="186">
        <f t="shared" si="7"/>
        <v>-9614952.6283333339</v>
      </c>
      <c r="R39" s="193">
        <f>SUM(R28:R38)</f>
        <v>-97725192.950000003</v>
      </c>
    </row>
    <row r="40" spans="2:18">
      <c r="B40" s="148"/>
      <c r="C40" s="148"/>
    </row>
    <row r="41" spans="2:18">
      <c r="B41" s="155" t="s">
        <v>357</v>
      </c>
      <c r="C41" s="155"/>
      <c r="D41" s="30"/>
      <c r="E41" s="186">
        <f>+E25+E39</f>
        <v>-32620000</v>
      </c>
      <c r="F41" s="186">
        <f>+F25+F39</f>
        <v>106836341.43066667</v>
      </c>
      <c r="G41" s="186">
        <f t="shared" ref="G41:R41" si="8">+G25+G39</f>
        <v>133916385.12166667</v>
      </c>
      <c r="H41" s="186">
        <f t="shared" si="8"/>
        <v>133916385.12166667</v>
      </c>
      <c r="I41" s="186">
        <f t="shared" si="8"/>
        <v>106836341.43066667</v>
      </c>
      <c r="J41" s="186">
        <f t="shared" si="8"/>
        <v>106836341.43066667</v>
      </c>
      <c r="K41" s="186">
        <f t="shared" si="8"/>
        <v>106836341.43066667</v>
      </c>
      <c r="L41" s="186">
        <f t="shared" si="8"/>
        <v>106836341.43066667</v>
      </c>
      <c r="M41" s="186">
        <f t="shared" si="8"/>
        <v>106836341.43066667</v>
      </c>
      <c r="N41" s="186">
        <f t="shared" si="8"/>
        <v>106836341.43066667</v>
      </c>
      <c r="O41" s="186">
        <f t="shared" si="8"/>
        <v>106836341.43066667</v>
      </c>
      <c r="P41" s="186">
        <f t="shared" si="8"/>
        <v>79756297.739666656</v>
      </c>
      <c r="Q41" s="186">
        <f t="shared" si="8"/>
        <v>133916385.12166667</v>
      </c>
      <c r="R41" s="186">
        <f t="shared" si="8"/>
        <v>1336196184.55</v>
      </c>
    </row>
    <row r="43" spans="2:18">
      <c r="B43" s="148" t="s">
        <v>342</v>
      </c>
      <c r="C43" s="148"/>
    </row>
    <row r="44" spans="2:18">
      <c r="B44" t="s">
        <v>100</v>
      </c>
      <c r="E44" s="49">
        <f>(+CapEx!G11)*-1</f>
        <v>-54250000</v>
      </c>
      <c r="F44" s="49">
        <f>(+CapEx!H11)*-1</f>
        <v>0</v>
      </c>
      <c r="G44" s="49">
        <f>(+CapEx!I11)*-1</f>
        <v>0</v>
      </c>
      <c r="H44" s="49">
        <f>(+CapEx!J11)*-1</f>
        <v>0</v>
      </c>
      <c r="I44" s="49">
        <f>(+CapEx!K11)*-1</f>
        <v>0</v>
      </c>
      <c r="J44" s="49">
        <f>(+CapEx!L11)*-1</f>
        <v>0</v>
      </c>
      <c r="K44" s="49">
        <f>(+CapEx!M11)*-1</f>
        <v>0</v>
      </c>
      <c r="L44" s="49">
        <f>(+CapEx!N11)*-1</f>
        <v>0</v>
      </c>
      <c r="M44" s="49">
        <f>(+CapEx!O11)*-1</f>
        <v>0</v>
      </c>
      <c r="N44" s="49">
        <f>(+CapEx!P11)*-1</f>
        <v>0</v>
      </c>
      <c r="O44" s="49">
        <f>(+CapEx!Q11)*-1</f>
        <v>0</v>
      </c>
      <c r="P44" s="49">
        <f>(+CapEx!R11)*-1</f>
        <v>0</v>
      </c>
      <c r="Q44" s="49">
        <f>(+CapEx!S11)*-1</f>
        <v>0</v>
      </c>
      <c r="R44" s="193">
        <f>SUM(F44:Q44)</f>
        <v>0</v>
      </c>
    </row>
    <row r="45" spans="2:18">
      <c r="B45" t="s">
        <v>101</v>
      </c>
      <c r="E45" s="49">
        <f>(+CapEx!G12)*-1</f>
        <v>-3000000000</v>
      </c>
      <c r="F45" s="49">
        <f>(+CapEx!H12)*-1</f>
        <v>0</v>
      </c>
      <c r="G45" s="49">
        <f>(+CapEx!I12)*-1</f>
        <v>0</v>
      </c>
      <c r="H45" s="49">
        <f>(+CapEx!J12)*-1</f>
        <v>0</v>
      </c>
      <c r="I45" s="49">
        <f>(+CapEx!K12)*-1</f>
        <v>0</v>
      </c>
      <c r="J45" s="49">
        <f>(+CapEx!L12)*-1</f>
        <v>0</v>
      </c>
      <c r="K45" s="49">
        <f>(+CapEx!M12)*-1</f>
        <v>0</v>
      </c>
      <c r="L45" s="49">
        <f>(+CapEx!N12)*-1</f>
        <v>0</v>
      </c>
      <c r="M45" s="49">
        <f>(+CapEx!O12)*-1</f>
        <v>0</v>
      </c>
      <c r="N45" s="49">
        <f>(+CapEx!P12)*-1</f>
        <v>0</v>
      </c>
      <c r="O45" s="49">
        <f>(+CapEx!Q12)*-1</f>
        <v>0</v>
      </c>
      <c r="P45" s="49">
        <f>(+CapEx!R12)*-1</f>
        <v>0</v>
      </c>
      <c r="Q45" s="49">
        <f>(+CapEx!S12)*-1</f>
        <v>0</v>
      </c>
      <c r="R45" s="193">
        <f t="shared" ref="R45:R50" si="9">SUM(F45:Q45)</f>
        <v>0</v>
      </c>
    </row>
    <row r="46" spans="2:18">
      <c r="B46" t="s">
        <v>278</v>
      </c>
      <c r="E46" s="49">
        <f>(+CapEx!G13)*-1</f>
        <v>-5000000000</v>
      </c>
      <c r="F46" s="49">
        <f>(+CapEx!H13)*-1</f>
        <v>0</v>
      </c>
      <c r="G46" s="49">
        <f>(+CapEx!I13)*-1</f>
        <v>0</v>
      </c>
      <c r="H46" s="49">
        <f>(+CapEx!J13)*-1</f>
        <v>0</v>
      </c>
      <c r="I46" s="49">
        <f>(+CapEx!K13)*-1</f>
        <v>0</v>
      </c>
      <c r="J46" s="49">
        <f>(+CapEx!L13)*-1</f>
        <v>0</v>
      </c>
      <c r="K46" s="49">
        <f>(+CapEx!M13)*-1</f>
        <v>0</v>
      </c>
      <c r="L46" s="49">
        <f>(+CapEx!N13)*-1</f>
        <v>0</v>
      </c>
      <c r="M46" s="49">
        <f>(+CapEx!O13)*-1</f>
        <v>0</v>
      </c>
      <c r="N46" s="49">
        <f>(+CapEx!P13)*-1</f>
        <v>0</v>
      </c>
      <c r="O46" s="49">
        <f>(+CapEx!Q13)*-1</f>
        <v>0</v>
      </c>
      <c r="P46" s="49">
        <f>(+CapEx!R13)*-1</f>
        <v>0</v>
      </c>
      <c r="Q46" s="49">
        <f>(+CapEx!S13)*-1</f>
        <v>0</v>
      </c>
      <c r="R46" s="193">
        <f t="shared" si="9"/>
        <v>0</v>
      </c>
    </row>
    <row r="47" spans="2:18">
      <c r="B47" t="s">
        <v>103</v>
      </c>
      <c r="E47" s="49">
        <f>(+CapEx!G14)*-1</f>
        <v>-2000000000</v>
      </c>
      <c r="F47" s="49">
        <f>(+CapEx!H14)*-1</f>
        <v>0</v>
      </c>
      <c r="G47" s="49">
        <f>(+CapEx!I14)*-1</f>
        <v>0</v>
      </c>
      <c r="H47" s="49">
        <f>(+CapEx!J14)*-1</f>
        <v>0</v>
      </c>
      <c r="I47" s="49">
        <f>(+CapEx!K14)*-1</f>
        <v>0</v>
      </c>
      <c r="J47" s="49">
        <f>(+CapEx!L14)*-1</f>
        <v>0</v>
      </c>
      <c r="K47" s="49">
        <f>(+CapEx!M14)*-1</f>
        <v>0</v>
      </c>
      <c r="L47" s="49">
        <f>(+CapEx!N14)*-1</f>
        <v>0</v>
      </c>
      <c r="M47" s="49">
        <f>(+CapEx!O14)*-1</f>
        <v>0</v>
      </c>
      <c r="N47" s="49">
        <f>(+CapEx!P14)*-1</f>
        <v>0</v>
      </c>
      <c r="O47" s="49">
        <f>(+CapEx!Q14)*-1</f>
        <v>0</v>
      </c>
      <c r="P47" s="49">
        <f>(+CapEx!R14)*-1</f>
        <v>0</v>
      </c>
      <c r="Q47" s="49">
        <f>(+CapEx!S14)*-1</f>
        <v>0</v>
      </c>
      <c r="R47" s="193">
        <f t="shared" si="9"/>
        <v>0</v>
      </c>
    </row>
    <row r="48" spans="2:18">
      <c r="B48" t="s">
        <v>163</v>
      </c>
      <c r="E48" s="49">
        <f>(+CapEx!G15)*-1</f>
        <v>-500000</v>
      </c>
      <c r="F48" s="49">
        <f>(+CapEx!H15)*-1</f>
        <v>0</v>
      </c>
      <c r="G48" s="49">
        <f>(+CapEx!I15)*-1</f>
        <v>0</v>
      </c>
      <c r="H48" s="49">
        <f>(+CapEx!J15)*-1</f>
        <v>0</v>
      </c>
      <c r="I48" s="49">
        <f>(+CapEx!K15)*-1</f>
        <v>0</v>
      </c>
      <c r="J48" s="49">
        <f>(+CapEx!L15)*-1</f>
        <v>0</v>
      </c>
      <c r="K48" s="49">
        <f>(+CapEx!M15)*-1</f>
        <v>0</v>
      </c>
      <c r="L48" s="49">
        <f>(+CapEx!N15)*-1</f>
        <v>0</v>
      </c>
      <c r="M48" s="49">
        <f>(+CapEx!O15)*-1</f>
        <v>0</v>
      </c>
      <c r="N48" s="49">
        <f>(+CapEx!P15)*-1</f>
        <v>0</v>
      </c>
      <c r="O48" s="49">
        <f>(+CapEx!Q15)*-1</f>
        <v>0</v>
      </c>
      <c r="P48" s="49">
        <f>(+CapEx!R15)*-1</f>
        <v>0</v>
      </c>
      <c r="Q48" s="49">
        <f>(+CapEx!S15)*-1</f>
        <v>0</v>
      </c>
      <c r="R48" s="193">
        <f t="shared" si="9"/>
        <v>0</v>
      </c>
    </row>
    <row r="49" spans="2:20">
      <c r="B49" t="s">
        <v>279</v>
      </c>
      <c r="E49" s="49">
        <f>(+CapEx!G16)*-1</f>
        <v>-50000000</v>
      </c>
      <c r="F49" s="49">
        <f>(+CapEx!H16)*-1</f>
        <v>0</v>
      </c>
      <c r="G49" s="49">
        <f>(+CapEx!I16)*-1</f>
        <v>0</v>
      </c>
      <c r="H49" s="49">
        <f>(+CapEx!J16)*-1</f>
        <v>0</v>
      </c>
      <c r="I49" s="49">
        <f>(+CapEx!K16)*-1</f>
        <v>0</v>
      </c>
      <c r="J49" s="49">
        <f>(+CapEx!L16)*-1</f>
        <v>0</v>
      </c>
      <c r="K49" s="49">
        <f>(+CapEx!M16)*-1</f>
        <v>0</v>
      </c>
      <c r="L49" s="49">
        <f>(+CapEx!N16)*-1</f>
        <v>0</v>
      </c>
      <c r="M49" s="49">
        <f>(+CapEx!O16)*-1</f>
        <v>0</v>
      </c>
      <c r="N49" s="49">
        <f>(+CapEx!P16)*-1</f>
        <v>0</v>
      </c>
      <c r="O49" s="49">
        <f>(+CapEx!Q16)*-1</f>
        <v>0</v>
      </c>
      <c r="P49" s="49">
        <f>(+CapEx!R16)*-1</f>
        <v>0</v>
      </c>
      <c r="Q49" s="49">
        <f>(+CapEx!S16)*-1</f>
        <v>0</v>
      </c>
      <c r="R49" s="193">
        <f t="shared" si="9"/>
        <v>0</v>
      </c>
    </row>
    <row r="50" spans="2:20">
      <c r="B50" t="s">
        <v>226</v>
      </c>
      <c r="E50" s="49">
        <f>(+CapEx!G17)*-1</f>
        <v>0</v>
      </c>
      <c r="F50" s="49">
        <f>(+CapEx!H17)*-1</f>
        <v>0</v>
      </c>
      <c r="G50" s="49">
        <f>(+CapEx!I17)*-1</f>
        <v>0</v>
      </c>
      <c r="H50" s="49">
        <f>(+CapEx!J17)*-1</f>
        <v>0</v>
      </c>
      <c r="I50" s="49">
        <f>(+CapEx!K17)*-1</f>
        <v>0</v>
      </c>
      <c r="J50" s="49">
        <f>(+CapEx!L17)*-1</f>
        <v>0</v>
      </c>
      <c r="K50" s="49">
        <f>(+CapEx!M17)*-1</f>
        <v>0</v>
      </c>
      <c r="L50" s="49">
        <f>(+CapEx!N17)*-1</f>
        <v>0</v>
      </c>
      <c r="M50" s="49">
        <f>(+CapEx!O17)*-1</f>
        <v>0</v>
      </c>
      <c r="N50" s="49">
        <f>(+CapEx!P17)*-1</f>
        <v>0</v>
      </c>
      <c r="O50" s="49">
        <f>(+CapEx!Q17)*-1</f>
        <v>0</v>
      </c>
      <c r="P50" s="49">
        <f>(+CapEx!R17)*-1</f>
        <v>0</v>
      </c>
      <c r="Q50" s="49">
        <f>(+CapEx!S17)*-1</f>
        <v>0</v>
      </c>
      <c r="R50" s="193">
        <f t="shared" si="9"/>
        <v>0</v>
      </c>
    </row>
    <row r="51" spans="2:20" s="5" customFormat="1">
      <c r="B51" s="6" t="s">
        <v>353</v>
      </c>
      <c r="C51" s="6"/>
      <c r="D51" s="6"/>
      <c r="E51" s="134">
        <f>SUM(E44:E50)</f>
        <v>-10104750000</v>
      </c>
      <c r="F51" s="134">
        <f t="shared" ref="F51:R51" si="10">SUM(F44:F50)</f>
        <v>0</v>
      </c>
      <c r="G51" s="134">
        <f t="shared" si="10"/>
        <v>0</v>
      </c>
      <c r="H51" s="134">
        <f t="shared" si="10"/>
        <v>0</v>
      </c>
      <c r="I51" s="134">
        <f t="shared" si="10"/>
        <v>0</v>
      </c>
      <c r="J51" s="134">
        <f t="shared" si="10"/>
        <v>0</v>
      </c>
      <c r="K51" s="134">
        <f t="shared" si="10"/>
        <v>0</v>
      </c>
      <c r="L51" s="134">
        <f t="shared" si="10"/>
        <v>0</v>
      </c>
      <c r="M51" s="134">
        <f t="shared" si="10"/>
        <v>0</v>
      </c>
      <c r="N51" s="134">
        <f t="shared" si="10"/>
        <v>0</v>
      </c>
      <c r="O51" s="134">
        <f t="shared" si="10"/>
        <v>0</v>
      </c>
      <c r="P51" s="134">
        <f t="shared" si="10"/>
        <v>0</v>
      </c>
      <c r="Q51" s="134">
        <f t="shared" si="10"/>
        <v>0</v>
      </c>
      <c r="R51" s="134">
        <f t="shared" si="10"/>
        <v>0</v>
      </c>
    </row>
    <row r="52" spans="2:20">
      <c r="B52" s="148"/>
      <c r="C52" s="148"/>
      <c r="E52" s="85"/>
      <c r="F52" s="85"/>
      <c r="G52" s="85"/>
      <c r="H52" s="85"/>
      <c r="I52" s="85"/>
      <c r="J52" s="85"/>
      <c r="K52" s="85"/>
      <c r="L52" s="85"/>
      <c r="M52" s="85"/>
      <c r="N52" s="85"/>
      <c r="O52" s="85"/>
      <c r="P52" s="85"/>
      <c r="Q52" s="85"/>
      <c r="R52" s="85"/>
    </row>
    <row r="53" spans="2:20" s="5" customFormat="1">
      <c r="B53" s="6" t="s">
        <v>358</v>
      </c>
      <c r="C53" s="6"/>
      <c r="D53" s="6"/>
      <c r="E53" s="134">
        <f>+E41+E51</f>
        <v>-10137370000</v>
      </c>
      <c r="F53" s="134">
        <f t="shared" ref="F53:R53" si="11">+F41+F51</f>
        <v>106836341.43066667</v>
      </c>
      <c r="G53" s="134">
        <f t="shared" si="11"/>
        <v>133916385.12166667</v>
      </c>
      <c r="H53" s="134">
        <f t="shared" si="11"/>
        <v>133916385.12166667</v>
      </c>
      <c r="I53" s="134">
        <f t="shared" si="11"/>
        <v>106836341.43066667</v>
      </c>
      <c r="J53" s="134">
        <f t="shared" si="11"/>
        <v>106836341.43066667</v>
      </c>
      <c r="K53" s="134">
        <f t="shared" si="11"/>
        <v>106836341.43066667</v>
      </c>
      <c r="L53" s="134">
        <f t="shared" si="11"/>
        <v>106836341.43066667</v>
      </c>
      <c r="M53" s="134">
        <f t="shared" si="11"/>
        <v>106836341.43066667</v>
      </c>
      <c r="N53" s="134">
        <f t="shared" si="11"/>
        <v>106836341.43066667</v>
      </c>
      <c r="O53" s="134">
        <f t="shared" si="11"/>
        <v>106836341.43066667</v>
      </c>
      <c r="P53" s="134">
        <f t="shared" si="11"/>
        <v>79756297.739666656</v>
      </c>
      <c r="Q53" s="134">
        <f t="shared" si="11"/>
        <v>133916385.12166667</v>
      </c>
      <c r="R53" s="134">
        <f t="shared" si="11"/>
        <v>1336196184.55</v>
      </c>
      <c r="S53" s="86">
        <v>1336696185</v>
      </c>
      <c r="T53" s="86">
        <f>+S53-R53</f>
        <v>500000.45000004768</v>
      </c>
    </row>
    <row r="55" spans="2:20">
      <c r="B55" s="148" t="s">
        <v>359</v>
      </c>
      <c r="C55" s="148"/>
    </row>
    <row r="56" spans="2:20">
      <c r="B56" t="s">
        <v>360</v>
      </c>
      <c r="E56" s="49">
        <f>+'Set Up Assumptions'!D44+'Set Up Assumptions'!D55</f>
        <v>5025250000</v>
      </c>
      <c r="R56" s="193">
        <f t="shared" ref="R56" si="12">SUM(F56:Q56)</f>
        <v>0</v>
      </c>
    </row>
    <row r="57" spans="2:20">
      <c r="B57" t="s">
        <v>345</v>
      </c>
      <c r="E57" s="49"/>
      <c r="F57" s="49">
        <f>(+'Monthly Operating CF Per year'!$E$56*'Set Up Assumptions'!$D$50/12)*-1</f>
        <v>-20938541.666666668</v>
      </c>
      <c r="G57" s="49">
        <f>(+'Monthly Operating CF Per year'!$E$56*'Set Up Assumptions'!$D$50/12)*-1</f>
        <v>-20938541.666666668</v>
      </c>
      <c r="H57" s="49">
        <f>(+'Monthly Operating CF Per year'!$E$56*'Set Up Assumptions'!$D$50/12)*-1</f>
        <v>-20938541.666666668</v>
      </c>
      <c r="I57" s="49">
        <f>(+'Monthly Operating CF Per year'!$E$56*'Set Up Assumptions'!$D$50/12)*-1</f>
        <v>-20938541.666666668</v>
      </c>
      <c r="J57" s="49">
        <f>(+'Monthly Operating CF Per year'!$E$56*'Set Up Assumptions'!$D$50/12)*-1</f>
        <v>-20938541.666666668</v>
      </c>
      <c r="K57" s="49">
        <f>(+'Monthly Operating CF Per year'!$E$56*'Set Up Assumptions'!$D$50/12)*-1</f>
        <v>-20938541.666666668</v>
      </c>
      <c r="L57" s="49">
        <f>(+'Monthly Operating CF Per year'!$E$56*'Set Up Assumptions'!$D$50/12)*-1</f>
        <v>-20938541.666666668</v>
      </c>
      <c r="M57" s="49">
        <f>(+'Monthly Operating CF Per year'!$E$56*'Set Up Assumptions'!$D$50/12)*-1</f>
        <v>-20938541.666666668</v>
      </c>
      <c r="N57" s="49">
        <f>(+'Monthly Operating CF Per year'!$E$56*'Set Up Assumptions'!$D$50/12)*-1</f>
        <v>-20938541.666666668</v>
      </c>
      <c r="O57" s="49">
        <f>(+'Monthly Operating CF Per year'!$E$56*'Set Up Assumptions'!$D$50/12)*-1</f>
        <v>-20938541.666666668</v>
      </c>
      <c r="P57" s="49">
        <f>(+'Monthly Operating CF Per year'!$E$56*'Set Up Assumptions'!$D$50/12)*-1</f>
        <v>-20938541.666666668</v>
      </c>
      <c r="Q57" s="49">
        <f>(+'Monthly Operating CF Per year'!$E$56*'Set Up Assumptions'!$D$50/12)*-1</f>
        <v>-20938541.666666668</v>
      </c>
      <c r="R57" s="193">
        <f t="shared" ref="R57" si="13">SUM(F57:Q57)</f>
        <v>-251262499.99999997</v>
      </c>
    </row>
    <row r="58" spans="2:20">
      <c r="B58" t="s">
        <v>346</v>
      </c>
      <c r="E58" s="49"/>
      <c r="F58" s="49">
        <f>+$R$58/12</f>
        <v>-8770888.2322084103</v>
      </c>
      <c r="G58" s="49">
        <f t="shared" ref="G58:Q58" si="14">+$R$58/12</f>
        <v>-8770888.2322084103</v>
      </c>
      <c r="H58" s="49">
        <f t="shared" si="14"/>
        <v>-8770888.2322084103</v>
      </c>
      <c r="I58" s="49">
        <f t="shared" si="14"/>
        <v>-8770888.2322084103</v>
      </c>
      <c r="J58" s="49">
        <f t="shared" si="14"/>
        <v>-8770888.2322084103</v>
      </c>
      <c r="K58" s="49">
        <f t="shared" si="14"/>
        <v>-8770888.2322084103</v>
      </c>
      <c r="L58" s="49">
        <f t="shared" si="14"/>
        <v>-8770888.2322084103</v>
      </c>
      <c r="M58" s="49">
        <f t="shared" si="14"/>
        <v>-8770888.2322084103</v>
      </c>
      <c r="N58" s="49">
        <f t="shared" si="14"/>
        <v>-8770888.2322084103</v>
      </c>
      <c r="O58" s="49">
        <f t="shared" si="14"/>
        <v>-8770888.2322084103</v>
      </c>
      <c r="P58" s="49">
        <f t="shared" si="14"/>
        <v>-8770888.2322084103</v>
      </c>
      <c r="Q58" s="49">
        <f t="shared" si="14"/>
        <v>-8770888.2322084103</v>
      </c>
      <c r="R58" s="193">
        <f>+'Loan-Repay-Interest Schedule'!N19</f>
        <v>-105250658.78650093</v>
      </c>
    </row>
    <row r="59" spans="2:20" s="5" customFormat="1">
      <c r="B59" s="6" t="s">
        <v>372</v>
      </c>
      <c r="C59" s="6"/>
      <c r="D59" s="6"/>
      <c r="E59" s="75">
        <f>SUM(E56:E58)</f>
        <v>5025250000</v>
      </c>
      <c r="F59" s="75">
        <f>SUM(F57:F58)</f>
        <v>-29709429.89887508</v>
      </c>
      <c r="G59" s="75">
        <f t="shared" ref="G59:R59" si="15">SUM(G57:G58)</f>
        <v>-29709429.89887508</v>
      </c>
      <c r="H59" s="75">
        <f t="shared" si="15"/>
        <v>-29709429.89887508</v>
      </c>
      <c r="I59" s="75">
        <f t="shared" si="15"/>
        <v>-29709429.89887508</v>
      </c>
      <c r="J59" s="75">
        <f t="shared" si="15"/>
        <v>-29709429.89887508</v>
      </c>
      <c r="K59" s="75">
        <f t="shared" si="15"/>
        <v>-29709429.89887508</v>
      </c>
      <c r="L59" s="75">
        <f t="shared" si="15"/>
        <v>-29709429.89887508</v>
      </c>
      <c r="M59" s="75">
        <f t="shared" si="15"/>
        <v>-29709429.89887508</v>
      </c>
      <c r="N59" s="75">
        <f t="shared" si="15"/>
        <v>-29709429.89887508</v>
      </c>
      <c r="O59" s="75">
        <f t="shared" si="15"/>
        <v>-29709429.89887508</v>
      </c>
      <c r="P59" s="75">
        <f t="shared" si="15"/>
        <v>-29709429.89887508</v>
      </c>
      <c r="Q59" s="75">
        <f t="shared" si="15"/>
        <v>-29709429.89887508</v>
      </c>
      <c r="R59" s="75">
        <f t="shared" si="15"/>
        <v>-356513158.78650093</v>
      </c>
    </row>
    <row r="61" spans="2:20" s="5" customFormat="1">
      <c r="B61" s="45" t="s">
        <v>373</v>
      </c>
      <c r="C61" s="45"/>
      <c r="D61" s="45"/>
      <c r="E61" s="204">
        <f>+E53-E59</f>
        <v>-15162620000</v>
      </c>
      <c r="F61" s="204">
        <f>+F53+F59</f>
        <v>77126911.531791598</v>
      </c>
      <c r="G61" s="204">
        <f t="shared" ref="G61:R61" si="16">+G53+G59</f>
        <v>104206955.22279158</v>
      </c>
      <c r="H61" s="204">
        <f t="shared" si="16"/>
        <v>104206955.22279158</v>
      </c>
      <c r="I61" s="204">
        <f t="shared" si="16"/>
        <v>77126911.531791598</v>
      </c>
      <c r="J61" s="204">
        <f t="shared" si="16"/>
        <v>77126911.531791598</v>
      </c>
      <c r="K61" s="204">
        <f t="shared" si="16"/>
        <v>77126911.531791598</v>
      </c>
      <c r="L61" s="204">
        <f t="shared" si="16"/>
        <v>77126911.531791598</v>
      </c>
      <c r="M61" s="204">
        <f t="shared" si="16"/>
        <v>77126911.531791598</v>
      </c>
      <c r="N61" s="204">
        <f t="shared" si="16"/>
        <v>77126911.531791598</v>
      </c>
      <c r="O61" s="204">
        <f t="shared" si="16"/>
        <v>77126911.531791598</v>
      </c>
      <c r="P61" s="204">
        <f t="shared" si="16"/>
        <v>50046867.840791576</v>
      </c>
      <c r="Q61" s="204">
        <f t="shared" si="16"/>
        <v>104206955.22279158</v>
      </c>
      <c r="R61" s="204">
        <f t="shared" si="16"/>
        <v>979683025.76349902</v>
      </c>
      <c r="S61" s="203">
        <v>980183026</v>
      </c>
      <c r="T61" s="86">
        <f>+S61-R61</f>
        <v>500000.23650097847</v>
      </c>
    </row>
    <row r="63" spans="2:20">
      <c r="B63" s="5" t="s">
        <v>374</v>
      </c>
      <c r="F63" s="205"/>
      <c r="G63" s="205"/>
      <c r="H63" s="205"/>
      <c r="I63" s="205"/>
      <c r="J63" s="205"/>
      <c r="K63" s="205"/>
      <c r="L63" s="205"/>
      <c r="M63" s="205"/>
      <c r="N63" s="205"/>
      <c r="O63" s="205"/>
      <c r="P63" s="205"/>
      <c r="Q63" s="205"/>
      <c r="R63" s="206"/>
      <c r="S63" t="s">
        <v>375</v>
      </c>
    </row>
  </sheetData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1C958062-6710-491C-B8B6-EAC0D08D3B94}">
          <x14:formula1>
            <xm:f>Scenarios!$B$11:$B$13</xm:f>
          </x14:formula1>
          <xm:sqref>C5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C8F0-3451-41B2-8803-A758A9259468}">
  <dimension ref="A2:AN18"/>
  <sheetViews>
    <sheetView showGridLines="0" workbookViewId="0">
      <selection activeCell="Z16" sqref="Z16"/>
    </sheetView>
  </sheetViews>
  <sheetFormatPr defaultRowHeight="13.8" outlineLevelCol="1"/>
  <cols>
    <col min="1" max="1" width="1.8984375" customWidth="1"/>
    <col min="2" max="2" width="13.59765625" bestFit="1" customWidth="1"/>
    <col min="3" max="4" width="0" hidden="1" customWidth="1"/>
    <col min="5" max="5" width="13.09765625" bestFit="1" customWidth="1"/>
    <col min="6" max="6" width="13.09765625" customWidth="1"/>
    <col min="7" max="7" width="14.69921875" hidden="1" customWidth="1" outlineLevel="1"/>
    <col min="8" max="18" width="13.09765625" hidden="1" customWidth="1" outlineLevel="1"/>
    <col min="19" max="19" width="13.8984375" bestFit="1" customWidth="1" collapsed="1"/>
    <col min="20" max="31" width="13.8984375" customWidth="1"/>
    <col min="32" max="32" width="18.59765625" bestFit="1" customWidth="1"/>
    <col min="33" max="40" width="13.8984375" bestFit="1" customWidth="1"/>
  </cols>
  <sheetData>
    <row r="2" spans="1:40">
      <c r="A2" s="96"/>
      <c r="B2" s="96" t="s">
        <v>300</v>
      </c>
      <c r="C2" s="96"/>
      <c r="D2" s="96"/>
      <c r="E2" s="96"/>
      <c r="F2" s="96"/>
      <c r="G2" s="208"/>
      <c r="H2" s="208"/>
      <c r="I2" s="208"/>
      <c r="J2" s="208"/>
      <c r="K2" s="208"/>
      <c r="L2" s="208"/>
      <c r="M2" s="208"/>
      <c r="N2" s="208"/>
      <c r="O2" s="208"/>
      <c r="P2" s="208"/>
      <c r="Q2" s="208"/>
      <c r="R2" s="208"/>
      <c r="S2" s="139">
        <v>2025</v>
      </c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0"/>
      <c r="AF2" s="139">
        <v>2026</v>
      </c>
      <c r="AG2" s="139">
        <v>2027</v>
      </c>
      <c r="AH2" s="139">
        <v>2028</v>
      </c>
      <c r="AI2" s="139">
        <v>2029</v>
      </c>
      <c r="AJ2" s="139">
        <v>2030</v>
      </c>
      <c r="AK2" s="139">
        <v>2031</v>
      </c>
      <c r="AL2" s="139">
        <v>2032</v>
      </c>
      <c r="AM2" s="139">
        <v>2033</v>
      </c>
      <c r="AN2" s="139">
        <v>2034</v>
      </c>
    </row>
    <row r="3" spans="1:40">
      <c r="E3" s="24" t="s">
        <v>219</v>
      </c>
      <c r="F3" s="24"/>
      <c r="G3" s="140">
        <v>45658</v>
      </c>
      <c r="H3" s="140">
        <f>+G4+1</f>
        <v>45689</v>
      </c>
      <c r="I3" s="140">
        <f t="shared" ref="I3:R3" si="0">+H4+1</f>
        <v>45717</v>
      </c>
      <c r="J3" s="140">
        <f t="shared" si="0"/>
        <v>45748</v>
      </c>
      <c r="K3" s="140">
        <f t="shared" si="0"/>
        <v>45778</v>
      </c>
      <c r="L3" s="140">
        <f t="shared" si="0"/>
        <v>45809</v>
      </c>
      <c r="M3" s="140">
        <f t="shared" si="0"/>
        <v>45839</v>
      </c>
      <c r="N3" s="140">
        <f t="shared" si="0"/>
        <v>45870</v>
      </c>
      <c r="O3" s="140">
        <f t="shared" si="0"/>
        <v>45901</v>
      </c>
      <c r="P3" s="140">
        <f t="shared" si="0"/>
        <v>45931</v>
      </c>
      <c r="Q3" s="140">
        <f t="shared" si="0"/>
        <v>45962</v>
      </c>
      <c r="R3" s="140">
        <f t="shared" si="0"/>
        <v>45992</v>
      </c>
      <c r="S3" s="140">
        <v>45658</v>
      </c>
      <c r="T3" s="140">
        <f>+S4+1</f>
        <v>46023</v>
      </c>
      <c r="U3" s="140">
        <f t="shared" ref="U3:AE3" si="1">+T4+1</f>
        <v>46054</v>
      </c>
      <c r="V3" s="140">
        <f t="shared" si="1"/>
        <v>46082</v>
      </c>
      <c r="W3" s="140">
        <f t="shared" si="1"/>
        <v>46113</v>
      </c>
      <c r="X3" s="140">
        <f t="shared" si="1"/>
        <v>46143</v>
      </c>
      <c r="Y3" s="140">
        <f t="shared" si="1"/>
        <v>46174</v>
      </c>
      <c r="Z3" s="140">
        <f t="shared" si="1"/>
        <v>46204</v>
      </c>
      <c r="AA3" s="140">
        <f t="shared" si="1"/>
        <v>46235</v>
      </c>
      <c r="AB3" s="140">
        <f t="shared" si="1"/>
        <v>46266</v>
      </c>
      <c r="AC3" s="140">
        <f t="shared" si="1"/>
        <v>46296</v>
      </c>
      <c r="AD3" s="140">
        <f t="shared" si="1"/>
        <v>46327</v>
      </c>
      <c r="AE3" s="140">
        <f t="shared" si="1"/>
        <v>46357</v>
      </c>
      <c r="AF3" s="140">
        <v>46023</v>
      </c>
      <c r="AG3" s="140">
        <v>46388</v>
      </c>
      <c r="AH3" s="140">
        <v>46753</v>
      </c>
      <c r="AI3" s="140">
        <v>47119</v>
      </c>
      <c r="AJ3" s="140">
        <v>47484</v>
      </c>
      <c r="AK3" s="140">
        <v>47849</v>
      </c>
      <c r="AL3" s="140">
        <v>48214</v>
      </c>
      <c r="AM3" s="140">
        <v>48580</v>
      </c>
      <c r="AN3" s="140">
        <v>48945</v>
      </c>
    </row>
    <row r="4" spans="1:40">
      <c r="E4" s="24" t="s">
        <v>220</v>
      </c>
      <c r="F4" s="24"/>
      <c r="G4" s="140">
        <f>+EOMONTH(G3,0)</f>
        <v>45688</v>
      </c>
      <c r="H4" s="140">
        <f t="shared" ref="H4:O4" si="2">+EOMONTH(H3,0)</f>
        <v>45716</v>
      </c>
      <c r="I4" s="140">
        <f t="shared" si="2"/>
        <v>45747</v>
      </c>
      <c r="J4" s="140">
        <f t="shared" si="2"/>
        <v>45777</v>
      </c>
      <c r="K4" s="140">
        <f t="shared" si="2"/>
        <v>45808</v>
      </c>
      <c r="L4" s="140">
        <f t="shared" si="2"/>
        <v>45838</v>
      </c>
      <c r="M4" s="140">
        <f t="shared" si="2"/>
        <v>45869</v>
      </c>
      <c r="N4" s="140">
        <f t="shared" si="2"/>
        <v>45900</v>
      </c>
      <c r="O4" s="140">
        <f t="shared" si="2"/>
        <v>45930</v>
      </c>
      <c r="P4" s="140">
        <f t="shared" ref="P4" si="3">+EOMONTH(P3,0)</f>
        <v>45961</v>
      </c>
      <c r="Q4" s="140">
        <f t="shared" ref="Q4" si="4">+EOMONTH(Q3,0)</f>
        <v>45991</v>
      </c>
      <c r="R4" s="140">
        <f t="shared" ref="R4:T4" si="5">+EOMONTH(R3,0)</f>
        <v>46022</v>
      </c>
      <c r="S4" s="140">
        <v>46022</v>
      </c>
      <c r="T4" s="140">
        <f t="shared" si="5"/>
        <v>46053</v>
      </c>
      <c r="U4" s="140">
        <f t="shared" ref="U4" si="6">+EOMONTH(U3,0)</f>
        <v>46081</v>
      </c>
      <c r="V4" s="140">
        <f t="shared" ref="V4" si="7">+EOMONTH(V3,0)</f>
        <v>46112</v>
      </c>
      <c r="W4" s="140">
        <f t="shared" ref="W4" si="8">+EOMONTH(W3,0)</f>
        <v>46142</v>
      </c>
      <c r="X4" s="140">
        <f t="shared" ref="X4" si="9">+EOMONTH(X3,0)</f>
        <v>46173</v>
      </c>
      <c r="Y4" s="140">
        <f t="shared" ref="Y4" si="10">+EOMONTH(Y3,0)</f>
        <v>46203</v>
      </c>
      <c r="Z4" s="140">
        <f t="shared" ref="Z4" si="11">+EOMONTH(Z3,0)</f>
        <v>46234</v>
      </c>
      <c r="AA4" s="140">
        <f t="shared" ref="AA4" si="12">+EOMONTH(AA3,0)</f>
        <v>46265</v>
      </c>
      <c r="AB4" s="140">
        <f t="shared" ref="AB4" si="13">+EOMONTH(AB3,0)</f>
        <v>46295</v>
      </c>
      <c r="AC4" s="140">
        <f t="shared" ref="AC4" si="14">+EOMONTH(AC3,0)</f>
        <v>46326</v>
      </c>
      <c r="AD4" s="140">
        <f t="shared" ref="AD4" si="15">+EOMONTH(AD3,0)</f>
        <v>46356</v>
      </c>
      <c r="AE4" s="140">
        <f t="shared" ref="AE4" si="16">+EOMONTH(AE3,0)</f>
        <v>46387</v>
      </c>
      <c r="AF4" s="140">
        <v>46387</v>
      </c>
      <c r="AG4" s="140">
        <v>46752</v>
      </c>
      <c r="AH4" s="140">
        <v>47118</v>
      </c>
      <c r="AI4" s="140">
        <v>47483</v>
      </c>
      <c r="AJ4" s="140">
        <v>47848</v>
      </c>
      <c r="AK4" s="140">
        <v>48213</v>
      </c>
      <c r="AL4" s="140">
        <v>48579</v>
      </c>
      <c r="AM4" s="140">
        <v>48944</v>
      </c>
      <c r="AN4" s="140">
        <v>49309</v>
      </c>
    </row>
    <row r="5" spans="1:40">
      <c r="B5" t="s">
        <v>306</v>
      </c>
      <c r="E5" s="24" t="s">
        <v>222</v>
      </c>
      <c r="F5" s="24"/>
      <c r="G5" s="209"/>
      <c r="H5" s="209"/>
      <c r="I5" s="209"/>
      <c r="J5" s="209"/>
      <c r="K5" s="209"/>
      <c r="L5" s="209"/>
      <c r="M5" s="209"/>
      <c r="N5" s="209"/>
      <c r="O5" s="209"/>
      <c r="P5" s="209"/>
      <c r="Q5" s="209"/>
      <c r="R5" s="209"/>
      <c r="S5" s="42">
        <f>+S4-S3+1</f>
        <v>365</v>
      </c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>
        <f t="shared" ref="AF5:AN5" si="17">+AF4-AF3+1</f>
        <v>365</v>
      </c>
      <c r="AG5" s="42">
        <f t="shared" si="17"/>
        <v>365</v>
      </c>
      <c r="AH5" s="42">
        <f t="shared" si="17"/>
        <v>366</v>
      </c>
      <c r="AI5" s="42">
        <f t="shared" si="17"/>
        <v>365</v>
      </c>
      <c r="AJ5" s="42">
        <f t="shared" si="17"/>
        <v>365</v>
      </c>
      <c r="AK5" s="42">
        <f t="shared" si="17"/>
        <v>365</v>
      </c>
      <c r="AL5" s="42">
        <f t="shared" si="17"/>
        <v>366</v>
      </c>
      <c r="AM5" s="42">
        <f t="shared" si="17"/>
        <v>365</v>
      </c>
      <c r="AN5" s="42">
        <f t="shared" si="17"/>
        <v>365</v>
      </c>
    </row>
    <row r="6" spans="1:40">
      <c r="B6" s="164" t="s">
        <v>303</v>
      </c>
      <c r="E6" s="24" t="s">
        <v>221</v>
      </c>
      <c r="F6" s="24" t="s">
        <v>377</v>
      </c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209"/>
      <c r="S6" s="87" t="s">
        <v>174</v>
      </c>
      <c r="T6" s="87"/>
      <c r="U6" s="87"/>
      <c r="V6" s="87"/>
      <c r="W6" s="87"/>
      <c r="X6" s="87"/>
      <c r="Y6" s="87"/>
      <c r="Z6" s="87"/>
      <c r="AA6" s="87"/>
      <c r="AB6" s="87"/>
      <c r="AC6" s="87"/>
      <c r="AD6" s="87"/>
      <c r="AE6" s="87"/>
      <c r="AF6" s="87" t="s">
        <v>175</v>
      </c>
      <c r="AG6" s="87" t="s">
        <v>176</v>
      </c>
      <c r="AH6" s="87" t="s">
        <v>177</v>
      </c>
      <c r="AI6" s="87" t="s">
        <v>178</v>
      </c>
      <c r="AJ6" s="87" t="s">
        <v>179</v>
      </c>
      <c r="AK6" s="87" t="s">
        <v>180</v>
      </c>
      <c r="AL6" s="87" t="s">
        <v>181</v>
      </c>
      <c r="AM6" s="87" t="s">
        <v>182</v>
      </c>
      <c r="AN6" s="87" t="s">
        <v>183</v>
      </c>
    </row>
    <row r="7" spans="1:40">
      <c r="E7" s="24" t="s">
        <v>376</v>
      </c>
      <c r="F7" s="24"/>
      <c r="G7" s="209"/>
      <c r="H7" s="209"/>
      <c r="I7" s="209"/>
      <c r="J7" s="209"/>
      <c r="K7" s="209"/>
      <c r="L7" s="209"/>
      <c r="M7" s="209"/>
      <c r="N7" s="209"/>
      <c r="O7" s="209"/>
      <c r="P7" s="209"/>
      <c r="Q7" s="209"/>
      <c r="R7" s="209"/>
    </row>
    <row r="8" spans="1:40">
      <c r="B8" s="5" t="s">
        <v>337</v>
      </c>
    </row>
    <row r="9" spans="1:40">
      <c r="B9" s="175" t="s">
        <v>311</v>
      </c>
    </row>
    <row r="10" spans="1:40">
      <c r="B10" t="s">
        <v>45</v>
      </c>
      <c r="G10" s="49">
        <f>+'Set Up Assumptions'!$H$7*'Set Up Assumptions'!$H10*'Set Up Assumptions'!$H17*Scenarios!$F$10*Scenarios!$F$32*'Monthly CF Budget Allocation'!D10</f>
        <v>56926799.999999993</v>
      </c>
      <c r="H10" s="49">
        <f>+'Set Up Assumptions'!$H$7*'Set Up Assumptions'!$H10*'Set Up Assumptions'!$H17*Scenarios!$F$10*Scenarios!$F$32*'Monthly CF Budget Allocation'!E10</f>
        <v>71158499.999999985</v>
      </c>
      <c r="I10" s="49">
        <f>+'Set Up Assumptions'!$H$7*'Set Up Assumptions'!$H10*'Set Up Assumptions'!$H17*Scenarios!$F$10*Scenarios!$F$32*'Monthly CF Budget Allocation'!F10</f>
        <v>71158499.999999985</v>
      </c>
      <c r="J10" s="49">
        <f>+'Set Up Assumptions'!$H$7*'Set Up Assumptions'!$H10*'Set Up Assumptions'!$H17*Scenarios!$F$10*Scenarios!$F$32*'Monthly CF Budget Allocation'!G10</f>
        <v>56926799.999999993</v>
      </c>
      <c r="K10" s="49">
        <f>+'Set Up Assumptions'!$H$7*'Set Up Assumptions'!$H10*'Set Up Assumptions'!$H17*Scenarios!$F$10*Scenarios!$F$32*'Monthly CF Budget Allocation'!H10</f>
        <v>56926799.999999993</v>
      </c>
      <c r="L10" s="49">
        <f>+'Set Up Assumptions'!$H$7*'Set Up Assumptions'!$H10*'Set Up Assumptions'!$H17*Scenarios!$F$10*Scenarios!$F$32*'Monthly CF Budget Allocation'!I10</f>
        <v>56926799.999999993</v>
      </c>
      <c r="M10" s="49">
        <f>+'Set Up Assumptions'!$H$7*'Set Up Assumptions'!$H10*'Set Up Assumptions'!$H17*Scenarios!$F$10*Scenarios!$F$32*'Monthly CF Budget Allocation'!J10</f>
        <v>56926799.999999993</v>
      </c>
      <c r="N10" s="49">
        <f>+'Set Up Assumptions'!$H$7*'Set Up Assumptions'!$H10*'Set Up Assumptions'!$H17*Scenarios!$F$10*Scenarios!$F$32*'Monthly CF Budget Allocation'!K10</f>
        <v>56926799.999999993</v>
      </c>
      <c r="O10" s="49">
        <f>+'Set Up Assumptions'!$H$7*'Set Up Assumptions'!$H10*'Set Up Assumptions'!$H17*Scenarios!$F$10*Scenarios!$F$32*'Monthly CF Budget Allocation'!L10</f>
        <v>56926799.999999993</v>
      </c>
      <c r="P10" s="49">
        <f>+'Set Up Assumptions'!$H$7*'Set Up Assumptions'!$H10*'Set Up Assumptions'!$H17*Scenarios!$F$10*Scenarios!$F$32*'Monthly CF Budget Allocation'!M10</f>
        <v>56926799.999999993</v>
      </c>
      <c r="Q10" s="49">
        <f>+'Set Up Assumptions'!$H$7*'Set Up Assumptions'!$H10*'Set Up Assumptions'!$H17*Scenarios!$F$10*Scenarios!$F$32*'Monthly CF Budget Allocation'!N10</f>
        <v>42695099.999999993</v>
      </c>
      <c r="R10" s="49">
        <f>+'Set Up Assumptions'!$H$7*'Set Up Assumptions'!$H10*'Set Up Assumptions'!$H17*Scenarios!$F$10*Scenarios!$F$32*'Monthly CF Budget Allocation'!O10</f>
        <v>71158499.999999985</v>
      </c>
      <c r="S10" s="49">
        <f>+'Set Up Assumptions'!$H$7*'Set Up Assumptions'!$H10*('Set Up Assumptions'!$H17*(1+Scenarios!F42)*Scenarios!F$10*Scenarios!F$32)</f>
        <v>711585000</v>
      </c>
      <c r="T10" s="49">
        <f>+'Inventory Roll Forward  (2)'!$R$26*'Inventory Roll Forward  (2)'!$R$31*'Monthly CF Budget Allocation'!D10</f>
        <v>78938496</v>
      </c>
      <c r="U10" s="49">
        <f>+'Inventory Roll Forward  (2)'!$R$26*'Inventory Roll Forward  (2)'!$R$31*'Monthly CF Budget Allocation'!E10</f>
        <v>98673120</v>
      </c>
      <c r="V10" s="49">
        <f>+'Inventory Roll Forward  (2)'!$R$26*'Inventory Roll Forward  (2)'!$R$31*'Monthly CF Budget Allocation'!F10</f>
        <v>98673120</v>
      </c>
      <c r="W10" s="49">
        <f>+'Inventory Roll Forward  (2)'!$R$26*'Inventory Roll Forward  (2)'!$R$31*'Monthly CF Budget Allocation'!G10</f>
        <v>78938496</v>
      </c>
      <c r="X10" s="49">
        <f>+'Inventory Roll Forward  (2)'!$R$26*'Inventory Roll Forward  (2)'!$R$31*'Monthly CF Budget Allocation'!H10</f>
        <v>78938496</v>
      </c>
      <c r="Y10" s="49">
        <f>+'Inventory Roll Forward  (2)'!$R$26*'Inventory Roll Forward  (2)'!$R$31*'Monthly CF Budget Allocation'!I10</f>
        <v>78938496</v>
      </c>
      <c r="Z10" s="49">
        <f>+'Inventory Roll Forward  (2)'!$R$26*'Inventory Roll Forward  (2)'!$R$31*'Monthly CF Budget Allocation'!J10</f>
        <v>78938496</v>
      </c>
      <c r="AA10" s="49">
        <f>+'Inventory Roll Forward  (2)'!$R$26*'Inventory Roll Forward  (2)'!$R$31*'Monthly CF Budget Allocation'!K10</f>
        <v>78938496</v>
      </c>
      <c r="AB10" s="49">
        <f>+'Inventory Roll Forward  (2)'!$R$26*'Inventory Roll Forward  (2)'!$R$31*'Monthly CF Budget Allocation'!L10</f>
        <v>78938496</v>
      </c>
      <c r="AC10" s="49">
        <f>+'Inventory Roll Forward  (2)'!$R$26*'Inventory Roll Forward  (2)'!$R$31*'Monthly CF Budget Allocation'!M10</f>
        <v>78938496</v>
      </c>
      <c r="AD10" s="49">
        <f>+'Inventory Roll Forward  (2)'!$R$26*'Inventory Roll Forward  (2)'!$R$31*'Monthly CF Budget Allocation'!N10</f>
        <v>59203872</v>
      </c>
      <c r="AE10" s="49">
        <f>+'Inventory Roll Forward  (2)'!$R$26*'Inventory Roll Forward  (2)'!$R$31*'Monthly CF Budget Allocation'!O10</f>
        <v>98673120</v>
      </c>
      <c r="AF10" s="49">
        <f>+'Inventory Roll Forward '!R41</f>
        <v>986731200</v>
      </c>
      <c r="AG10" s="49">
        <f>+'Inventory Roll Forward '!S41</f>
        <v>1049459111.9999999</v>
      </c>
      <c r="AH10" s="49">
        <f>+'Inventory Roll Forward '!T41</f>
        <v>1072012967.9999999</v>
      </c>
      <c r="AI10" s="49">
        <f>+'Inventory Roll Forward '!U41</f>
        <v>1111306014</v>
      </c>
      <c r="AJ10" s="49">
        <f>+'Inventory Roll Forward '!V41</f>
        <v>1164864645</v>
      </c>
      <c r="AK10" s="49">
        <f>+'Inventory Roll Forward '!W41</f>
        <v>1201155480</v>
      </c>
      <c r="AL10" s="49">
        <f>+'Inventory Roll Forward '!X41</f>
        <v>1268044470</v>
      </c>
      <c r="AM10" s="49">
        <f>+'Inventory Roll Forward '!Y41</f>
        <v>1306825852.5</v>
      </c>
      <c r="AN10" s="49">
        <f>+'Inventory Roll Forward '!Z41</f>
        <v>1345251442.5</v>
      </c>
    </row>
    <row r="11" spans="1:40">
      <c r="B11" t="s">
        <v>308</v>
      </c>
      <c r="G11" s="49">
        <f>+'Set Up Assumptions'!$H$7*'Set Up Assumptions'!$H$11*'Set Up Assumptions'!$H$18*Scenarios!$F$15*Scenarios!$F$32*'Monthly CF Budget Allocation'!D$11</f>
        <v>84576960</v>
      </c>
      <c r="H11" s="49">
        <f>+'Set Up Assumptions'!$H$7*'Set Up Assumptions'!$H$11*'Set Up Assumptions'!$H$18*Scenarios!$F$15*Scenarios!$F$32*'Monthly CF Budget Allocation'!E$11</f>
        <v>105721200</v>
      </c>
      <c r="I11" s="49">
        <f>+'Set Up Assumptions'!$H$7*'Set Up Assumptions'!$H$11*'Set Up Assumptions'!$H$18*Scenarios!$F$15*Scenarios!$F$32*'Monthly CF Budget Allocation'!F$11</f>
        <v>105721200</v>
      </c>
      <c r="J11" s="49">
        <f>+'Set Up Assumptions'!$H$7*'Set Up Assumptions'!$H$11*'Set Up Assumptions'!$H$18*Scenarios!$F$15*Scenarios!$F$32*'Monthly CF Budget Allocation'!G$11</f>
        <v>84576960</v>
      </c>
      <c r="K11" s="49">
        <f>+'Set Up Assumptions'!$H$7*'Set Up Assumptions'!$H$11*'Set Up Assumptions'!$H$18*Scenarios!$F$15*Scenarios!$F$32*'Monthly CF Budget Allocation'!H$11</f>
        <v>84576960</v>
      </c>
      <c r="L11" s="49">
        <f>+'Set Up Assumptions'!$H$7*'Set Up Assumptions'!$H$11*'Set Up Assumptions'!$H$18*Scenarios!$F$15*Scenarios!$F$32*'Monthly CF Budget Allocation'!I$11</f>
        <v>84576960</v>
      </c>
      <c r="M11" s="49">
        <f>+'Set Up Assumptions'!$H$7*'Set Up Assumptions'!$H$11*'Set Up Assumptions'!$H$18*Scenarios!$F$15*Scenarios!$F$32*'Monthly CF Budget Allocation'!J$11</f>
        <v>84576960</v>
      </c>
      <c r="N11" s="49">
        <f>+'Set Up Assumptions'!$H$7*'Set Up Assumptions'!$H$11*'Set Up Assumptions'!$H$18*Scenarios!$F$15*Scenarios!$F$32*'Monthly CF Budget Allocation'!K$11</f>
        <v>84576960</v>
      </c>
      <c r="O11" s="49">
        <f>+'Set Up Assumptions'!$H$7*'Set Up Assumptions'!$H$11*'Set Up Assumptions'!$H$18*Scenarios!$F$15*Scenarios!$F$32*'Monthly CF Budget Allocation'!L$11</f>
        <v>84576960</v>
      </c>
      <c r="P11" s="49">
        <f>+'Set Up Assumptions'!$H$7*'Set Up Assumptions'!$H$11*'Set Up Assumptions'!$H$18*Scenarios!$F$15*Scenarios!$F$32*'Monthly CF Budget Allocation'!M$11</f>
        <v>84576960</v>
      </c>
      <c r="Q11" s="49">
        <f>+'Set Up Assumptions'!$H$7*'Set Up Assumptions'!$H$11*'Set Up Assumptions'!$H$18*Scenarios!$F$15*Scenarios!$F$32*'Monthly CF Budget Allocation'!N$11</f>
        <v>63432720</v>
      </c>
      <c r="R11" s="49">
        <f>+'Set Up Assumptions'!$H$7*'Set Up Assumptions'!$H$11*'Set Up Assumptions'!$H$18*Scenarios!$F$15*Scenarios!$F$32*'Monthly CF Budget Allocation'!O$11</f>
        <v>105721200</v>
      </c>
      <c r="S11" s="49">
        <f>+'Set Up Assumptions'!$H$7*'Set Up Assumptions'!$H11*('Set Up Assumptions'!$H18*(1+Scenarios!F43)*Scenarios!F$15*Scenarios!F$32)</f>
        <v>1057212000</v>
      </c>
      <c r="T11" s="49"/>
      <c r="U11" s="49"/>
      <c r="V11" s="49"/>
      <c r="W11" s="49"/>
      <c r="X11" s="49"/>
      <c r="Y11" s="49"/>
      <c r="Z11" s="49"/>
      <c r="AA11" s="49"/>
      <c r="AB11" s="49"/>
      <c r="AC11" s="49"/>
      <c r="AD11" s="49"/>
      <c r="AE11" s="49"/>
      <c r="AF11" s="49">
        <f>+'Inventory Roll Forward '!R42</f>
        <v>1471090920</v>
      </c>
      <c r="AG11" s="49">
        <f>+'Inventory Roll Forward '!S42</f>
        <v>1564752072</v>
      </c>
      <c r="AH11" s="49">
        <f>+'Inventory Roll Forward '!T42</f>
        <v>1597329863.9999998</v>
      </c>
      <c r="AI11" s="49">
        <f>+'Inventory Roll Forward '!U42</f>
        <v>1639833702</v>
      </c>
      <c r="AJ11" s="49">
        <f>+'Inventory Roll Forward '!V42</f>
        <v>1735002360</v>
      </c>
      <c r="AK11" s="49">
        <f>+'Inventory Roll Forward '!W42</f>
        <v>1787422454.9999998</v>
      </c>
      <c r="AL11" s="49">
        <f>+'Inventory Roll Forward '!X42</f>
        <v>1831619790</v>
      </c>
      <c r="AM11" s="49">
        <f>+'Inventory Roll Forward '!Y42</f>
        <v>1906138552.5000002</v>
      </c>
      <c r="AN11" s="49">
        <f>+'Inventory Roll Forward '!Z42</f>
        <v>1961642182.5000002</v>
      </c>
    </row>
    <row r="12" spans="1:40">
      <c r="B12" t="s">
        <v>310</v>
      </c>
      <c r="G12" s="49">
        <f>+'Set Up Assumptions'!$H$7*'Set Up Assumptions'!$H12*'Set Up Assumptions'!$H19*Scenarios!$F$20*Scenarios!$F$32*'Monthly CF Budget Allocation'!D$12</f>
        <v>22590000</v>
      </c>
      <c r="H12" s="49">
        <f>+'Set Up Assumptions'!$H$7*'Set Up Assumptions'!$H12*'Set Up Assumptions'!$H19*Scenarios!$F$20*Scenarios!$F$32*'Monthly CF Budget Allocation'!E$12</f>
        <v>28237500</v>
      </c>
      <c r="I12" s="49">
        <f>+'Set Up Assumptions'!$H$7*'Set Up Assumptions'!$H12*'Set Up Assumptions'!$H19*Scenarios!$F$20*Scenarios!$F$32*'Monthly CF Budget Allocation'!F$12</f>
        <v>28237500</v>
      </c>
      <c r="J12" s="49">
        <f>+'Set Up Assumptions'!$H$7*'Set Up Assumptions'!$H12*'Set Up Assumptions'!$H19*Scenarios!$F$20*Scenarios!$F$32*'Monthly CF Budget Allocation'!G$12</f>
        <v>22590000</v>
      </c>
      <c r="K12" s="49">
        <f>+'Set Up Assumptions'!$H$7*'Set Up Assumptions'!$H12*'Set Up Assumptions'!$H19*Scenarios!$F$20*Scenarios!$F$32*'Monthly CF Budget Allocation'!H$12</f>
        <v>22590000</v>
      </c>
      <c r="L12" s="49">
        <f>+'Set Up Assumptions'!$H$7*'Set Up Assumptions'!$H12*'Set Up Assumptions'!$H19*Scenarios!$F$20*Scenarios!$F$32*'Monthly CF Budget Allocation'!I$12</f>
        <v>22590000</v>
      </c>
      <c r="M12" s="49">
        <f>+'Set Up Assumptions'!$H$7*'Set Up Assumptions'!$H12*'Set Up Assumptions'!$H19*Scenarios!$F$20*Scenarios!$F$32*'Monthly CF Budget Allocation'!J$12</f>
        <v>22590000</v>
      </c>
      <c r="N12" s="49">
        <f>+'Set Up Assumptions'!$H$7*'Set Up Assumptions'!$H12*'Set Up Assumptions'!$H19*Scenarios!$F$20*Scenarios!$F$32*'Monthly CF Budget Allocation'!K$12</f>
        <v>22590000</v>
      </c>
      <c r="O12" s="49">
        <f>+'Set Up Assumptions'!$H$7*'Set Up Assumptions'!$H12*'Set Up Assumptions'!$H19*Scenarios!$F$20*Scenarios!$F$32*'Monthly CF Budget Allocation'!L$12</f>
        <v>22590000</v>
      </c>
      <c r="P12" s="49">
        <f>+'Set Up Assumptions'!$H$7*'Set Up Assumptions'!$H12*'Set Up Assumptions'!$H19*Scenarios!$F$20*Scenarios!$F$32*'Monthly CF Budget Allocation'!M$12</f>
        <v>22590000</v>
      </c>
      <c r="Q12" s="49">
        <f>+'Set Up Assumptions'!$H$7*'Set Up Assumptions'!$H12*'Set Up Assumptions'!$H19*Scenarios!$F$20*Scenarios!$F$32*'Monthly CF Budget Allocation'!N$12</f>
        <v>16942500</v>
      </c>
      <c r="R12" s="49">
        <f>+'Set Up Assumptions'!$H$7*'Set Up Assumptions'!$H12*'Set Up Assumptions'!$H19*Scenarios!$F$20*Scenarios!$F$32*'Monthly CF Budget Allocation'!O$12</f>
        <v>28237500</v>
      </c>
      <c r="S12" s="49">
        <f>+'Set Up Assumptions'!$H$7*'Set Up Assumptions'!$H12*('Set Up Assumptions'!$H19*(1+Scenarios!F44)*Scenarios!F$20*Scenarios!F$32)</f>
        <v>282375000</v>
      </c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49"/>
      <c r="AF12" s="49">
        <f>+'Inventory Roll Forward '!R43</f>
        <v>380039100</v>
      </c>
      <c r="AG12" s="49">
        <f>+'Inventory Roll Forward '!S43</f>
        <v>397828724.99999994</v>
      </c>
      <c r="AH12" s="49">
        <f>+'Inventory Roll Forward '!T43</f>
        <v>406262324.99999994</v>
      </c>
      <c r="AI12" s="49">
        <f>+'Inventory Roll Forward '!U43</f>
        <v>421152900</v>
      </c>
      <c r="AJ12" s="49">
        <f>+'Inventory Roll Forward '!V43</f>
        <v>438999000</v>
      </c>
      <c r="AK12" s="49">
        <f>+'Inventory Roll Forward '!W43</f>
        <v>452568060</v>
      </c>
      <c r="AL12" s="49">
        <f>+'Inventory Roll Forward '!X43</f>
        <v>463343490</v>
      </c>
      <c r="AM12" s="49">
        <f>+'Inventory Roll Forward '!Y43</f>
        <v>480238299.99999994</v>
      </c>
      <c r="AN12" s="49">
        <f>+'Inventory Roll Forward '!Z43</f>
        <v>489816459.99999994</v>
      </c>
    </row>
    <row r="13" spans="1:40">
      <c r="B13" t="s">
        <v>309</v>
      </c>
      <c r="G13" s="49">
        <f>+'Set Up Assumptions'!$H$7*'Set Up Assumptions'!$H13*'Set Up Assumptions'!$H20*Scenarios!$F$25*Scenarios!$F$32*'Monthly CF Budget Allocation'!D$12</f>
        <v>52860600</v>
      </c>
      <c r="H13" s="49">
        <f>+'Set Up Assumptions'!$H$7*'Set Up Assumptions'!$H13*'Set Up Assumptions'!$H20*Scenarios!$F$25*Scenarios!$F$32*'Monthly CF Budget Allocation'!E$12</f>
        <v>66075750</v>
      </c>
      <c r="I13" s="49">
        <f>+'Set Up Assumptions'!$H$7*'Set Up Assumptions'!$H13*'Set Up Assumptions'!$H20*Scenarios!$F$25*Scenarios!$F$32*'Monthly CF Budget Allocation'!F$12</f>
        <v>66075750</v>
      </c>
      <c r="J13" s="49">
        <f>+'Set Up Assumptions'!$H$7*'Set Up Assumptions'!$H13*'Set Up Assumptions'!$H20*Scenarios!$F$25*Scenarios!$F$32*'Monthly CF Budget Allocation'!G$12</f>
        <v>52860600</v>
      </c>
      <c r="K13" s="49">
        <f>+'Set Up Assumptions'!$H$7*'Set Up Assumptions'!$H13*'Set Up Assumptions'!$H20*Scenarios!$F$25*Scenarios!$F$32*'Monthly CF Budget Allocation'!H$12</f>
        <v>52860600</v>
      </c>
      <c r="L13" s="49">
        <f>+'Set Up Assumptions'!$H$7*'Set Up Assumptions'!$H13*'Set Up Assumptions'!$H20*Scenarios!$F$25*Scenarios!$F$32*'Monthly CF Budget Allocation'!I$12</f>
        <v>52860600</v>
      </c>
      <c r="M13" s="49">
        <f>+'Set Up Assumptions'!$H$7*'Set Up Assumptions'!$H13*'Set Up Assumptions'!$H20*Scenarios!$F$25*Scenarios!$F$32*'Monthly CF Budget Allocation'!J$12</f>
        <v>52860600</v>
      </c>
      <c r="N13" s="49">
        <f>+'Set Up Assumptions'!$H$7*'Set Up Assumptions'!$H13*'Set Up Assumptions'!$H20*Scenarios!$F$25*Scenarios!$F$32*'Monthly CF Budget Allocation'!K$12</f>
        <v>52860600</v>
      </c>
      <c r="O13" s="49">
        <f>+'Set Up Assumptions'!$H$7*'Set Up Assumptions'!$H13*'Set Up Assumptions'!$H20*Scenarios!$F$25*Scenarios!$F$32*'Monthly CF Budget Allocation'!L$12</f>
        <v>52860600</v>
      </c>
      <c r="P13" s="49">
        <f>+'Set Up Assumptions'!$H$7*'Set Up Assumptions'!$H13*'Set Up Assumptions'!$H20*Scenarios!$F$25*Scenarios!$F$32*'Monthly CF Budget Allocation'!M$12</f>
        <v>52860600</v>
      </c>
      <c r="Q13" s="49">
        <f>+'Set Up Assumptions'!$H$7*'Set Up Assumptions'!$H13*'Set Up Assumptions'!$H20*Scenarios!$F$25*Scenarios!$F$32*'Monthly CF Budget Allocation'!N$12</f>
        <v>39645450</v>
      </c>
      <c r="R13" s="49">
        <f>+'Set Up Assumptions'!$H$7*'Set Up Assumptions'!$H13*'Set Up Assumptions'!$H20*Scenarios!$F$25*Scenarios!$F$32*'Monthly CF Budget Allocation'!O$12</f>
        <v>66075750</v>
      </c>
      <c r="S13" s="49">
        <f>+'Set Up Assumptions'!$H$7*'Set Up Assumptions'!$H13*('Set Up Assumptions'!$H20*(1+Scenarios!F45)*Scenarios!F$25*Scenarios!F$32)</f>
        <v>660757500</v>
      </c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>
        <f>+'Inventory Roll Forward '!R44</f>
        <v>963282780.00000024</v>
      </c>
      <c r="AG13" s="49">
        <f>+'Inventory Roll Forward '!S44</f>
        <v>1052630748.0000001</v>
      </c>
      <c r="AH13" s="49">
        <f>+'Inventory Roll Forward '!T44</f>
        <v>1074967740</v>
      </c>
      <c r="AI13" s="49">
        <f>+'Inventory Roll Forward '!U44</f>
        <v>1139186592</v>
      </c>
      <c r="AJ13" s="49">
        <f>+'Inventory Roll Forward '!V44</f>
        <v>1198173599.9999998</v>
      </c>
      <c r="AK13" s="49">
        <f>+'Inventory Roll Forward '!W44</f>
        <v>1234118808.0000002</v>
      </c>
      <c r="AL13" s="49">
        <f>+'Inventory Roll Forward '!X44</f>
        <v>1303542396</v>
      </c>
      <c r="AM13" s="49">
        <f>+'Inventory Roll Forward '!Y44</f>
        <v>1347945300</v>
      </c>
      <c r="AN13" s="49">
        <f>+'Inventory Roll Forward '!Z44</f>
        <v>1386004932</v>
      </c>
    </row>
    <row r="14" spans="1:40">
      <c r="B14" s="155" t="s">
        <v>351</v>
      </c>
    </row>
    <row r="15" spans="1:40">
      <c r="AF15" t="s">
        <v>378</v>
      </c>
    </row>
    <row r="18" spans="32:40">
      <c r="AF18" s="49"/>
      <c r="AG18" s="49"/>
      <c r="AH18" s="49"/>
      <c r="AI18" s="49"/>
      <c r="AJ18" s="49"/>
      <c r="AK18" s="49"/>
      <c r="AL18" s="49"/>
      <c r="AM18" s="49"/>
      <c r="AN18" s="49"/>
    </row>
  </sheetData>
  <dataValidations disablePrompts="1" count="1">
    <dataValidation type="list" allowBlank="1" showInputMessage="1" showErrorMessage="1" sqref="B6" xr:uid="{8370BA5C-6FFD-4C9E-B566-46DBE92329F8}">
      <formula1>$B$11:$B$13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A9017-B034-4DDB-B7A2-19B1CBAEDB5D}">
  <sheetPr>
    <tabColor rgb="FFFFC000"/>
  </sheetPr>
  <dimension ref="A2:AX42"/>
  <sheetViews>
    <sheetView showGridLines="0" tabSelected="1" workbookViewId="0">
      <pane xSplit="4" ySplit="4" topLeftCell="E13" activePane="bottomRight" state="frozen"/>
      <selection pane="topRight" activeCell="E1" sqref="E1"/>
      <selection pane="bottomLeft" activeCell="A10" sqref="A10"/>
      <selection pane="bottomRight" activeCell="AU24" sqref="AU24"/>
    </sheetView>
  </sheetViews>
  <sheetFormatPr defaultRowHeight="13.8" outlineLevelCol="1"/>
  <cols>
    <col min="1" max="1" width="12.296875" style="1" customWidth="1"/>
    <col min="2" max="2" width="24.19921875" style="207" bestFit="1" customWidth="1"/>
    <col min="3" max="4" width="24.19921875" style="207" hidden="1" customWidth="1"/>
    <col min="5" max="5" width="14.69921875" style="265" bestFit="1" customWidth="1"/>
    <col min="6" max="17" width="14.69921875" style="274" hidden="1" customWidth="1" outlineLevel="1"/>
    <col min="18" max="18" width="14.69921875" style="265" bestFit="1" customWidth="1" collapsed="1"/>
    <col min="19" max="30" width="14.69921875" style="274" hidden="1" customWidth="1" outlineLevel="1"/>
    <col min="31" max="31" width="14.69921875" style="265" bestFit="1" customWidth="1" collapsed="1"/>
    <col min="32" max="43" width="14.69921875" style="274" hidden="1" customWidth="1" outlineLevel="1"/>
    <col min="44" max="44" width="14.69921875" style="265" bestFit="1" customWidth="1" collapsed="1"/>
    <col min="45" max="50" width="14.69921875" style="197" bestFit="1" customWidth="1"/>
    <col min="51" max="16384" width="8.796875" style="1"/>
  </cols>
  <sheetData>
    <row r="2" spans="1:50" s="229" customFormat="1">
      <c r="A2" s="229" t="s">
        <v>385</v>
      </c>
      <c r="B2" s="233"/>
      <c r="C2" s="233"/>
      <c r="D2" s="233"/>
      <c r="E2" s="266">
        <v>2025</v>
      </c>
      <c r="F2" s="275">
        <v>46023</v>
      </c>
      <c r="G2" s="275">
        <v>46054</v>
      </c>
      <c r="H2" s="275">
        <v>46082</v>
      </c>
      <c r="I2" s="275">
        <v>46113</v>
      </c>
      <c r="J2" s="275">
        <v>46143</v>
      </c>
      <c r="K2" s="275">
        <v>46174</v>
      </c>
      <c r="L2" s="275">
        <v>46204</v>
      </c>
      <c r="M2" s="275">
        <v>46235</v>
      </c>
      <c r="N2" s="275">
        <v>46266</v>
      </c>
      <c r="O2" s="275">
        <v>46296</v>
      </c>
      <c r="P2" s="275">
        <v>46327</v>
      </c>
      <c r="Q2" s="275">
        <v>46357</v>
      </c>
      <c r="R2" s="266">
        <v>2026</v>
      </c>
      <c r="S2" s="275">
        <f>+Q3+1</f>
        <v>46388</v>
      </c>
      <c r="T2" s="275">
        <f>+S3+1</f>
        <v>46419</v>
      </c>
      <c r="U2" s="275">
        <f t="shared" ref="U2:AD2" si="0">+T3+1</f>
        <v>46447</v>
      </c>
      <c r="V2" s="275">
        <f t="shared" si="0"/>
        <v>46478</v>
      </c>
      <c r="W2" s="275">
        <f t="shared" si="0"/>
        <v>46508</v>
      </c>
      <c r="X2" s="275">
        <f t="shared" si="0"/>
        <v>46539</v>
      </c>
      <c r="Y2" s="275">
        <f t="shared" si="0"/>
        <v>46569</v>
      </c>
      <c r="Z2" s="275">
        <f t="shared" si="0"/>
        <v>46600</v>
      </c>
      <c r="AA2" s="275">
        <f t="shared" si="0"/>
        <v>46631</v>
      </c>
      <c r="AB2" s="275">
        <f t="shared" si="0"/>
        <v>46661</v>
      </c>
      <c r="AC2" s="275">
        <f t="shared" si="0"/>
        <v>46692</v>
      </c>
      <c r="AD2" s="275">
        <f t="shared" si="0"/>
        <v>46722</v>
      </c>
      <c r="AE2" s="266">
        <f>+R2+1</f>
        <v>2027</v>
      </c>
      <c r="AF2" s="249"/>
      <c r="AG2" s="249"/>
      <c r="AH2" s="249"/>
      <c r="AI2" s="249"/>
      <c r="AJ2" s="249"/>
      <c r="AK2" s="249"/>
      <c r="AL2" s="249"/>
      <c r="AM2" s="249"/>
      <c r="AN2" s="249"/>
      <c r="AO2" s="249"/>
      <c r="AP2" s="249"/>
      <c r="AQ2" s="249"/>
      <c r="AR2" s="266">
        <f>+AE2+1</f>
        <v>2028</v>
      </c>
      <c r="AS2" s="248">
        <f t="shared" ref="AS2:AX2" si="1">+AR2+1</f>
        <v>2029</v>
      </c>
      <c r="AT2" s="248">
        <f t="shared" si="1"/>
        <v>2030</v>
      </c>
      <c r="AU2" s="248">
        <f t="shared" si="1"/>
        <v>2031</v>
      </c>
      <c r="AV2" s="248">
        <f t="shared" si="1"/>
        <v>2032</v>
      </c>
      <c r="AW2" s="248">
        <f t="shared" si="1"/>
        <v>2033</v>
      </c>
      <c r="AX2" s="248">
        <f t="shared" si="1"/>
        <v>2034</v>
      </c>
    </row>
    <row r="3" spans="1:50" s="229" customFormat="1">
      <c r="B3" s="233"/>
      <c r="C3" s="233"/>
      <c r="D3" s="233"/>
      <c r="E3" s="266"/>
      <c r="F3" s="275">
        <v>46053</v>
      </c>
      <c r="G3" s="275">
        <v>46081</v>
      </c>
      <c r="H3" s="275">
        <v>46112</v>
      </c>
      <c r="I3" s="275">
        <v>46142</v>
      </c>
      <c r="J3" s="275">
        <v>46173</v>
      </c>
      <c r="K3" s="275">
        <v>46203</v>
      </c>
      <c r="L3" s="275">
        <v>46234</v>
      </c>
      <c r="M3" s="275">
        <v>46265</v>
      </c>
      <c r="N3" s="275">
        <v>46295</v>
      </c>
      <c r="O3" s="275">
        <v>46326</v>
      </c>
      <c r="P3" s="275">
        <v>46356</v>
      </c>
      <c r="Q3" s="275">
        <v>46387</v>
      </c>
      <c r="R3" s="266"/>
      <c r="S3" s="275">
        <f>+EOMONTH(S2,0)</f>
        <v>46418</v>
      </c>
      <c r="T3" s="275">
        <f t="shared" ref="T3:AD3" si="2">+EOMONTH(T2,0)</f>
        <v>46446</v>
      </c>
      <c r="U3" s="275">
        <f t="shared" si="2"/>
        <v>46477</v>
      </c>
      <c r="V3" s="275">
        <f t="shared" si="2"/>
        <v>46507</v>
      </c>
      <c r="W3" s="275">
        <f t="shared" si="2"/>
        <v>46538</v>
      </c>
      <c r="X3" s="275">
        <f t="shared" si="2"/>
        <v>46568</v>
      </c>
      <c r="Y3" s="275">
        <f t="shared" si="2"/>
        <v>46599</v>
      </c>
      <c r="Z3" s="275">
        <f t="shared" si="2"/>
        <v>46630</v>
      </c>
      <c r="AA3" s="275">
        <f t="shared" si="2"/>
        <v>46660</v>
      </c>
      <c r="AB3" s="275">
        <f t="shared" si="2"/>
        <v>46691</v>
      </c>
      <c r="AC3" s="275">
        <f t="shared" si="2"/>
        <v>46721</v>
      </c>
      <c r="AD3" s="275">
        <f t="shared" si="2"/>
        <v>46752</v>
      </c>
      <c r="AE3" s="266"/>
      <c r="AF3" s="249"/>
      <c r="AG3" s="249"/>
      <c r="AH3" s="249"/>
      <c r="AI3" s="249"/>
      <c r="AJ3" s="249"/>
      <c r="AK3" s="249"/>
      <c r="AL3" s="249"/>
      <c r="AM3" s="249"/>
      <c r="AN3" s="249"/>
      <c r="AO3" s="249"/>
      <c r="AP3" s="249"/>
      <c r="AQ3" s="249"/>
      <c r="AR3" s="266"/>
      <c r="AS3" s="248"/>
      <c r="AT3" s="248"/>
      <c r="AU3" s="248"/>
      <c r="AV3" s="248"/>
      <c r="AW3" s="248"/>
      <c r="AX3" s="248"/>
    </row>
    <row r="4" spans="1:50" s="229" customFormat="1">
      <c r="B4" s="233"/>
      <c r="C4" s="233"/>
      <c r="D4" s="233"/>
      <c r="E4" s="266"/>
      <c r="F4" s="249"/>
      <c r="G4" s="249"/>
      <c r="H4" s="249"/>
      <c r="I4" s="249"/>
      <c r="J4" s="249"/>
      <c r="K4" s="249"/>
      <c r="L4" s="249"/>
      <c r="M4" s="249"/>
      <c r="N4" s="249"/>
      <c r="O4" s="249"/>
      <c r="P4" s="249"/>
      <c r="Q4" s="249"/>
      <c r="R4" s="266"/>
      <c r="S4" s="249"/>
      <c r="T4" s="249"/>
      <c r="U4" s="249"/>
      <c r="V4" s="249"/>
      <c r="W4" s="249"/>
      <c r="X4" s="249"/>
      <c r="Y4" s="249"/>
      <c r="Z4" s="249"/>
      <c r="AA4" s="249"/>
      <c r="AB4" s="249"/>
      <c r="AC4" s="249"/>
      <c r="AD4" s="249"/>
      <c r="AE4" s="266"/>
      <c r="AF4" s="249"/>
      <c r="AG4" s="249"/>
      <c r="AH4" s="249"/>
      <c r="AI4" s="249"/>
      <c r="AJ4" s="249"/>
      <c r="AK4" s="249"/>
      <c r="AL4" s="249"/>
      <c r="AM4" s="249"/>
      <c r="AN4" s="249"/>
      <c r="AO4" s="249"/>
      <c r="AP4" s="249"/>
      <c r="AQ4" s="249"/>
      <c r="AR4" s="266"/>
      <c r="AS4" s="248"/>
      <c r="AT4" s="248"/>
      <c r="AU4" s="248"/>
      <c r="AV4" s="248"/>
      <c r="AW4" s="248"/>
      <c r="AX4" s="248"/>
    </row>
    <row r="5" spans="1:50" s="249" customFormat="1" ht="5.4" customHeight="1" thickBot="1">
      <c r="B5" s="250"/>
      <c r="C5" s="250"/>
      <c r="D5" s="250"/>
      <c r="E5" s="266"/>
      <c r="R5" s="266"/>
      <c r="AE5" s="266"/>
      <c r="AR5" s="266"/>
    </row>
    <row r="6" spans="1:50">
      <c r="A6" s="244" t="s">
        <v>383</v>
      </c>
      <c r="B6" s="234" t="s">
        <v>45</v>
      </c>
      <c r="C6" s="263"/>
      <c r="D6" s="263"/>
      <c r="E6" s="267">
        <f>+('Set Up Assumptions'!$H$7*'Set Up Assumptions'!$H10)*(1-Scenarios!F32)</f>
        <v>56475</v>
      </c>
      <c r="F6" s="276"/>
      <c r="G6" s="276"/>
      <c r="H6" s="276"/>
      <c r="I6" s="276"/>
      <c r="J6" s="276"/>
      <c r="K6" s="276"/>
      <c r="L6" s="276"/>
      <c r="M6" s="276"/>
      <c r="N6" s="276"/>
      <c r="O6" s="276"/>
      <c r="P6" s="276"/>
      <c r="Q6" s="276"/>
      <c r="R6" s="267">
        <f>+('Set Up Assumptions'!$H$7*'Set Up Assumptions'!$H10)*(1-Scenarios!G32)*Scenarios!G37</f>
        <v>45180</v>
      </c>
      <c r="S6" s="276"/>
      <c r="T6" s="276"/>
      <c r="U6" s="276"/>
      <c r="V6" s="276"/>
      <c r="W6" s="276"/>
      <c r="X6" s="276"/>
      <c r="Y6" s="276"/>
      <c r="Z6" s="276"/>
      <c r="AA6" s="276"/>
      <c r="AB6" s="276"/>
      <c r="AC6" s="276"/>
      <c r="AD6" s="276"/>
      <c r="AE6" s="267">
        <f>+('Set Up Assumptions'!$H$7*'Set Up Assumptions'!$H10)*(1-Scenarios!H32)*Scenarios!H37</f>
        <v>38402.999999999993</v>
      </c>
      <c r="AF6" s="276"/>
      <c r="AG6" s="276"/>
      <c r="AH6" s="276"/>
      <c r="AI6" s="276"/>
      <c r="AJ6" s="276"/>
      <c r="AK6" s="276"/>
      <c r="AL6" s="276"/>
      <c r="AM6" s="276"/>
      <c r="AN6" s="276"/>
      <c r="AO6" s="276"/>
      <c r="AP6" s="276"/>
      <c r="AQ6" s="276"/>
      <c r="AR6" s="267">
        <f>+('Set Up Assumptions'!$H$7*'Set Up Assumptions'!$H10)*(1-Scenarios!I32)*Scenarios!I37</f>
        <v>38402.999999999993</v>
      </c>
      <c r="AS6" s="237">
        <f>+('Set Up Assumptions'!$H$7*'Set Up Assumptions'!$H10)*(1-Scenarios!J32)*Scenarios!J37</f>
        <v>28802.250000000004</v>
      </c>
      <c r="AT6" s="237">
        <f>+('Set Up Assumptions'!$H$7*'Set Up Assumptions'!$H10)*(1-Scenarios!K32)*Scenarios!K37</f>
        <v>30496.500000000007</v>
      </c>
      <c r="AU6" s="237">
        <f>+('Set Up Assumptions'!$H$7*'Set Up Assumptions'!$H10)*(1-Scenarios!L32)*Scenarios!L37</f>
        <v>30496.500000000007</v>
      </c>
      <c r="AV6" s="237">
        <f>+('Set Up Assumptions'!$H$7*'Set Up Assumptions'!$H10)*(1-Scenarios!M32)*Scenarios!M37</f>
        <v>20330.999999999996</v>
      </c>
      <c r="AW6" s="237">
        <f>+('Set Up Assumptions'!$H$7*'Set Up Assumptions'!$H10)*(1-Scenarios!N32)*Scenarios!N37</f>
        <v>21460.499999999996</v>
      </c>
      <c r="AX6" s="238">
        <f>+('Set Up Assumptions'!$H$7*'Set Up Assumptions'!$H10)*(1-Scenarios!O32)*Scenarios!O37</f>
        <v>21460.499999999996</v>
      </c>
    </row>
    <row r="7" spans="1:50">
      <c r="A7" s="245"/>
      <c r="B7" s="235" t="str">
        <f>+'Set Up Assumptions'!F11</f>
        <v>Microprocessors</v>
      </c>
      <c r="C7" s="236"/>
      <c r="D7" s="236"/>
      <c r="E7" s="268">
        <f>+('Set Up Assumptions'!$H$7*'Set Up Assumptions'!$H11)*(1-Scenarios!F33)</f>
        <v>40787.5</v>
      </c>
      <c r="F7" s="277"/>
      <c r="G7" s="277"/>
      <c r="H7" s="277"/>
      <c r="I7" s="277"/>
      <c r="J7" s="277"/>
      <c r="K7" s="277"/>
      <c r="L7" s="277"/>
      <c r="M7" s="277"/>
      <c r="N7" s="277"/>
      <c r="O7" s="277"/>
      <c r="P7" s="277"/>
      <c r="Q7" s="277"/>
      <c r="R7" s="268">
        <f>+('Set Up Assumptions'!$H$7*'Set Up Assumptions'!$H11)*(1-Scenarios!G33)*Scenarios!G38</f>
        <v>32630</v>
      </c>
      <c r="S7" s="277"/>
      <c r="T7" s="277"/>
      <c r="U7" s="277"/>
      <c r="V7" s="277"/>
      <c r="W7" s="277"/>
      <c r="X7" s="277"/>
      <c r="Y7" s="277"/>
      <c r="Z7" s="277"/>
      <c r="AA7" s="277"/>
      <c r="AB7" s="277"/>
      <c r="AC7" s="277"/>
      <c r="AD7" s="277"/>
      <c r="AE7" s="268">
        <f>+('Set Up Assumptions'!$H$7*'Set Up Assumptions'!$H11)*(1-Scenarios!H33)*Scenarios!H38</f>
        <v>27735.499999999993</v>
      </c>
      <c r="AF7" s="277"/>
      <c r="AG7" s="277"/>
      <c r="AH7" s="277"/>
      <c r="AI7" s="277"/>
      <c r="AJ7" s="277"/>
      <c r="AK7" s="277"/>
      <c r="AL7" s="277"/>
      <c r="AM7" s="277"/>
      <c r="AN7" s="277"/>
      <c r="AO7" s="277"/>
      <c r="AP7" s="277"/>
      <c r="AQ7" s="277"/>
      <c r="AR7" s="268">
        <f>+('Set Up Assumptions'!$H$7*'Set Up Assumptions'!$H11)*(1-Scenarios!I33)*Scenarios!I38</f>
        <v>27735.499999999993</v>
      </c>
      <c r="AS7" s="239">
        <f>+('Set Up Assumptions'!$H$7*'Set Up Assumptions'!$H11)*(1-Scenarios!J33)*Scenarios!J38</f>
        <v>20801.625000000004</v>
      </c>
      <c r="AT7" s="239">
        <f>+('Set Up Assumptions'!$H$7*'Set Up Assumptions'!$H11)*(1-Scenarios!K33)*Scenarios!K38</f>
        <v>22025.250000000004</v>
      </c>
      <c r="AU7" s="239">
        <f>+('Set Up Assumptions'!$H$7*'Set Up Assumptions'!$H11)*(1-Scenarios!L33)*Scenarios!L38</f>
        <v>22025.250000000004</v>
      </c>
      <c r="AV7" s="239">
        <f>+('Set Up Assumptions'!$H$7*'Set Up Assumptions'!$H11)*(1-Scenarios!M33)*Scenarios!M38</f>
        <v>14683.499999999996</v>
      </c>
      <c r="AW7" s="239">
        <f>+('Set Up Assumptions'!$H$7*'Set Up Assumptions'!$H11)*(1-Scenarios!N33)*Scenarios!N38</f>
        <v>15499.249999999996</v>
      </c>
      <c r="AX7" s="240">
        <f>+('Set Up Assumptions'!$H$7*'Set Up Assumptions'!$H11)*(1-Scenarios!O33)*Scenarios!O38</f>
        <v>15499.249999999996</v>
      </c>
    </row>
    <row r="8" spans="1:50">
      <c r="A8" s="245"/>
      <c r="B8" s="235" t="str">
        <f>+'Set Up Assumptions'!F12</f>
        <v>Standard Chips</v>
      </c>
      <c r="C8" s="236"/>
      <c r="D8" s="236"/>
      <c r="E8" s="268">
        <f>+('Set Up Assumptions'!$H$7*'Set Up Assumptions'!$H12)*(1-Scenarios!F34)</f>
        <v>100399.99999999997</v>
      </c>
      <c r="F8" s="277"/>
      <c r="G8" s="277"/>
      <c r="H8" s="277"/>
      <c r="I8" s="277"/>
      <c r="J8" s="277"/>
      <c r="K8" s="277"/>
      <c r="L8" s="277"/>
      <c r="M8" s="277"/>
      <c r="N8" s="277"/>
      <c r="O8" s="277"/>
      <c r="P8" s="277"/>
      <c r="Q8" s="277"/>
      <c r="R8" s="268">
        <f>+('Set Up Assumptions'!$H$7*'Set Up Assumptions'!$H12)*(1-Scenarios!G34)*Scenarios!G39</f>
        <v>85339.999999999985</v>
      </c>
      <c r="S8" s="277"/>
      <c r="T8" s="277"/>
      <c r="U8" s="277"/>
      <c r="V8" s="277"/>
      <c r="W8" s="277"/>
      <c r="X8" s="277"/>
      <c r="Y8" s="277"/>
      <c r="Z8" s="277"/>
      <c r="AA8" s="277"/>
      <c r="AB8" s="277"/>
      <c r="AC8" s="277"/>
      <c r="AD8" s="277"/>
      <c r="AE8" s="268">
        <f>+('Set Up Assumptions'!$H$7*'Set Up Assumptions'!$H12)*(1-Scenarios!H34)*Scenarios!H39</f>
        <v>67769.999999999956</v>
      </c>
      <c r="AF8" s="277"/>
      <c r="AG8" s="277"/>
      <c r="AH8" s="277"/>
      <c r="AI8" s="277"/>
      <c r="AJ8" s="277"/>
      <c r="AK8" s="277"/>
      <c r="AL8" s="277"/>
      <c r="AM8" s="277"/>
      <c r="AN8" s="277"/>
      <c r="AO8" s="277"/>
      <c r="AP8" s="277"/>
      <c r="AQ8" s="277"/>
      <c r="AR8" s="268">
        <f>+('Set Up Assumptions'!$H$7*'Set Up Assumptions'!$H12)*(1-Scenarios!I34)*Scenarios!I39</f>
        <v>67769.999999999956</v>
      </c>
      <c r="AS8" s="239">
        <f>+('Set Up Assumptions'!$H$7*'Set Up Assumptions'!$H12)*(1-Scenarios!J34)*Scenarios!J39</f>
        <v>45179.999999999985</v>
      </c>
      <c r="AT8" s="239">
        <f>+('Set Up Assumptions'!$H$7*'Set Up Assumptions'!$H12)*(1-Scenarios!K34)*Scenarios!K39</f>
        <v>47689.999999999993</v>
      </c>
      <c r="AU8" s="239">
        <f>+('Set Up Assumptions'!$H$7*'Set Up Assumptions'!$H12)*(1-Scenarios!L34)*Scenarios!L39</f>
        <v>47689.999999999993</v>
      </c>
      <c r="AV8" s="239">
        <f>+('Set Up Assumptions'!$H$7*'Set Up Assumptions'!$H12)*(1-Scenarios!M34)*Scenarios!M39</f>
        <v>23844.999999999971</v>
      </c>
      <c r="AW8" s="239">
        <f>+('Set Up Assumptions'!$H$7*'Set Up Assumptions'!$H12)*(1-Scenarios!N34)*Scenarios!N39</f>
        <v>25099.999999999967</v>
      </c>
      <c r="AX8" s="240">
        <f>+('Set Up Assumptions'!$H$7*'Set Up Assumptions'!$H12)*(1-Scenarios!O34)*Scenarios!O39</f>
        <v>25099.999999999967</v>
      </c>
    </row>
    <row r="9" spans="1:50" ht="14.4" thickBot="1">
      <c r="A9" s="246"/>
      <c r="B9" s="243" t="str">
        <f>+'Set Up Assumptions'!F13</f>
        <v>Systems-on-a-Chip (SoCs)</v>
      </c>
      <c r="C9" s="264"/>
      <c r="D9" s="264"/>
      <c r="E9" s="269">
        <f>+('Set Up Assumptions'!$H$7*'Set Up Assumptions'!$H13)*(1-Scenarios!F35)</f>
        <v>22590.000000000004</v>
      </c>
      <c r="F9" s="278"/>
      <c r="G9" s="278"/>
      <c r="H9" s="278"/>
      <c r="I9" s="278"/>
      <c r="J9" s="278"/>
      <c r="K9" s="278"/>
      <c r="L9" s="278"/>
      <c r="M9" s="278"/>
      <c r="N9" s="278"/>
      <c r="O9" s="278"/>
      <c r="P9" s="278"/>
      <c r="Q9" s="278"/>
      <c r="R9" s="269">
        <f>+('Set Up Assumptions'!$H$7*'Set Up Assumptions'!$H13)*(1-Scenarios!G35)*Scenarios!G40</f>
        <v>16942.500000000004</v>
      </c>
      <c r="S9" s="278"/>
      <c r="T9" s="278"/>
      <c r="U9" s="278"/>
      <c r="V9" s="278"/>
      <c r="W9" s="278"/>
      <c r="X9" s="278"/>
      <c r="Y9" s="278"/>
      <c r="Z9" s="278"/>
      <c r="AA9" s="278"/>
      <c r="AB9" s="278"/>
      <c r="AC9" s="278"/>
      <c r="AD9" s="278"/>
      <c r="AE9" s="269">
        <f>+('Set Up Assumptions'!$H$7*'Set Up Assumptions'!$H13)*(1-Scenarios!H35)*Scenarios!H40</f>
        <v>15059.999999999998</v>
      </c>
      <c r="AF9" s="278"/>
      <c r="AG9" s="278"/>
      <c r="AH9" s="278"/>
      <c r="AI9" s="278"/>
      <c r="AJ9" s="278"/>
      <c r="AK9" s="278"/>
      <c r="AL9" s="278"/>
      <c r="AM9" s="278"/>
      <c r="AN9" s="278"/>
      <c r="AO9" s="278"/>
      <c r="AP9" s="278"/>
      <c r="AQ9" s="278"/>
      <c r="AR9" s="269">
        <f>+('Set Up Assumptions'!$H$7*'Set Up Assumptions'!$H13)*(1-Scenarios!I35)*Scenarios!I40</f>
        <v>15059.999999999998</v>
      </c>
      <c r="AS9" s="241">
        <f>+('Set Up Assumptions'!$H$7*'Set Up Assumptions'!$H13)*(1-Scenarios!J35)*Scenarios!J40</f>
        <v>12048.000000000004</v>
      </c>
      <c r="AT9" s="241">
        <f>+('Set Up Assumptions'!$H$7*'Set Up Assumptions'!$H13)*(1-Scenarios!K35)*Scenarios!K40</f>
        <v>12801.000000000004</v>
      </c>
      <c r="AU9" s="241">
        <f>+('Set Up Assumptions'!$H$7*'Set Up Assumptions'!$H13)*(1-Scenarios!L35)*Scenarios!L40</f>
        <v>12801.000000000004</v>
      </c>
      <c r="AV9" s="241">
        <f>+('Set Up Assumptions'!$H$7*'Set Up Assumptions'!$H13)*(1-Scenarios!M35)*Scenarios!M40</f>
        <v>9600.7500000000018</v>
      </c>
      <c r="AW9" s="241">
        <f>+('Set Up Assumptions'!$H$7*'Set Up Assumptions'!$H13)*(1-Scenarios!N35)*Scenarios!N40</f>
        <v>10165.5</v>
      </c>
      <c r="AX9" s="242">
        <f>+('Set Up Assumptions'!$H$7*'Set Up Assumptions'!$H13)*(1-Scenarios!O35)*Scenarios!O40</f>
        <v>10165.5</v>
      </c>
    </row>
    <row r="10" spans="1:50" ht="14.4" thickBot="1"/>
    <row r="11" spans="1:50" ht="14.4" thickBot="1">
      <c r="A11" s="244" t="s">
        <v>379</v>
      </c>
      <c r="B11" s="234" t="s">
        <v>45</v>
      </c>
      <c r="C11" s="263"/>
      <c r="D11" s="263"/>
      <c r="E11" s="267">
        <f>(+'Set Up Assumptions'!$H$7*'Set Up Assumptions'!$H10)*(Scenarios!F10)</f>
        <v>158130</v>
      </c>
      <c r="F11" s="276">
        <f>+$R11*'Monthly CF Budget Allocation'!D10</f>
        <v>13011.84</v>
      </c>
      <c r="G11" s="276">
        <f>+$R11*'Monthly CF Budget Allocation'!E10</f>
        <v>16264.800000000001</v>
      </c>
      <c r="H11" s="276">
        <f>+$R11*'Monthly CF Budget Allocation'!F10</f>
        <v>16264.800000000001</v>
      </c>
      <c r="I11" s="276">
        <f>+$R11*'Monthly CF Budget Allocation'!G10</f>
        <v>13011.84</v>
      </c>
      <c r="J11" s="276">
        <f>+$R11*'Monthly CF Budget Allocation'!H10</f>
        <v>13011.84</v>
      </c>
      <c r="K11" s="276">
        <f>+$R11*'Monthly CF Budget Allocation'!I10</f>
        <v>13011.84</v>
      </c>
      <c r="L11" s="276">
        <f>+$R11*'Monthly CF Budget Allocation'!J10</f>
        <v>13011.84</v>
      </c>
      <c r="M11" s="276">
        <f>+$R11*'Monthly CF Budget Allocation'!K10</f>
        <v>13011.84</v>
      </c>
      <c r="N11" s="276">
        <f>+$R11*'Monthly CF Budget Allocation'!L10</f>
        <v>13011.84</v>
      </c>
      <c r="O11" s="276">
        <f>+$R11*'Monthly CF Budget Allocation'!M10</f>
        <v>13011.84</v>
      </c>
      <c r="P11" s="276">
        <f>+$R11*'Monthly CF Budget Allocation'!N10</f>
        <v>9758.8799999999992</v>
      </c>
      <c r="Q11" s="276">
        <f>+$R11*'Monthly CF Budget Allocation'!O10</f>
        <v>16264.800000000001</v>
      </c>
      <c r="R11" s="267">
        <f>(+'Set Up Assumptions'!$H$7*'Set Up Assumptions'!$H10)*(Scenarios!G10)</f>
        <v>162648</v>
      </c>
      <c r="S11" s="276">
        <f>+$AE11*'Monthly CF Budget Allocation'!D10</f>
        <v>13554</v>
      </c>
      <c r="T11" s="276">
        <f>+$AE11*'Monthly CF Budget Allocation'!E10</f>
        <v>16942.5</v>
      </c>
      <c r="U11" s="276">
        <f>+$AE11*'Monthly CF Budget Allocation'!F10</f>
        <v>16942.5</v>
      </c>
      <c r="V11" s="276">
        <f>+$AE11*'Monthly CF Budget Allocation'!G10</f>
        <v>13554</v>
      </c>
      <c r="W11" s="276">
        <f>+$AE11*'Monthly CF Budget Allocation'!H10</f>
        <v>13554</v>
      </c>
      <c r="X11" s="276">
        <f>+$AE11*'Monthly CF Budget Allocation'!I10</f>
        <v>13554</v>
      </c>
      <c r="Y11" s="276">
        <f>+$AE11*'Monthly CF Budget Allocation'!J10</f>
        <v>13554</v>
      </c>
      <c r="Z11" s="276">
        <f>+$AE11*'Monthly CF Budget Allocation'!K10</f>
        <v>13554</v>
      </c>
      <c r="AA11" s="276">
        <f>+$AE11*'Monthly CF Budget Allocation'!L10</f>
        <v>13554</v>
      </c>
      <c r="AB11" s="276">
        <f>+$AE11*'Monthly CF Budget Allocation'!M10</f>
        <v>13554</v>
      </c>
      <c r="AC11" s="276">
        <f>+$AE11*'Monthly CF Budget Allocation'!N10</f>
        <v>10165.5</v>
      </c>
      <c r="AD11" s="276">
        <f>+$AE11*'Monthly CF Budget Allocation'!O10</f>
        <v>16942.5</v>
      </c>
      <c r="AE11" s="267">
        <f>(+'Set Up Assumptions'!$H$7*'Set Up Assumptions'!$H10)*(Scenarios!H10)</f>
        <v>169425</v>
      </c>
      <c r="AF11" s="276">
        <f>+$AR11*'Monthly CF Budget Allocation'!D10</f>
        <v>13915.44</v>
      </c>
      <c r="AG11" s="276">
        <f>+$AR11*'Monthly CF Budget Allocation'!E10</f>
        <v>17394.3</v>
      </c>
      <c r="AH11" s="276">
        <f>+$AR11*'Monthly CF Budget Allocation'!F10</f>
        <v>17394.3</v>
      </c>
      <c r="AI11" s="276">
        <f>+$AR11*'Monthly CF Budget Allocation'!G10</f>
        <v>13915.44</v>
      </c>
      <c r="AJ11" s="276">
        <f>+$AR11*'Monthly CF Budget Allocation'!H10</f>
        <v>13915.44</v>
      </c>
      <c r="AK11" s="276">
        <f>+$AR11*'Monthly CF Budget Allocation'!I10</f>
        <v>13915.44</v>
      </c>
      <c r="AL11" s="276">
        <f>+$AR11*'Monthly CF Budget Allocation'!J10</f>
        <v>13915.44</v>
      </c>
      <c r="AM11" s="276">
        <f>+$AR11*'Monthly CF Budget Allocation'!K10</f>
        <v>13915.44</v>
      </c>
      <c r="AN11" s="276">
        <f>+$AR11*'Monthly CF Budget Allocation'!L10</f>
        <v>13915.44</v>
      </c>
      <c r="AO11" s="276">
        <f>+$AR11*'Monthly CF Budget Allocation'!M10</f>
        <v>13915.44</v>
      </c>
      <c r="AP11" s="276">
        <f>+$AR11*'Monthly CF Budget Allocation'!N10</f>
        <v>10436.58</v>
      </c>
      <c r="AQ11" s="276">
        <f>+$AR11*'Monthly CF Budget Allocation'!O10</f>
        <v>17394.3</v>
      </c>
      <c r="AR11" s="267">
        <f>(+'Set Up Assumptions'!$H$7*'Set Up Assumptions'!$H10)*(Scenarios!I10)</f>
        <v>173943</v>
      </c>
      <c r="AS11" s="237">
        <f>(+'Set Up Assumptions'!$H$7*'Set Up Assumptions'!$H10)*(Scenarios!J10)</f>
        <v>180720</v>
      </c>
      <c r="AT11" s="237">
        <f>(+'Set Up Assumptions'!$H$7*'Set Up Assumptions'!$H10)*(Scenarios!K10)</f>
        <v>185238</v>
      </c>
      <c r="AU11" s="237">
        <f>(+'Set Up Assumptions'!$H$7*'Set Up Assumptions'!$H10)*(Scenarios!L10)</f>
        <v>192015</v>
      </c>
      <c r="AV11" s="237">
        <f>(+'Set Up Assumptions'!$H$7*'Set Up Assumptions'!$H10)*(Scenarios!M10)</f>
        <v>203310</v>
      </c>
      <c r="AW11" s="237">
        <f>(+'Set Up Assumptions'!$H$7*'Set Up Assumptions'!$H10)*(Scenarios!N10)</f>
        <v>207828</v>
      </c>
      <c r="AX11" s="238">
        <f>(+'Set Up Assumptions'!$H$7*'Set Up Assumptions'!$H10)*(Scenarios!O10)</f>
        <v>214605</v>
      </c>
    </row>
    <row r="12" spans="1:50" ht="14.4" thickBot="1">
      <c r="A12" s="245"/>
      <c r="B12" s="235" t="str">
        <f>+'Set Up Assumptions'!F18</f>
        <v>Microprocessors</v>
      </c>
      <c r="C12" s="236"/>
      <c r="D12" s="236"/>
      <c r="E12" s="268">
        <f>(+'Set Up Assumptions'!$H$7*'Set Up Assumptions'!$H11)*(Scenarios!F15)</f>
        <v>117468</v>
      </c>
      <c r="F12" s="276">
        <f>+$R12*'Monthly CF Budget Allocation'!D11</f>
        <v>9789</v>
      </c>
      <c r="G12" s="276">
        <f>+$R12*'Monthly CF Budget Allocation'!E11</f>
        <v>12236.25</v>
      </c>
      <c r="H12" s="276">
        <f>+$R12*'Monthly CF Budget Allocation'!F11</f>
        <v>12236.25</v>
      </c>
      <c r="I12" s="276">
        <f>+$R12*'Monthly CF Budget Allocation'!G11</f>
        <v>9789</v>
      </c>
      <c r="J12" s="276">
        <f>+$R12*'Monthly CF Budget Allocation'!H11</f>
        <v>9789</v>
      </c>
      <c r="K12" s="276">
        <f>+$R12*'Monthly CF Budget Allocation'!I11</f>
        <v>9789</v>
      </c>
      <c r="L12" s="276">
        <f>+$R12*'Monthly CF Budget Allocation'!J11</f>
        <v>9789</v>
      </c>
      <c r="M12" s="276">
        <f>+$R12*'Monthly CF Budget Allocation'!K11</f>
        <v>9789</v>
      </c>
      <c r="N12" s="276">
        <f>+$R12*'Monthly CF Budget Allocation'!L11</f>
        <v>9789</v>
      </c>
      <c r="O12" s="276">
        <f>+$R12*'Monthly CF Budget Allocation'!M11</f>
        <v>9789</v>
      </c>
      <c r="P12" s="276">
        <f>+$R12*'Monthly CF Budget Allocation'!N11</f>
        <v>7341.75</v>
      </c>
      <c r="Q12" s="276">
        <f>+$R12*'Monthly CF Budget Allocation'!O11</f>
        <v>12236.25</v>
      </c>
      <c r="R12" s="268">
        <f>(+'Set Up Assumptions'!$H$7*'Set Up Assumptions'!$H11)*(Scenarios!G15)</f>
        <v>122362.5</v>
      </c>
      <c r="S12" s="276">
        <f>+$AE12*'Monthly CF Budget Allocation'!D11</f>
        <v>10180.56</v>
      </c>
      <c r="T12" s="276">
        <f>+$AE12*'Monthly CF Budget Allocation'!E11</f>
        <v>12725.7</v>
      </c>
      <c r="U12" s="276">
        <f>+$AE12*'Monthly CF Budget Allocation'!F11</f>
        <v>12725.7</v>
      </c>
      <c r="V12" s="276">
        <f>+$AE12*'Monthly CF Budget Allocation'!G11</f>
        <v>10180.56</v>
      </c>
      <c r="W12" s="276">
        <f>+$AE12*'Monthly CF Budget Allocation'!H11</f>
        <v>10180.56</v>
      </c>
      <c r="X12" s="276">
        <f>+$AE12*'Monthly CF Budget Allocation'!I11</f>
        <v>10180.56</v>
      </c>
      <c r="Y12" s="276">
        <f>+$AE12*'Monthly CF Budget Allocation'!J11</f>
        <v>10180.56</v>
      </c>
      <c r="Z12" s="276">
        <f>+$AE12*'Monthly CF Budget Allocation'!K11</f>
        <v>10180.56</v>
      </c>
      <c r="AA12" s="276">
        <f>+$AE12*'Monthly CF Budget Allocation'!L11</f>
        <v>10180.56</v>
      </c>
      <c r="AB12" s="276">
        <f>+$AE12*'Monthly CF Budget Allocation'!M11</f>
        <v>10180.56</v>
      </c>
      <c r="AC12" s="276">
        <f>+$AE12*'Monthly CF Budget Allocation'!N11</f>
        <v>7635.42</v>
      </c>
      <c r="AD12" s="276">
        <f>+$AE12*'Monthly CF Budget Allocation'!O11</f>
        <v>12725.7</v>
      </c>
      <c r="AE12" s="268">
        <f>(+'Set Up Assumptions'!$H$7*'Set Up Assumptions'!$H11)*(Scenarios!H15)</f>
        <v>127257</v>
      </c>
      <c r="AF12" s="276">
        <f>+$AR12*'Monthly CF Budget Allocation'!D11</f>
        <v>10441.6</v>
      </c>
      <c r="AG12" s="276">
        <f>+$AR12*'Monthly CF Budget Allocation'!E11</f>
        <v>13052</v>
      </c>
      <c r="AH12" s="276">
        <f>+$AR12*'Monthly CF Budget Allocation'!F11</f>
        <v>13052</v>
      </c>
      <c r="AI12" s="276">
        <f>+$AR12*'Monthly CF Budget Allocation'!G11</f>
        <v>10441.6</v>
      </c>
      <c r="AJ12" s="276">
        <f>+$AR12*'Monthly CF Budget Allocation'!H11</f>
        <v>10441.6</v>
      </c>
      <c r="AK12" s="276">
        <f>+$AR12*'Monthly CF Budget Allocation'!I11</f>
        <v>10441.6</v>
      </c>
      <c r="AL12" s="276">
        <f>+$AR12*'Monthly CF Budget Allocation'!J11</f>
        <v>10441.6</v>
      </c>
      <c r="AM12" s="276">
        <f>+$AR12*'Monthly CF Budget Allocation'!K11</f>
        <v>10441.6</v>
      </c>
      <c r="AN12" s="276">
        <f>+$AR12*'Monthly CF Budget Allocation'!L11</f>
        <v>10441.6</v>
      </c>
      <c r="AO12" s="276">
        <f>+$AR12*'Monthly CF Budget Allocation'!M11</f>
        <v>10441.6</v>
      </c>
      <c r="AP12" s="276">
        <f>+$AR12*'Monthly CF Budget Allocation'!N11</f>
        <v>7831.2</v>
      </c>
      <c r="AQ12" s="276">
        <f>+$AR12*'Monthly CF Budget Allocation'!O11</f>
        <v>13052</v>
      </c>
      <c r="AR12" s="268">
        <f>(+'Set Up Assumptions'!$H$7*'Set Up Assumptions'!$H11)*(Scenarios!I15)</f>
        <v>130520</v>
      </c>
      <c r="AS12" s="239">
        <f>(+'Set Up Assumptions'!$H$7*'Set Up Assumptions'!$H11)*(Scenarios!J15)</f>
        <v>133783</v>
      </c>
      <c r="AT12" s="239">
        <f>(+'Set Up Assumptions'!$H$7*'Set Up Assumptions'!$H11)*(Scenarios!K15)</f>
        <v>138677.5</v>
      </c>
      <c r="AU12" s="239">
        <f>(+'Set Up Assumptions'!$H$7*'Set Up Assumptions'!$H11)*(Scenarios!L15)</f>
        <v>143572</v>
      </c>
      <c r="AV12" s="239">
        <f>(+'Set Up Assumptions'!$H$7*'Set Up Assumptions'!$H11)*(Scenarios!M15)</f>
        <v>146835</v>
      </c>
      <c r="AW12" s="239">
        <f>(+'Set Up Assumptions'!$H$7*'Set Up Assumptions'!$H11)*(Scenarios!N15)</f>
        <v>151729.5</v>
      </c>
      <c r="AX12" s="240">
        <f>(+'Set Up Assumptions'!$H$7*'Set Up Assumptions'!$H11)*(Scenarios!O15)</f>
        <v>156624</v>
      </c>
    </row>
    <row r="13" spans="1:50" ht="14.4" thickBot="1">
      <c r="A13" s="245"/>
      <c r="B13" s="235" t="str">
        <f>+'Set Up Assumptions'!F19</f>
        <v>Standard Chips (CICs)</v>
      </c>
      <c r="C13" s="236"/>
      <c r="D13" s="236"/>
      <c r="E13" s="268">
        <f>(+'Set Up Assumptions'!$H$7*'Set Up Assumptions'!$H12)*(Scenarios!F20)</f>
        <v>376500</v>
      </c>
      <c r="F13" s="276">
        <f>+$R13*'Monthly CF Budget Allocation'!D12</f>
        <v>31324.799999999999</v>
      </c>
      <c r="G13" s="276">
        <f>+$R13*'Monthly CF Budget Allocation'!E12</f>
        <v>39156</v>
      </c>
      <c r="H13" s="276">
        <f>+$R13*'Monthly CF Budget Allocation'!F12</f>
        <v>39156</v>
      </c>
      <c r="I13" s="276">
        <f>+$R13*'Monthly CF Budget Allocation'!G12</f>
        <v>31324.799999999999</v>
      </c>
      <c r="J13" s="276">
        <f>+$R13*'Monthly CF Budget Allocation'!H12</f>
        <v>31324.799999999999</v>
      </c>
      <c r="K13" s="276">
        <f>+$R13*'Monthly CF Budget Allocation'!I12</f>
        <v>31324.799999999999</v>
      </c>
      <c r="L13" s="276">
        <f>+$R13*'Monthly CF Budget Allocation'!J12</f>
        <v>31324.799999999999</v>
      </c>
      <c r="M13" s="276">
        <f>+$R13*'Monthly CF Budget Allocation'!K12</f>
        <v>31324.799999999999</v>
      </c>
      <c r="N13" s="276">
        <f>+$R13*'Monthly CF Budget Allocation'!L12</f>
        <v>31324.799999999999</v>
      </c>
      <c r="O13" s="276">
        <f>+$R13*'Monthly CF Budget Allocation'!M12</f>
        <v>31324.799999999999</v>
      </c>
      <c r="P13" s="276">
        <f>+$R13*'Monthly CF Budget Allocation'!N12</f>
        <v>23493.599999999999</v>
      </c>
      <c r="Q13" s="276">
        <f>+$R13*'Monthly CF Budget Allocation'!O12</f>
        <v>39156</v>
      </c>
      <c r="R13" s="268">
        <f>(+'Set Up Assumptions'!$H$7*'Set Up Assumptions'!$H12)*(Scenarios!G20)</f>
        <v>391560</v>
      </c>
      <c r="S13" s="276">
        <f>+$AE13*'Monthly CF Budget Allocation'!D12</f>
        <v>32128</v>
      </c>
      <c r="T13" s="276">
        <f>+$AE13*'Monthly CF Budget Allocation'!E12</f>
        <v>40160</v>
      </c>
      <c r="U13" s="276">
        <f>+$AE13*'Monthly CF Budget Allocation'!F12</f>
        <v>40160</v>
      </c>
      <c r="V13" s="276">
        <f>+$AE13*'Monthly CF Budget Allocation'!G12</f>
        <v>32128</v>
      </c>
      <c r="W13" s="276">
        <f>+$AE13*'Monthly CF Budget Allocation'!H12</f>
        <v>32128</v>
      </c>
      <c r="X13" s="276">
        <f>+$AE13*'Monthly CF Budget Allocation'!I12</f>
        <v>32128</v>
      </c>
      <c r="Y13" s="276">
        <f>+$AE13*'Monthly CF Budget Allocation'!J12</f>
        <v>32128</v>
      </c>
      <c r="Z13" s="276">
        <f>+$AE13*'Monthly CF Budget Allocation'!K12</f>
        <v>32128</v>
      </c>
      <c r="AA13" s="276">
        <f>+$AE13*'Monthly CF Budget Allocation'!L12</f>
        <v>32128</v>
      </c>
      <c r="AB13" s="276">
        <f>+$AE13*'Monthly CF Budget Allocation'!M12</f>
        <v>32128</v>
      </c>
      <c r="AC13" s="276">
        <f>+$AE13*'Monthly CF Budget Allocation'!N12</f>
        <v>24096</v>
      </c>
      <c r="AD13" s="276">
        <f>+$AE13*'Monthly CF Budget Allocation'!O12</f>
        <v>40160</v>
      </c>
      <c r="AE13" s="268">
        <f>(+'Set Up Assumptions'!$H$7*'Set Up Assumptions'!$H12)*(Scenarios!H20)</f>
        <v>401600</v>
      </c>
      <c r="AF13" s="276">
        <f>+$AR13*'Monthly CF Budget Allocation'!D12</f>
        <v>32931.199999999997</v>
      </c>
      <c r="AG13" s="276">
        <f>+$AR13*'Monthly CF Budget Allocation'!E12</f>
        <v>41164</v>
      </c>
      <c r="AH13" s="276">
        <f>+$AR13*'Monthly CF Budget Allocation'!F12</f>
        <v>41164</v>
      </c>
      <c r="AI13" s="276">
        <f>+$AR13*'Monthly CF Budget Allocation'!G12</f>
        <v>32931.199999999997</v>
      </c>
      <c r="AJ13" s="276">
        <f>+$AR13*'Monthly CF Budget Allocation'!H12</f>
        <v>32931.199999999997</v>
      </c>
      <c r="AK13" s="276">
        <f>+$AR13*'Monthly CF Budget Allocation'!I12</f>
        <v>32931.199999999997</v>
      </c>
      <c r="AL13" s="276">
        <f>+$AR13*'Monthly CF Budget Allocation'!J12</f>
        <v>32931.199999999997</v>
      </c>
      <c r="AM13" s="276">
        <f>+$AR13*'Monthly CF Budget Allocation'!K12</f>
        <v>32931.199999999997</v>
      </c>
      <c r="AN13" s="276">
        <f>+$AR13*'Monthly CF Budget Allocation'!L12</f>
        <v>32931.199999999997</v>
      </c>
      <c r="AO13" s="276">
        <f>+$AR13*'Monthly CF Budget Allocation'!M12</f>
        <v>32931.199999999997</v>
      </c>
      <c r="AP13" s="276">
        <f>+$AR13*'Monthly CF Budget Allocation'!N12</f>
        <v>24698.399999999998</v>
      </c>
      <c r="AQ13" s="276">
        <f>+$AR13*'Monthly CF Budget Allocation'!O12</f>
        <v>41164</v>
      </c>
      <c r="AR13" s="268">
        <f>(+'Set Up Assumptions'!$H$7*'Set Up Assumptions'!$H12)*(Scenarios!I20)</f>
        <v>411640</v>
      </c>
      <c r="AS13" s="239">
        <f>(+'Set Up Assumptions'!$H$7*'Set Up Assumptions'!$H12)*(Scenarios!J20)</f>
        <v>426700</v>
      </c>
      <c r="AT13" s="239">
        <f>(+'Set Up Assumptions'!$H$7*'Set Up Assumptions'!$H12)*(Scenarios!K20)</f>
        <v>436740</v>
      </c>
      <c r="AU13" s="239">
        <f>(+'Set Up Assumptions'!$H$7*'Set Up Assumptions'!$H12)*(Scenarios!L20)</f>
        <v>451800</v>
      </c>
      <c r="AV13" s="239">
        <f>(+'Set Up Assumptions'!$H$7*'Set Up Assumptions'!$H12)*(Scenarios!M20)</f>
        <v>461840</v>
      </c>
      <c r="AW13" s="239">
        <f>(+'Set Up Assumptions'!$H$7*'Set Up Assumptions'!$H12)*(Scenarios!N20)</f>
        <v>476900</v>
      </c>
      <c r="AX13" s="240">
        <f>(+'Set Up Assumptions'!$H$7*'Set Up Assumptions'!$H12)*(Scenarios!O20)</f>
        <v>486940</v>
      </c>
    </row>
    <row r="14" spans="1:50" ht="14.4" thickBot="1">
      <c r="A14" s="246"/>
      <c r="B14" s="243" t="str">
        <f>+'Set Up Assumptions'!F20</f>
        <v>Systems-on-a-Chip (SoCs)</v>
      </c>
      <c r="C14" s="264"/>
      <c r="D14" s="264"/>
      <c r="E14" s="269">
        <f>(+'Set Up Assumptions'!$H$7*'Set Up Assumptions'!$H13)*(Scenarios!F25)</f>
        <v>48945</v>
      </c>
      <c r="F14" s="276">
        <f>+$R14*'Monthly CF Budget Allocation'!D13</f>
        <v>4096.3200000000006</v>
      </c>
      <c r="G14" s="276">
        <f>+$R14*'Monthly CF Budget Allocation'!E13</f>
        <v>5120.4000000000015</v>
      </c>
      <c r="H14" s="276">
        <f>+$R14*'Monthly CF Budget Allocation'!F13</f>
        <v>5120.4000000000015</v>
      </c>
      <c r="I14" s="276">
        <f>+$R14*'Monthly CF Budget Allocation'!G13</f>
        <v>4096.3200000000006</v>
      </c>
      <c r="J14" s="276">
        <f>+$R14*'Monthly CF Budget Allocation'!H13</f>
        <v>4096.3200000000006</v>
      </c>
      <c r="K14" s="276">
        <f>+$R14*'Monthly CF Budget Allocation'!I13</f>
        <v>4096.3200000000006</v>
      </c>
      <c r="L14" s="276">
        <f>+$R14*'Monthly CF Budget Allocation'!J13</f>
        <v>4096.3200000000006</v>
      </c>
      <c r="M14" s="276">
        <f>+$R14*'Monthly CF Budget Allocation'!K13</f>
        <v>4096.3200000000006</v>
      </c>
      <c r="N14" s="276">
        <f>+$R14*'Monthly CF Budget Allocation'!L13</f>
        <v>4096.3200000000006</v>
      </c>
      <c r="O14" s="276">
        <f>+$R14*'Monthly CF Budget Allocation'!M13</f>
        <v>4096.3200000000006</v>
      </c>
      <c r="P14" s="276">
        <f>+$R14*'Monthly CF Budget Allocation'!N13</f>
        <v>3072.2400000000002</v>
      </c>
      <c r="Q14" s="276">
        <f>+$R14*'Monthly CF Budget Allocation'!O13</f>
        <v>5120.4000000000015</v>
      </c>
      <c r="R14" s="269">
        <f>(+'Set Up Assumptions'!$H$7*'Set Up Assumptions'!$H13)*(Scenarios!G25)</f>
        <v>51204.000000000007</v>
      </c>
      <c r="S14" s="276">
        <f>+$AE14*'Monthly CF Budget Allocation'!D13</f>
        <v>4397.5200000000004</v>
      </c>
      <c r="T14" s="276">
        <f>+$AE14*'Monthly CF Budget Allocation'!E13</f>
        <v>5496.9000000000005</v>
      </c>
      <c r="U14" s="276">
        <f>+$AE14*'Monthly CF Budget Allocation'!F13</f>
        <v>5496.9000000000005</v>
      </c>
      <c r="V14" s="276">
        <f>+$AE14*'Monthly CF Budget Allocation'!G13</f>
        <v>4397.5200000000004</v>
      </c>
      <c r="W14" s="276">
        <f>+$AE14*'Monthly CF Budget Allocation'!H13</f>
        <v>4397.5200000000004</v>
      </c>
      <c r="X14" s="276">
        <f>+$AE14*'Monthly CF Budget Allocation'!I13</f>
        <v>4397.5200000000004</v>
      </c>
      <c r="Y14" s="276">
        <f>+$AE14*'Monthly CF Budget Allocation'!J13</f>
        <v>4397.5200000000004</v>
      </c>
      <c r="Z14" s="276">
        <f>+$AE14*'Monthly CF Budget Allocation'!K13</f>
        <v>4397.5200000000004</v>
      </c>
      <c r="AA14" s="276">
        <f>+$AE14*'Monthly CF Budget Allocation'!L13</f>
        <v>4397.5200000000004</v>
      </c>
      <c r="AB14" s="276">
        <f>+$AE14*'Monthly CF Budget Allocation'!M13</f>
        <v>4397.5200000000004</v>
      </c>
      <c r="AC14" s="276">
        <f>+$AE14*'Monthly CF Budget Allocation'!N13</f>
        <v>3298.14</v>
      </c>
      <c r="AD14" s="276">
        <f>+$AE14*'Monthly CF Budget Allocation'!O13</f>
        <v>5496.9000000000005</v>
      </c>
      <c r="AE14" s="269">
        <f>(+'Set Up Assumptions'!$H$7*'Set Up Assumptions'!$H13)*(Scenarios!H25)</f>
        <v>54969</v>
      </c>
      <c r="AF14" s="276">
        <f>+$AR14*'Monthly CF Budget Allocation'!D13</f>
        <v>4518</v>
      </c>
      <c r="AG14" s="276">
        <f>+$AR14*'Monthly CF Budget Allocation'!E13</f>
        <v>5647.5</v>
      </c>
      <c r="AH14" s="276">
        <f>+$AR14*'Monthly CF Budget Allocation'!F13</f>
        <v>5647.5</v>
      </c>
      <c r="AI14" s="276">
        <f>+$AR14*'Monthly CF Budget Allocation'!G13</f>
        <v>4518</v>
      </c>
      <c r="AJ14" s="276">
        <f>+$AR14*'Monthly CF Budget Allocation'!H13</f>
        <v>4518</v>
      </c>
      <c r="AK14" s="276">
        <f>+$AR14*'Monthly CF Budget Allocation'!I13</f>
        <v>4518</v>
      </c>
      <c r="AL14" s="276">
        <f>+$AR14*'Monthly CF Budget Allocation'!J13</f>
        <v>4518</v>
      </c>
      <c r="AM14" s="276">
        <f>+$AR14*'Monthly CF Budget Allocation'!K13</f>
        <v>4518</v>
      </c>
      <c r="AN14" s="276">
        <f>+$AR14*'Monthly CF Budget Allocation'!L13</f>
        <v>4518</v>
      </c>
      <c r="AO14" s="276">
        <f>+$AR14*'Monthly CF Budget Allocation'!M13</f>
        <v>4518</v>
      </c>
      <c r="AP14" s="276">
        <f>+$AR14*'Monthly CF Budget Allocation'!N13</f>
        <v>3388.5</v>
      </c>
      <c r="AQ14" s="276">
        <f>+$AR14*'Monthly CF Budget Allocation'!O13</f>
        <v>5647.5</v>
      </c>
      <c r="AR14" s="269">
        <f>(+'Set Up Assumptions'!$H$7*'Set Up Assumptions'!$H13)*(Scenarios!I25)</f>
        <v>56475</v>
      </c>
      <c r="AS14" s="241">
        <f>(+'Set Up Assumptions'!$H$7*'Set Up Assumptions'!$H13)*(Scenarios!J25)</f>
        <v>60240</v>
      </c>
      <c r="AT14" s="241">
        <f>(+'Set Up Assumptions'!$H$7*'Set Up Assumptions'!$H13)*(Scenarios!K25)</f>
        <v>61745.999999999993</v>
      </c>
      <c r="AU14" s="241">
        <f>(+'Set Up Assumptions'!$H$7*'Set Up Assumptions'!$H13)*(Scenarios!L25)</f>
        <v>64005</v>
      </c>
      <c r="AV14" s="241">
        <f>(+'Set Up Assumptions'!$H$7*'Set Up Assumptions'!$H13)*(Scenarios!M25)</f>
        <v>67770</v>
      </c>
      <c r="AW14" s="241">
        <f>(+'Set Up Assumptions'!$H$7*'Set Up Assumptions'!$H13)*(Scenarios!N25)</f>
        <v>69276</v>
      </c>
      <c r="AX14" s="242">
        <f>(+'Set Up Assumptions'!$H$7*'Set Up Assumptions'!$H13)*(Scenarios!O25)</f>
        <v>71535</v>
      </c>
    </row>
    <row r="15" spans="1:50" ht="14.4" thickBot="1"/>
    <row r="16" spans="1:50" ht="14.4" thickBot="1">
      <c r="A16" s="244" t="s">
        <v>380</v>
      </c>
      <c r="B16" s="234" t="s">
        <v>45</v>
      </c>
      <c r="C16" s="263"/>
      <c r="D16" s="263"/>
      <c r="E16" s="267">
        <f>+E11*Scenarios!F$32</f>
        <v>118597.5</v>
      </c>
      <c r="F16" s="276">
        <f>+F11*Scenarios!$G$32</f>
        <v>9758.880000000001</v>
      </c>
      <c r="G16" s="276">
        <f>+G11*Scenarios!$G$32</f>
        <v>12198.6</v>
      </c>
      <c r="H16" s="276">
        <f>+H11*Scenarios!$G$32</f>
        <v>12198.6</v>
      </c>
      <c r="I16" s="276">
        <f>+I11*Scenarios!$G$32</f>
        <v>9758.880000000001</v>
      </c>
      <c r="J16" s="276">
        <f>+J11*Scenarios!$G$32</f>
        <v>9758.880000000001</v>
      </c>
      <c r="K16" s="276">
        <f>+K11*Scenarios!$G$32</f>
        <v>9758.880000000001</v>
      </c>
      <c r="L16" s="276">
        <f>+L11*Scenarios!$G$32</f>
        <v>9758.880000000001</v>
      </c>
      <c r="M16" s="276">
        <f>+M11*Scenarios!$G$32</f>
        <v>9758.880000000001</v>
      </c>
      <c r="N16" s="276">
        <f>+N11*Scenarios!$G$32</f>
        <v>9758.880000000001</v>
      </c>
      <c r="O16" s="276">
        <f>+O11*Scenarios!$G$32</f>
        <v>9758.880000000001</v>
      </c>
      <c r="P16" s="276">
        <f>+P11*Scenarios!$G$32</f>
        <v>7319.16</v>
      </c>
      <c r="Q16" s="276">
        <f>+Q11*Scenarios!$G$32</f>
        <v>12198.6</v>
      </c>
      <c r="R16" s="267">
        <f>+R11*Scenarios!G$32</f>
        <v>121986</v>
      </c>
      <c r="S16" s="276">
        <f>+S11*Scenarios!$H$32</f>
        <v>10843.2</v>
      </c>
      <c r="T16" s="276">
        <f>+T11*Scenarios!$H$32</f>
        <v>13554</v>
      </c>
      <c r="U16" s="276">
        <f>+U11*Scenarios!$H$32</f>
        <v>13554</v>
      </c>
      <c r="V16" s="276">
        <f>+V11*Scenarios!$H$32</f>
        <v>10843.2</v>
      </c>
      <c r="W16" s="276">
        <f>+W11*Scenarios!$H$32</f>
        <v>10843.2</v>
      </c>
      <c r="X16" s="276">
        <f>+X11*Scenarios!$H$32</f>
        <v>10843.2</v>
      </c>
      <c r="Y16" s="276">
        <f>+Y11*Scenarios!$H$32</f>
        <v>10843.2</v>
      </c>
      <c r="Z16" s="276">
        <f>+Z11*Scenarios!$H$32</f>
        <v>10843.2</v>
      </c>
      <c r="AA16" s="276">
        <f>+AA11*Scenarios!$H$32</f>
        <v>10843.2</v>
      </c>
      <c r="AB16" s="276">
        <f>+AB11*Scenarios!$H$32</f>
        <v>10843.2</v>
      </c>
      <c r="AC16" s="276">
        <f>+AC11*Scenarios!$H$32</f>
        <v>8132.4000000000005</v>
      </c>
      <c r="AD16" s="276">
        <f>+AD11*Scenarios!$H$32</f>
        <v>13554</v>
      </c>
      <c r="AE16" s="267">
        <f>+AE11*Scenarios!H$32</f>
        <v>135540</v>
      </c>
      <c r="AF16" s="276">
        <f>+AF11*Scenarios!$I$32</f>
        <v>11132.352000000001</v>
      </c>
      <c r="AG16" s="276">
        <f>+AG11*Scenarios!$I$32</f>
        <v>13915.44</v>
      </c>
      <c r="AH16" s="276">
        <f>+AH11*Scenarios!$I$32</f>
        <v>13915.44</v>
      </c>
      <c r="AI16" s="276">
        <f>+AI11*Scenarios!$I$32</f>
        <v>11132.352000000001</v>
      </c>
      <c r="AJ16" s="276">
        <f>+AJ11*Scenarios!$I$32</f>
        <v>11132.352000000001</v>
      </c>
      <c r="AK16" s="276">
        <f>+AK11*Scenarios!$I$32</f>
        <v>11132.352000000001</v>
      </c>
      <c r="AL16" s="276">
        <f>+AL11*Scenarios!$I$32</f>
        <v>11132.352000000001</v>
      </c>
      <c r="AM16" s="276">
        <f>+AM11*Scenarios!$I$32</f>
        <v>11132.352000000001</v>
      </c>
      <c r="AN16" s="276">
        <f>+AN11*Scenarios!$I$32</f>
        <v>11132.352000000001</v>
      </c>
      <c r="AO16" s="276">
        <f>+AO11*Scenarios!$I$32</f>
        <v>11132.352000000001</v>
      </c>
      <c r="AP16" s="276">
        <f>+AP11*Scenarios!$I$32</f>
        <v>8349.264000000001</v>
      </c>
      <c r="AQ16" s="276">
        <f>+AQ11*Scenarios!$I$32</f>
        <v>13915.44</v>
      </c>
      <c r="AR16" s="267">
        <f>+AR11*Scenarios!I$32</f>
        <v>139154.4</v>
      </c>
      <c r="AS16" s="237">
        <f>+AS11*Scenarios!J$32</f>
        <v>153612</v>
      </c>
      <c r="AT16" s="237">
        <f>+AT11*Scenarios!K$32</f>
        <v>157452.29999999999</v>
      </c>
      <c r="AU16" s="237">
        <f>+AU11*Scenarios!L$32</f>
        <v>163212.75</v>
      </c>
      <c r="AV16" s="237">
        <f>+AV11*Scenarios!M$32</f>
        <v>182979</v>
      </c>
      <c r="AW16" s="237">
        <f>+AW11*Scenarios!N$32</f>
        <v>187045.2</v>
      </c>
      <c r="AX16" s="238">
        <f>+AX11*Scenarios!O$32</f>
        <v>193144.5</v>
      </c>
    </row>
    <row r="17" spans="1:50" ht="14.4" thickBot="1">
      <c r="A17" s="245"/>
      <c r="B17" s="235" t="s">
        <v>46</v>
      </c>
      <c r="C17" s="236"/>
      <c r="D17" s="236"/>
      <c r="E17" s="268">
        <f>+E12*Scenarios!F$32</f>
        <v>88101</v>
      </c>
      <c r="F17" s="276">
        <f>+F12*Scenarios!$G$32</f>
        <v>7341.75</v>
      </c>
      <c r="G17" s="276">
        <f>+G12*Scenarios!$G$32</f>
        <v>9177.1875</v>
      </c>
      <c r="H17" s="276">
        <f>+H12*Scenarios!$G$32</f>
        <v>9177.1875</v>
      </c>
      <c r="I17" s="276">
        <f>+I12*Scenarios!$G$32</f>
        <v>7341.75</v>
      </c>
      <c r="J17" s="276">
        <f>+J12*Scenarios!$G$32</f>
        <v>7341.75</v>
      </c>
      <c r="K17" s="276">
        <f>+K12*Scenarios!$G$32</f>
        <v>7341.75</v>
      </c>
      <c r="L17" s="276">
        <f>+L12*Scenarios!$G$32</f>
        <v>7341.75</v>
      </c>
      <c r="M17" s="276">
        <f>+M12*Scenarios!$G$32</f>
        <v>7341.75</v>
      </c>
      <c r="N17" s="276">
        <f>+N12*Scenarios!$G$32</f>
        <v>7341.75</v>
      </c>
      <c r="O17" s="276">
        <f>+O12*Scenarios!$G$32</f>
        <v>7341.75</v>
      </c>
      <c r="P17" s="276">
        <f>+P12*Scenarios!$G$32</f>
        <v>5506.3125</v>
      </c>
      <c r="Q17" s="276">
        <f>+Q12*Scenarios!$G$32</f>
        <v>9177.1875</v>
      </c>
      <c r="R17" s="268">
        <f>+R12*Scenarios!G$32</f>
        <v>91771.875</v>
      </c>
      <c r="S17" s="276">
        <f>+S12*Scenarios!$H$32</f>
        <v>8144.4480000000003</v>
      </c>
      <c r="T17" s="276">
        <f>+T12*Scenarios!$H$32</f>
        <v>10180.560000000001</v>
      </c>
      <c r="U17" s="276">
        <f>+U12*Scenarios!$H$32</f>
        <v>10180.560000000001</v>
      </c>
      <c r="V17" s="276">
        <f>+V12*Scenarios!$H$32</f>
        <v>8144.4480000000003</v>
      </c>
      <c r="W17" s="276">
        <f>+W12*Scenarios!$H$32</f>
        <v>8144.4480000000003</v>
      </c>
      <c r="X17" s="276">
        <f>+X12*Scenarios!$H$32</f>
        <v>8144.4480000000003</v>
      </c>
      <c r="Y17" s="276">
        <f>+Y12*Scenarios!$H$32</f>
        <v>8144.4480000000003</v>
      </c>
      <c r="Z17" s="276">
        <f>+Z12*Scenarios!$H$32</f>
        <v>8144.4480000000003</v>
      </c>
      <c r="AA17" s="276">
        <f>+AA12*Scenarios!$H$32</f>
        <v>8144.4480000000003</v>
      </c>
      <c r="AB17" s="276">
        <f>+AB12*Scenarios!$H$32</f>
        <v>8144.4480000000003</v>
      </c>
      <c r="AC17" s="276">
        <f>+AC12*Scenarios!$H$32</f>
        <v>6108.3360000000002</v>
      </c>
      <c r="AD17" s="276">
        <f>+AD12*Scenarios!$H$32</f>
        <v>10180.560000000001</v>
      </c>
      <c r="AE17" s="268">
        <f>+AE12*Scenarios!H$32</f>
        <v>101805.6</v>
      </c>
      <c r="AF17" s="276">
        <f>+AF12*Scenarios!$I$32</f>
        <v>8353.2800000000007</v>
      </c>
      <c r="AG17" s="276">
        <f>+AG12*Scenarios!$I$32</f>
        <v>10441.6</v>
      </c>
      <c r="AH17" s="276">
        <f>+AH12*Scenarios!$I$32</f>
        <v>10441.6</v>
      </c>
      <c r="AI17" s="276">
        <f>+AI12*Scenarios!$I$32</f>
        <v>8353.2800000000007</v>
      </c>
      <c r="AJ17" s="276">
        <f>+AJ12*Scenarios!$I$32</f>
        <v>8353.2800000000007</v>
      </c>
      <c r="AK17" s="276">
        <f>+AK12*Scenarios!$I$32</f>
        <v>8353.2800000000007</v>
      </c>
      <c r="AL17" s="276">
        <f>+AL12*Scenarios!$I$32</f>
        <v>8353.2800000000007</v>
      </c>
      <c r="AM17" s="276">
        <f>+AM12*Scenarios!$I$32</f>
        <v>8353.2800000000007</v>
      </c>
      <c r="AN17" s="276">
        <f>+AN12*Scenarios!$I$32</f>
        <v>8353.2800000000007</v>
      </c>
      <c r="AO17" s="276">
        <f>+AO12*Scenarios!$I$32</f>
        <v>8353.2800000000007</v>
      </c>
      <c r="AP17" s="276">
        <f>+AP12*Scenarios!$I$32</f>
        <v>6264.96</v>
      </c>
      <c r="AQ17" s="276">
        <f>+AQ12*Scenarios!$I$32</f>
        <v>10441.6</v>
      </c>
      <c r="AR17" s="268">
        <f>+AR12*Scenarios!I$32</f>
        <v>104416</v>
      </c>
      <c r="AS17" s="239">
        <f>+AS12*Scenarios!J$32</f>
        <v>113715.55</v>
      </c>
      <c r="AT17" s="239">
        <f>+AT12*Scenarios!K$32</f>
        <v>117875.875</v>
      </c>
      <c r="AU17" s="239">
        <f>+AU12*Scenarios!L$32</f>
        <v>122036.2</v>
      </c>
      <c r="AV17" s="239">
        <f>+AV12*Scenarios!M$32</f>
        <v>132151.5</v>
      </c>
      <c r="AW17" s="239">
        <f>+AW12*Scenarios!N$32</f>
        <v>136556.55000000002</v>
      </c>
      <c r="AX17" s="240">
        <f>+AX12*Scenarios!O$32</f>
        <v>140961.60000000001</v>
      </c>
    </row>
    <row r="18" spans="1:50" ht="14.4" thickBot="1">
      <c r="A18" s="245"/>
      <c r="B18" s="235" t="s">
        <v>52</v>
      </c>
      <c r="C18" s="236"/>
      <c r="D18" s="236"/>
      <c r="E18" s="268">
        <f>+E13*Scenarios!F$32</f>
        <v>282375</v>
      </c>
      <c r="F18" s="276">
        <f>+F13*Scenarios!$G$32</f>
        <v>23493.599999999999</v>
      </c>
      <c r="G18" s="276">
        <f>+G13*Scenarios!$G$32</f>
        <v>29367</v>
      </c>
      <c r="H18" s="276">
        <f>+H13*Scenarios!$G$32</f>
        <v>29367</v>
      </c>
      <c r="I18" s="276">
        <f>+I13*Scenarios!$G$32</f>
        <v>23493.599999999999</v>
      </c>
      <c r="J18" s="276">
        <f>+J13*Scenarios!$G$32</f>
        <v>23493.599999999999</v>
      </c>
      <c r="K18" s="276">
        <f>+K13*Scenarios!$G$32</f>
        <v>23493.599999999999</v>
      </c>
      <c r="L18" s="276">
        <f>+L13*Scenarios!$G$32</f>
        <v>23493.599999999999</v>
      </c>
      <c r="M18" s="276">
        <f>+M13*Scenarios!$G$32</f>
        <v>23493.599999999999</v>
      </c>
      <c r="N18" s="276">
        <f>+N13*Scenarios!$G$32</f>
        <v>23493.599999999999</v>
      </c>
      <c r="O18" s="276">
        <f>+O13*Scenarios!$G$32</f>
        <v>23493.599999999999</v>
      </c>
      <c r="P18" s="276">
        <f>+P13*Scenarios!$G$32</f>
        <v>17620.199999999997</v>
      </c>
      <c r="Q18" s="276">
        <f>+Q13*Scenarios!$G$32</f>
        <v>29367</v>
      </c>
      <c r="R18" s="268">
        <f>+R13*Scenarios!G$32</f>
        <v>293670</v>
      </c>
      <c r="S18" s="276">
        <f>+S13*Scenarios!$H$32</f>
        <v>25702.400000000001</v>
      </c>
      <c r="T18" s="276">
        <f>+T13*Scenarios!$H$32</f>
        <v>32128</v>
      </c>
      <c r="U18" s="276">
        <f>+U13*Scenarios!$H$32</f>
        <v>32128</v>
      </c>
      <c r="V18" s="276">
        <f>+V13*Scenarios!$H$32</f>
        <v>25702.400000000001</v>
      </c>
      <c r="W18" s="276">
        <f>+W13*Scenarios!$H$32</f>
        <v>25702.400000000001</v>
      </c>
      <c r="X18" s="276">
        <f>+X13*Scenarios!$H$32</f>
        <v>25702.400000000001</v>
      </c>
      <c r="Y18" s="276">
        <f>+Y13*Scenarios!$H$32</f>
        <v>25702.400000000001</v>
      </c>
      <c r="Z18" s="276">
        <f>+Z13*Scenarios!$H$32</f>
        <v>25702.400000000001</v>
      </c>
      <c r="AA18" s="276">
        <f>+AA13*Scenarios!$H$32</f>
        <v>25702.400000000001</v>
      </c>
      <c r="AB18" s="276">
        <f>+AB13*Scenarios!$H$32</f>
        <v>25702.400000000001</v>
      </c>
      <c r="AC18" s="276">
        <f>+AC13*Scenarios!$H$32</f>
        <v>19276.8</v>
      </c>
      <c r="AD18" s="276">
        <f>+AD13*Scenarios!$H$32</f>
        <v>32128</v>
      </c>
      <c r="AE18" s="268">
        <f>+AE13*Scenarios!H$32</f>
        <v>321280</v>
      </c>
      <c r="AF18" s="276">
        <f>+AF13*Scenarios!$I$32</f>
        <v>26344.959999999999</v>
      </c>
      <c r="AG18" s="276">
        <f>+AG13*Scenarios!$I$32</f>
        <v>32931.200000000004</v>
      </c>
      <c r="AH18" s="276">
        <f>+AH13*Scenarios!$I$32</f>
        <v>32931.200000000004</v>
      </c>
      <c r="AI18" s="276">
        <f>+AI13*Scenarios!$I$32</f>
        <v>26344.959999999999</v>
      </c>
      <c r="AJ18" s="276">
        <f>+AJ13*Scenarios!$I$32</f>
        <v>26344.959999999999</v>
      </c>
      <c r="AK18" s="276">
        <f>+AK13*Scenarios!$I$32</f>
        <v>26344.959999999999</v>
      </c>
      <c r="AL18" s="276">
        <f>+AL13*Scenarios!$I$32</f>
        <v>26344.959999999999</v>
      </c>
      <c r="AM18" s="276">
        <f>+AM13*Scenarios!$I$32</f>
        <v>26344.959999999999</v>
      </c>
      <c r="AN18" s="276">
        <f>+AN13*Scenarios!$I$32</f>
        <v>26344.959999999999</v>
      </c>
      <c r="AO18" s="276">
        <f>+AO13*Scenarios!$I$32</f>
        <v>26344.959999999999</v>
      </c>
      <c r="AP18" s="276">
        <f>+AP13*Scenarios!$I$32</f>
        <v>19758.72</v>
      </c>
      <c r="AQ18" s="276">
        <f>+AQ13*Scenarios!$I$32</f>
        <v>32931.200000000004</v>
      </c>
      <c r="AR18" s="268">
        <f>+AR13*Scenarios!I$32</f>
        <v>329312</v>
      </c>
      <c r="AS18" s="239">
        <f>+AS13*Scenarios!J$32</f>
        <v>362695</v>
      </c>
      <c r="AT18" s="239">
        <f>+AT13*Scenarios!K$32</f>
        <v>371229</v>
      </c>
      <c r="AU18" s="239">
        <f>+AU13*Scenarios!L$32</f>
        <v>384030</v>
      </c>
      <c r="AV18" s="239">
        <f>+AV13*Scenarios!M$32</f>
        <v>415656</v>
      </c>
      <c r="AW18" s="239">
        <f>+AW13*Scenarios!N$32</f>
        <v>429210</v>
      </c>
      <c r="AX18" s="240">
        <f>+AX13*Scenarios!O$32</f>
        <v>438246</v>
      </c>
    </row>
    <row r="19" spans="1:50" ht="14.4" thickBot="1">
      <c r="A19" s="246"/>
      <c r="B19" s="243" t="s">
        <v>48</v>
      </c>
      <c r="C19" s="264"/>
      <c r="D19" s="264"/>
      <c r="E19" s="269">
        <f>+E14*Scenarios!F$32</f>
        <v>36708.75</v>
      </c>
      <c r="F19" s="276">
        <f>+F14*Scenarios!$G$32</f>
        <v>3072.2400000000007</v>
      </c>
      <c r="G19" s="276">
        <f>+G14*Scenarios!$G$32</f>
        <v>3840.3000000000011</v>
      </c>
      <c r="H19" s="276">
        <f>+H14*Scenarios!$G$32</f>
        <v>3840.3000000000011</v>
      </c>
      <c r="I19" s="276">
        <f>+I14*Scenarios!$G$32</f>
        <v>3072.2400000000007</v>
      </c>
      <c r="J19" s="276">
        <f>+J14*Scenarios!$G$32</f>
        <v>3072.2400000000007</v>
      </c>
      <c r="K19" s="276">
        <f>+K14*Scenarios!$G$32</f>
        <v>3072.2400000000007</v>
      </c>
      <c r="L19" s="276">
        <f>+L14*Scenarios!$G$32</f>
        <v>3072.2400000000007</v>
      </c>
      <c r="M19" s="276">
        <f>+M14*Scenarios!$G$32</f>
        <v>3072.2400000000007</v>
      </c>
      <c r="N19" s="276">
        <f>+N14*Scenarios!$G$32</f>
        <v>3072.2400000000007</v>
      </c>
      <c r="O19" s="276">
        <f>+O14*Scenarios!$G$32</f>
        <v>3072.2400000000007</v>
      </c>
      <c r="P19" s="276">
        <f>+P14*Scenarios!$G$32</f>
        <v>2304.1800000000003</v>
      </c>
      <c r="Q19" s="276">
        <f>+Q14*Scenarios!$G$32</f>
        <v>3840.3000000000011</v>
      </c>
      <c r="R19" s="269">
        <f>+R14*Scenarios!G$32</f>
        <v>38403.000000000007</v>
      </c>
      <c r="S19" s="276">
        <f>+S14*Scenarios!$H$32</f>
        <v>3518.0160000000005</v>
      </c>
      <c r="T19" s="276">
        <f>+T14*Scenarios!$H$32</f>
        <v>4397.5200000000004</v>
      </c>
      <c r="U19" s="276">
        <f>+U14*Scenarios!$H$32</f>
        <v>4397.5200000000004</v>
      </c>
      <c r="V19" s="276">
        <f>+V14*Scenarios!$H$32</f>
        <v>3518.0160000000005</v>
      </c>
      <c r="W19" s="276">
        <f>+W14*Scenarios!$H$32</f>
        <v>3518.0160000000005</v>
      </c>
      <c r="X19" s="276">
        <f>+X14*Scenarios!$H$32</f>
        <v>3518.0160000000005</v>
      </c>
      <c r="Y19" s="276">
        <f>+Y14*Scenarios!$H$32</f>
        <v>3518.0160000000005</v>
      </c>
      <c r="Z19" s="276">
        <f>+Z14*Scenarios!$H$32</f>
        <v>3518.0160000000005</v>
      </c>
      <c r="AA19" s="276">
        <f>+AA14*Scenarios!$H$32</f>
        <v>3518.0160000000005</v>
      </c>
      <c r="AB19" s="276">
        <f>+AB14*Scenarios!$H$32</f>
        <v>3518.0160000000005</v>
      </c>
      <c r="AC19" s="276">
        <f>+AC14*Scenarios!$H$32</f>
        <v>2638.5120000000002</v>
      </c>
      <c r="AD19" s="276">
        <f>+AD14*Scenarios!$H$32</f>
        <v>4397.5200000000004</v>
      </c>
      <c r="AE19" s="269">
        <f>+AE14*Scenarios!H$32</f>
        <v>43975.200000000004</v>
      </c>
      <c r="AF19" s="276">
        <f>+AF14*Scenarios!$I$32</f>
        <v>3614.4</v>
      </c>
      <c r="AG19" s="276">
        <f>+AG14*Scenarios!$I$32</f>
        <v>4518</v>
      </c>
      <c r="AH19" s="276">
        <f>+AH14*Scenarios!$I$32</f>
        <v>4518</v>
      </c>
      <c r="AI19" s="276">
        <f>+AI14*Scenarios!$I$32</f>
        <v>3614.4</v>
      </c>
      <c r="AJ19" s="276">
        <f>+AJ14*Scenarios!$I$32</f>
        <v>3614.4</v>
      </c>
      <c r="AK19" s="276">
        <f>+AK14*Scenarios!$I$32</f>
        <v>3614.4</v>
      </c>
      <c r="AL19" s="276">
        <f>+AL14*Scenarios!$I$32</f>
        <v>3614.4</v>
      </c>
      <c r="AM19" s="276">
        <f>+AM14*Scenarios!$I$32</f>
        <v>3614.4</v>
      </c>
      <c r="AN19" s="276">
        <f>+AN14*Scenarios!$I$32</f>
        <v>3614.4</v>
      </c>
      <c r="AO19" s="276">
        <f>+AO14*Scenarios!$I$32</f>
        <v>3614.4</v>
      </c>
      <c r="AP19" s="276">
        <f>+AP14*Scenarios!$I$32</f>
        <v>2710.8</v>
      </c>
      <c r="AQ19" s="276">
        <f>+AQ14*Scenarios!$I$32</f>
        <v>4518</v>
      </c>
      <c r="AR19" s="269">
        <f>+AR14*Scenarios!I$32</f>
        <v>45180</v>
      </c>
      <c r="AS19" s="241">
        <f>+AS14*Scenarios!J$32</f>
        <v>51204</v>
      </c>
      <c r="AT19" s="241">
        <f>+AT14*Scenarios!K$32</f>
        <v>52484.099999999991</v>
      </c>
      <c r="AU19" s="241">
        <f>+AU14*Scenarios!L$32</f>
        <v>54404.25</v>
      </c>
      <c r="AV19" s="241">
        <f>+AV14*Scenarios!M$32</f>
        <v>60993</v>
      </c>
      <c r="AW19" s="241">
        <f>+AW14*Scenarios!N$32</f>
        <v>62348.4</v>
      </c>
      <c r="AX19" s="242">
        <f>+AX14*Scenarios!O$32</f>
        <v>64381.5</v>
      </c>
    </row>
    <row r="20" spans="1:50" ht="14.4" thickBot="1">
      <c r="B20" s="235"/>
      <c r="C20" s="236"/>
      <c r="D20" s="236"/>
      <c r="E20" s="270"/>
      <c r="F20" s="279"/>
      <c r="G20" s="279"/>
      <c r="H20" s="279"/>
      <c r="I20" s="279"/>
      <c r="J20" s="279"/>
      <c r="K20" s="279"/>
      <c r="L20" s="279"/>
      <c r="M20" s="279"/>
      <c r="N20" s="279"/>
      <c r="O20" s="279"/>
      <c r="P20" s="279"/>
      <c r="Q20" s="279"/>
      <c r="R20" s="270"/>
      <c r="S20" s="279"/>
      <c r="T20" s="279"/>
      <c r="U20" s="279"/>
      <c r="V20" s="279"/>
      <c r="W20" s="279"/>
      <c r="X20" s="279"/>
      <c r="Y20" s="279"/>
      <c r="Z20" s="279"/>
      <c r="AA20" s="279"/>
      <c r="AB20" s="279"/>
      <c r="AC20" s="279"/>
      <c r="AD20" s="279"/>
      <c r="AE20" s="270"/>
      <c r="AF20" s="279"/>
      <c r="AG20" s="279"/>
      <c r="AH20" s="279"/>
      <c r="AI20" s="279"/>
      <c r="AJ20" s="279"/>
      <c r="AK20" s="279"/>
      <c r="AL20" s="279"/>
      <c r="AM20" s="279"/>
      <c r="AN20" s="279"/>
      <c r="AO20" s="279"/>
      <c r="AP20" s="279"/>
      <c r="AQ20" s="279"/>
      <c r="AR20" s="270"/>
      <c r="AS20" s="230"/>
      <c r="AT20" s="230"/>
      <c r="AU20" s="230"/>
      <c r="AV20" s="230"/>
      <c r="AW20" s="230"/>
      <c r="AX20" s="231"/>
    </row>
    <row r="21" spans="1:50" ht="14.4" thickBot="1">
      <c r="A21" s="244" t="s">
        <v>381</v>
      </c>
      <c r="B21" s="234" t="s">
        <v>45</v>
      </c>
      <c r="C21" s="263"/>
      <c r="D21" s="263"/>
      <c r="E21" s="267">
        <f>+E6*Scenarios!F$37</f>
        <v>0</v>
      </c>
      <c r="F21" s="276">
        <f>+$R21*'Monthly CF Budget Allocation'!D10</f>
        <v>2891.52</v>
      </c>
      <c r="G21" s="276">
        <f>+$R21*'Monthly CF Budget Allocation'!E10</f>
        <v>3614.4</v>
      </c>
      <c r="H21" s="276">
        <f>+$R21*'Monthly CF Budget Allocation'!F10</f>
        <v>3614.4</v>
      </c>
      <c r="I21" s="276">
        <f>+$R21*'Monthly CF Budget Allocation'!G10</f>
        <v>2891.52</v>
      </c>
      <c r="J21" s="276">
        <f>+$R21*'Monthly CF Budget Allocation'!H10</f>
        <v>2891.52</v>
      </c>
      <c r="K21" s="276">
        <f>+$R21*'Monthly CF Budget Allocation'!I10</f>
        <v>2891.52</v>
      </c>
      <c r="L21" s="276">
        <f>+$R21*'Monthly CF Budget Allocation'!J10</f>
        <v>2891.52</v>
      </c>
      <c r="M21" s="276">
        <f>+$R21*'Monthly CF Budget Allocation'!K10</f>
        <v>2891.52</v>
      </c>
      <c r="N21" s="276">
        <f>+$R21*'Monthly CF Budget Allocation'!L10</f>
        <v>2891.52</v>
      </c>
      <c r="O21" s="276">
        <f>+$R21*'Monthly CF Budget Allocation'!M10</f>
        <v>2891.52</v>
      </c>
      <c r="P21" s="276">
        <f>+$R21*'Monthly CF Budget Allocation'!N10</f>
        <v>2168.64</v>
      </c>
      <c r="Q21" s="276">
        <f>+$R21*'Monthly CF Budget Allocation'!O10</f>
        <v>3614.4</v>
      </c>
      <c r="R21" s="267">
        <f>+R6*Scenarios!G$37</f>
        <v>36144</v>
      </c>
      <c r="S21" s="276">
        <f>+$AE21*'Monthly CF Budget Allocation'!D10</f>
        <v>2611.4039999999995</v>
      </c>
      <c r="T21" s="276">
        <f>+$AE21*'Monthly CF Budget Allocation'!E10</f>
        <v>3264.2549999999992</v>
      </c>
      <c r="U21" s="276">
        <f>+$AE21*'Monthly CF Budget Allocation'!F10</f>
        <v>3264.2549999999992</v>
      </c>
      <c r="V21" s="276">
        <f>+$AE21*'Monthly CF Budget Allocation'!G10</f>
        <v>2611.4039999999995</v>
      </c>
      <c r="W21" s="276">
        <f>+$AE21*'Monthly CF Budget Allocation'!H10</f>
        <v>2611.4039999999995</v>
      </c>
      <c r="X21" s="276">
        <f>+$AE21*'Monthly CF Budget Allocation'!I10</f>
        <v>2611.4039999999995</v>
      </c>
      <c r="Y21" s="276">
        <f>+$AE21*'Monthly CF Budget Allocation'!J10</f>
        <v>2611.4039999999995</v>
      </c>
      <c r="Z21" s="276">
        <f>+$AE21*'Monthly CF Budget Allocation'!K10</f>
        <v>2611.4039999999995</v>
      </c>
      <c r="AA21" s="276">
        <f>+$AE21*'Monthly CF Budget Allocation'!L10</f>
        <v>2611.4039999999995</v>
      </c>
      <c r="AB21" s="276">
        <f>+$AE21*'Monthly CF Budget Allocation'!M10</f>
        <v>2611.4039999999995</v>
      </c>
      <c r="AC21" s="276">
        <f>+$AE21*'Monthly CF Budget Allocation'!N10</f>
        <v>1958.5529999999994</v>
      </c>
      <c r="AD21" s="276">
        <f>+$AE21*'Monthly CF Budget Allocation'!O10</f>
        <v>3264.2549999999992</v>
      </c>
      <c r="AE21" s="267">
        <f>+AE6*Scenarios!H$37</f>
        <v>32642.549999999992</v>
      </c>
      <c r="AF21" s="276">
        <f>+$AR21*'Monthly CF Budget Allocation'!D10</f>
        <v>2611.4039999999995</v>
      </c>
      <c r="AG21" s="276">
        <f>+$AR21*'Monthly CF Budget Allocation'!E10</f>
        <v>3264.2549999999992</v>
      </c>
      <c r="AH21" s="276">
        <f>+$AR21*'Monthly CF Budget Allocation'!F10</f>
        <v>3264.2549999999992</v>
      </c>
      <c r="AI21" s="276">
        <f>+$AR21*'Monthly CF Budget Allocation'!G10</f>
        <v>2611.4039999999995</v>
      </c>
      <c r="AJ21" s="276">
        <f>+$AR21*'Monthly CF Budget Allocation'!H10</f>
        <v>2611.4039999999995</v>
      </c>
      <c r="AK21" s="276">
        <f>+$AR21*'Monthly CF Budget Allocation'!I10</f>
        <v>2611.4039999999995</v>
      </c>
      <c r="AL21" s="276">
        <f>+$AR21*'Monthly CF Budget Allocation'!J10</f>
        <v>2611.4039999999995</v>
      </c>
      <c r="AM21" s="276">
        <f>+$AR21*'Monthly CF Budget Allocation'!K10</f>
        <v>2611.4039999999995</v>
      </c>
      <c r="AN21" s="276">
        <f>+$AR21*'Monthly CF Budget Allocation'!L10</f>
        <v>2611.4039999999995</v>
      </c>
      <c r="AO21" s="276">
        <f>+$AR21*'Monthly CF Budget Allocation'!M10</f>
        <v>2611.4039999999995</v>
      </c>
      <c r="AP21" s="276">
        <f>+$AR21*'Monthly CF Budget Allocation'!N10</f>
        <v>1958.5529999999994</v>
      </c>
      <c r="AQ21" s="276">
        <f>+$AR21*'Monthly CF Budget Allocation'!O10</f>
        <v>3264.2549999999992</v>
      </c>
      <c r="AR21" s="267">
        <f>+AR6*Scenarios!I$37</f>
        <v>32642.549999999992</v>
      </c>
      <c r="AS21" s="237">
        <f>+AS6*Scenarios!J$37</f>
        <v>24481.912500000002</v>
      </c>
      <c r="AT21" s="237">
        <f>+AT6*Scenarios!K$37</f>
        <v>27446.850000000006</v>
      </c>
      <c r="AU21" s="237">
        <f>+AU6*Scenarios!L$37</f>
        <v>27446.850000000006</v>
      </c>
      <c r="AV21" s="237">
        <f>+AV6*Scenarios!M$37</f>
        <v>18297.899999999998</v>
      </c>
      <c r="AW21" s="237">
        <f>+AW6*Scenarios!N$37</f>
        <v>20387.474999999995</v>
      </c>
      <c r="AX21" s="238">
        <f>+AX6*Scenarios!O$37</f>
        <v>20387.474999999995</v>
      </c>
    </row>
    <row r="22" spans="1:50" ht="14.4" thickBot="1">
      <c r="A22" s="245"/>
      <c r="B22" s="235" t="s">
        <v>46</v>
      </c>
      <c r="C22" s="236"/>
      <c r="D22" s="236"/>
      <c r="E22" s="268">
        <f>+E7*Scenarios!F$37</f>
        <v>0</v>
      </c>
      <c r="F22" s="276">
        <f>+$R22*'Monthly CF Budget Allocation'!D11</f>
        <v>2088.3200000000002</v>
      </c>
      <c r="G22" s="276">
        <f>+$R22*'Monthly CF Budget Allocation'!E11</f>
        <v>2610.4</v>
      </c>
      <c r="H22" s="276">
        <f>+$R22*'Monthly CF Budget Allocation'!F11</f>
        <v>2610.4</v>
      </c>
      <c r="I22" s="276">
        <f>+$R22*'Monthly CF Budget Allocation'!G11</f>
        <v>2088.3200000000002</v>
      </c>
      <c r="J22" s="276">
        <f>+$R22*'Monthly CF Budget Allocation'!H11</f>
        <v>2088.3200000000002</v>
      </c>
      <c r="K22" s="276">
        <f>+$R22*'Monthly CF Budget Allocation'!I11</f>
        <v>2088.3200000000002</v>
      </c>
      <c r="L22" s="276">
        <f>+$R22*'Monthly CF Budget Allocation'!J11</f>
        <v>2088.3200000000002</v>
      </c>
      <c r="M22" s="276">
        <f>+$R22*'Monthly CF Budget Allocation'!K11</f>
        <v>2088.3200000000002</v>
      </c>
      <c r="N22" s="276">
        <f>+$R22*'Monthly CF Budget Allocation'!L11</f>
        <v>2088.3200000000002</v>
      </c>
      <c r="O22" s="276">
        <f>+$R22*'Monthly CF Budget Allocation'!M11</f>
        <v>2088.3200000000002</v>
      </c>
      <c r="P22" s="276">
        <f>+$R22*'Monthly CF Budget Allocation'!N11</f>
        <v>1566.24</v>
      </c>
      <c r="Q22" s="276">
        <f>+$R22*'Monthly CF Budget Allocation'!O11</f>
        <v>2610.4</v>
      </c>
      <c r="R22" s="268">
        <f>+R7*Scenarios!G$37</f>
        <v>26104</v>
      </c>
      <c r="S22" s="276">
        <f>+$AE22*'Monthly CF Budget Allocation'!D11</f>
        <v>1886.0139999999994</v>
      </c>
      <c r="T22" s="276">
        <f>+$AE22*'Monthly CF Budget Allocation'!E11</f>
        <v>2357.5174999999995</v>
      </c>
      <c r="U22" s="276">
        <f>+$AE22*'Monthly CF Budget Allocation'!F11</f>
        <v>2357.5174999999995</v>
      </c>
      <c r="V22" s="276">
        <f>+$AE22*'Monthly CF Budget Allocation'!G11</f>
        <v>1886.0139999999994</v>
      </c>
      <c r="W22" s="276">
        <f>+$AE22*'Monthly CF Budget Allocation'!H11</f>
        <v>1886.0139999999994</v>
      </c>
      <c r="X22" s="276">
        <f>+$AE22*'Monthly CF Budget Allocation'!I11</f>
        <v>1886.0139999999994</v>
      </c>
      <c r="Y22" s="276">
        <f>+$AE22*'Monthly CF Budget Allocation'!J11</f>
        <v>1886.0139999999994</v>
      </c>
      <c r="Z22" s="276">
        <f>+$AE22*'Monthly CF Budget Allocation'!K11</f>
        <v>1886.0139999999994</v>
      </c>
      <c r="AA22" s="276">
        <f>+$AE22*'Monthly CF Budget Allocation'!L11</f>
        <v>1886.0139999999994</v>
      </c>
      <c r="AB22" s="276">
        <f>+$AE22*'Monthly CF Budget Allocation'!M11</f>
        <v>1886.0139999999994</v>
      </c>
      <c r="AC22" s="276">
        <f>+$AE22*'Monthly CF Budget Allocation'!N11</f>
        <v>1414.5104999999994</v>
      </c>
      <c r="AD22" s="276">
        <f>+$AE22*'Monthly CF Budget Allocation'!O11</f>
        <v>2357.5174999999995</v>
      </c>
      <c r="AE22" s="268">
        <f>+AE7*Scenarios!H$37</f>
        <v>23575.174999999992</v>
      </c>
      <c r="AF22" s="276">
        <f>+$AR22*'Monthly CF Budget Allocation'!D11</f>
        <v>1886.0139999999994</v>
      </c>
      <c r="AG22" s="276">
        <f>+$AR22*'Monthly CF Budget Allocation'!E11</f>
        <v>2357.5174999999995</v>
      </c>
      <c r="AH22" s="276">
        <f>+$AR22*'Monthly CF Budget Allocation'!F11</f>
        <v>2357.5174999999995</v>
      </c>
      <c r="AI22" s="276">
        <f>+$AR22*'Monthly CF Budget Allocation'!G11</f>
        <v>1886.0139999999994</v>
      </c>
      <c r="AJ22" s="276">
        <f>+$AR22*'Monthly CF Budget Allocation'!H11</f>
        <v>1886.0139999999994</v>
      </c>
      <c r="AK22" s="276">
        <f>+$AR22*'Monthly CF Budget Allocation'!I11</f>
        <v>1886.0139999999994</v>
      </c>
      <c r="AL22" s="276">
        <f>+$AR22*'Monthly CF Budget Allocation'!J11</f>
        <v>1886.0139999999994</v>
      </c>
      <c r="AM22" s="276">
        <f>+$AR22*'Monthly CF Budget Allocation'!K11</f>
        <v>1886.0139999999994</v>
      </c>
      <c r="AN22" s="276">
        <f>+$AR22*'Monthly CF Budget Allocation'!L11</f>
        <v>1886.0139999999994</v>
      </c>
      <c r="AO22" s="276">
        <f>+$AR22*'Monthly CF Budget Allocation'!M11</f>
        <v>1886.0139999999994</v>
      </c>
      <c r="AP22" s="276">
        <f>+$AR22*'Monthly CF Budget Allocation'!N11</f>
        <v>1414.5104999999994</v>
      </c>
      <c r="AQ22" s="276">
        <f>+$AR22*'Monthly CF Budget Allocation'!O11</f>
        <v>2357.5174999999995</v>
      </c>
      <c r="AR22" s="268">
        <f>+AR7*Scenarios!I$37</f>
        <v>23575.174999999992</v>
      </c>
      <c r="AS22" s="239">
        <f>+AS7*Scenarios!J$37</f>
        <v>17681.381250000002</v>
      </c>
      <c r="AT22" s="239">
        <f>+AT7*Scenarios!K$37</f>
        <v>19822.725000000002</v>
      </c>
      <c r="AU22" s="239">
        <f>+AU7*Scenarios!L$37</f>
        <v>19822.725000000002</v>
      </c>
      <c r="AV22" s="239">
        <f>+AV7*Scenarios!M$37</f>
        <v>13215.149999999998</v>
      </c>
      <c r="AW22" s="239">
        <f>+AW7*Scenarios!N$37</f>
        <v>14724.287499999997</v>
      </c>
      <c r="AX22" s="240">
        <f>+AX7*Scenarios!O$37</f>
        <v>14724.287499999997</v>
      </c>
    </row>
    <row r="23" spans="1:50" ht="14.4" thickBot="1">
      <c r="A23" s="245"/>
      <c r="B23" s="235" t="s">
        <v>52</v>
      </c>
      <c r="C23" s="236"/>
      <c r="D23" s="236"/>
      <c r="E23" s="268">
        <f>+E8*Scenarios!F$37</f>
        <v>0</v>
      </c>
      <c r="F23" s="276">
        <f>+$R23*'Monthly CF Budget Allocation'!D12</f>
        <v>5461.7599999999993</v>
      </c>
      <c r="G23" s="276">
        <f>+$R23*'Monthly CF Budget Allocation'!E12</f>
        <v>6827.1999999999989</v>
      </c>
      <c r="H23" s="276">
        <f>+$R23*'Monthly CF Budget Allocation'!F12</f>
        <v>6827.1999999999989</v>
      </c>
      <c r="I23" s="276">
        <f>+$R23*'Monthly CF Budget Allocation'!G12</f>
        <v>5461.7599999999993</v>
      </c>
      <c r="J23" s="276">
        <f>+$R23*'Monthly CF Budget Allocation'!H12</f>
        <v>5461.7599999999993</v>
      </c>
      <c r="K23" s="276">
        <f>+$R23*'Monthly CF Budget Allocation'!I12</f>
        <v>5461.7599999999993</v>
      </c>
      <c r="L23" s="276">
        <f>+$R23*'Monthly CF Budget Allocation'!J12</f>
        <v>5461.7599999999993</v>
      </c>
      <c r="M23" s="276">
        <f>+$R23*'Monthly CF Budget Allocation'!K12</f>
        <v>5461.7599999999993</v>
      </c>
      <c r="N23" s="276">
        <f>+$R23*'Monthly CF Budget Allocation'!L12</f>
        <v>5461.7599999999993</v>
      </c>
      <c r="O23" s="276">
        <f>+$R23*'Monthly CF Budget Allocation'!M12</f>
        <v>5461.7599999999993</v>
      </c>
      <c r="P23" s="276">
        <f>+$R23*'Monthly CF Budget Allocation'!N12</f>
        <v>4096.3199999999988</v>
      </c>
      <c r="Q23" s="276">
        <f>+$R23*'Monthly CF Budget Allocation'!O12</f>
        <v>6827.1999999999989</v>
      </c>
      <c r="R23" s="268">
        <f>+R8*Scenarios!G$37</f>
        <v>68271.999999999985</v>
      </c>
      <c r="S23" s="276">
        <f>+$AE23*'Monthly CF Budget Allocation'!D12</f>
        <v>4608.3599999999969</v>
      </c>
      <c r="T23" s="276">
        <f>+$AE23*'Monthly CF Budget Allocation'!E12</f>
        <v>5760.4499999999971</v>
      </c>
      <c r="U23" s="276">
        <f>+$AE23*'Monthly CF Budget Allocation'!F12</f>
        <v>5760.4499999999971</v>
      </c>
      <c r="V23" s="276">
        <f>+$AE23*'Monthly CF Budget Allocation'!G12</f>
        <v>4608.3599999999969</v>
      </c>
      <c r="W23" s="276">
        <f>+$AE23*'Monthly CF Budget Allocation'!H12</f>
        <v>4608.3599999999969</v>
      </c>
      <c r="X23" s="276">
        <f>+$AE23*'Monthly CF Budget Allocation'!I12</f>
        <v>4608.3599999999969</v>
      </c>
      <c r="Y23" s="276">
        <f>+$AE23*'Monthly CF Budget Allocation'!J12</f>
        <v>4608.3599999999969</v>
      </c>
      <c r="Z23" s="276">
        <f>+$AE23*'Monthly CF Budget Allocation'!K12</f>
        <v>4608.3599999999969</v>
      </c>
      <c r="AA23" s="276">
        <f>+$AE23*'Monthly CF Budget Allocation'!L12</f>
        <v>4608.3599999999969</v>
      </c>
      <c r="AB23" s="276">
        <f>+$AE23*'Monthly CF Budget Allocation'!M12</f>
        <v>4608.3599999999969</v>
      </c>
      <c r="AC23" s="276">
        <f>+$AE23*'Monthly CF Budget Allocation'!N12</f>
        <v>3456.2699999999977</v>
      </c>
      <c r="AD23" s="276">
        <f>+$AE23*'Monthly CF Budget Allocation'!O12</f>
        <v>5760.4499999999971</v>
      </c>
      <c r="AE23" s="268">
        <f>+AE8*Scenarios!H$37</f>
        <v>57604.499999999964</v>
      </c>
      <c r="AF23" s="276">
        <f>+$AR23*'Monthly CF Budget Allocation'!D12</f>
        <v>4608.3599999999969</v>
      </c>
      <c r="AG23" s="276">
        <f>+$AR23*'Monthly CF Budget Allocation'!E12</f>
        <v>5760.4499999999971</v>
      </c>
      <c r="AH23" s="276">
        <f>+$AR23*'Monthly CF Budget Allocation'!F12</f>
        <v>5760.4499999999971</v>
      </c>
      <c r="AI23" s="276">
        <f>+$AR23*'Monthly CF Budget Allocation'!G12</f>
        <v>4608.3599999999969</v>
      </c>
      <c r="AJ23" s="276">
        <f>+$AR23*'Monthly CF Budget Allocation'!H12</f>
        <v>4608.3599999999969</v>
      </c>
      <c r="AK23" s="276">
        <f>+$AR23*'Monthly CF Budget Allocation'!I12</f>
        <v>4608.3599999999969</v>
      </c>
      <c r="AL23" s="276">
        <f>+$AR23*'Monthly CF Budget Allocation'!J12</f>
        <v>4608.3599999999969</v>
      </c>
      <c r="AM23" s="276">
        <f>+$AR23*'Monthly CF Budget Allocation'!K12</f>
        <v>4608.3599999999969</v>
      </c>
      <c r="AN23" s="276">
        <f>+$AR23*'Monthly CF Budget Allocation'!L12</f>
        <v>4608.3599999999969</v>
      </c>
      <c r="AO23" s="276">
        <f>+$AR23*'Monthly CF Budget Allocation'!M12</f>
        <v>4608.3599999999969</v>
      </c>
      <c r="AP23" s="276">
        <f>+$AR23*'Monthly CF Budget Allocation'!N12</f>
        <v>3456.2699999999977</v>
      </c>
      <c r="AQ23" s="276">
        <f>+$AR23*'Monthly CF Budget Allocation'!O12</f>
        <v>5760.4499999999971</v>
      </c>
      <c r="AR23" s="268">
        <f>+AR8*Scenarios!I$37</f>
        <v>57604.499999999964</v>
      </c>
      <c r="AS23" s="239">
        <f>+AS8*Scenarios!J$37</f>
        <v>38402.999999999985</v>
      </c>
      <c r="AT23" s="239">
        <f>+AT8*Scenarios!K$37</f>
        <v>42920.999999999993</v>
      </c>
      <c r="AU23" s="239">
        <f>+AU8*Scenarios!L$37</f>
        <v>42920.999999999993</v>
      </c>
      <c r="AV23" s="239">
        <f>+AV8*Scenarios!M$37</f>
        <v>21460.499999999975</v>
      </c>
      <c r="AW23" s="239">
        <f>+AW8*Scenarios!N$37</f>
        <v>23844.999999999967</v>
      </c>
      <c r="AX23" s="240">
        <f>+AX8*Scenarios!O$37</f>
        <v>23844.999999999967</v>
      </c>
    </row>
    <row r="24" spans="1:50" ht="14.4" thickBot="1">
      <c r="A24" s="246"/>
      <c r="B24" s="243" t="s">
        <v>48</v>
      </c>
      <c r="C24" s="264"/>
      <c r="D24" s="264"/>
      <c r="E24" s="269">
        <f>+E9*Scenarios!F$37</f>
        <v>0</v>
      </c>
      <c r="F24" s="276">
        <f>+$R24*'Monthly CF Budget Allocation'!D13</f>
        <v>1084.3200000000004</v>
      </c>
      <c r="G24" s="276">
        <f>+$R24*'Monthly CF Budget Allocation'!E13</f>
        <v>1355.4000000000005</v>
      </c>
      <c r="H24" s="276">
        <f>+$R24*'Monthly CF Budget Allocation'!F13</f>
        <v>1355.4000000000005</v>
      </c>
      <c r="I24" s="276">
        <f>+$R24*'Monthly CF Budget Allocation'!G13</f>
        <v>1084.3200000000004</v>
      </c>
      <c r="J24" s="276">
        <f>+$R24*'Monthly CF Budget Allocation'!H13</f>
        <v>1084.3200000000004</v>
      </c>
      <c r="K24" s="276">
        <f>+$R24*'Monthly CF Budget Allocation'!I13</f>
        <v>1084.3200000000004</v>
      </c>
      <c r="L24" s="276">
        <f>+$R24*'Monthly CF Budget Allocation'!J13</f>
        <v>1084.3200000000004</v>
      </c>
      <c r="M24" s="276">
        <f>+$R24*'Monthly CF Budget Allocation'!K13</f>
        <v>1084.3200000000004</v>
      </c>
      <c r="N24" s="276">
        <f>+$R24*'Monthly CF Budget Allocation'!L13</f>
        <v>1084.3200000000004</v>
      </c>
      <c r="O24" s="276">
        <f>+$R24*'Monthly CF Budget Allocation'!M13</f>
        <v>1084.3200000000004</v>
      </c>
      <c r="P24" s="276">
        <f>+$R24*'Monthly CF Budget Allocation'!N13</f>
        <v>813.24000000000024</v>
      </c>
      <c r="Q24" s="276">
        <f>+$R24*'Monthly CF Budget Allocation'!O13</f>
        <v>1355.4000000000005</v>
      </c>
      <c r="R24" s="269">
        <f>+R9*Scenarios!G$37</f>
        <v>13554.000000000004</v>
      </c>
      <c r="S24" s="276">
        <f>+$AE24*'Monthly CF Budget Allocation'!D13</f>
        <v>1024.08</v>
      </c>
      <c r="T24" s="276">
        <f>+$AE24*'Monthly CF Budget Allocation'!E13</f>
        <v>1280.0999999999999</v>
      </c>
      <c r="U24" s="276">
        <f>+$AE24*'Monthly CF Budget Allocation'!F13</f>
        <v>1280.0999999999999</v>
      </c>
      <c r="V24" s="276">
        <f>+$AE24*'Monthly CF Budget Allocation'!G13</f>
        <v>1024.08</v>
      </c>
      <c r="W24" s="276">
        <f>+$AE24*'Monthly CF Budget Allocation'!H13</f>
        <v>1024.08</v>
      </c>
      <c r="X24" s="276">
        <f>+$AE24*'Monthly CF Budget Allocation'!I13</f>
        <v>1024.08</v>
      </c>
      <c r="Y24" s="276">
        <f>+$AE24*'Monthly CF Budget Allocation'!J13</f>
        <v>1024.08</v>
      </c>
      <c r="Z24" s="276">
        <f>+$AE24*'Monthly CF Budget Allocation'!K13</f>
        <v>1024.08</v>
      </c>
      <c r="AA24" s="276">
        <f>+$AE24*'Monthly CF Budget Allocation'!L13</f>
        <v>1024.08</v>
      </c>
      <c r="AB24" s="276">
        <f>+$AE24*'Monthly CF Budget Allocation'!M13</f>
        <v>1024.08</v>
      </c>
      <c r="AC24" s="276">
        <f>+$AE24*'Monthly CF Budget Allocation'!N13</f>
        <v>768.05999999999983</v>
      </c>
      <c r="AD24" s="276">
        <f>+$AE24*'Monthly CF Budget Allocation'!O13</f>
        <v>1280.0999999999999</v>
      </c>
      <c r="AE24" s="269">
        <f>+AE9*Scenarios!H$37</f>
        <v>12800.999999999998</v>
      </c>
      <c r="AF24" s="276">
        <f>+$AR24*'Monthly CF Budget Allocation'!D13</f>
        <v>1024.08</v>
      </c>
      <c r="AG24" s="276">
        <f>+$AR24*'Monthly CF Budget Allocation'!E13</f>
        <v>1280.0999999999999</v>
      </c>
      <c r="AH24" s="276">
        <f>+$AR24*'Monthly CF Budget Allocation'!F13</f>
        <v>1280.0999999999999</v>
      </c>
      <c r="AI24" s="276">
        <f>+$AR24*'Monthly CF Budget Allocation'!G13</f>
        <v>1024.08</v>
      </c>
      <c r="AJ24" s="276">
        <f>+$AR24*'Monthly CF Budget Allocation'!H13</f>
        <v>1024.08</v>
      </c>
      <c r="AK24" s="276">
        <f>+$AR24*'Monthly CF Budget Allocation'!I13</f>
        <v>1024.08</v>
      </c>
      <c r="AL24" s="276">
        <f>+$AR24*'Monthly CF Budget Allocation'!J13</f>
        <v>1024.08</v>
      </c>
      <c r="AM24" s="276">
        <f>+$AR24*'Monthly CF Budget Allocation'!K13</f>
        <v>1024.08</v>
      </c>
      <c r="AN24" s="276">
        <f>+$AR24*'Monthly CF Budget Allocation'!L13</f>
        <v>1024.08</v>
      </c>
      <c r="AO24" s="276">
        <f>+$AR24*'Monthly CF Budget Allocation'!M13</f>
        <v>1024.08</v>
      </c>
      <c r="AP24" s="276">
        <f>+$AR24*'Monthly CF Budget Allocation'!N13</f>
        <v>768.05999999999983</v>
      </c>
      <c r="AQ24" s="276">
        <f>+$AR24*'Monthly CF Budget Allocation'!O13</f>
        <v>1280.0999999999999</v>
      </c>
      <c r="AR24" s="269">
        <f>+AR9*Scenarios!I$37</f>
        <v>12800.999999999998</v>
      </c>
      <c r="AS24" s="241">
        <f>+AS9*Scenarios!J$37</f>
        <v>10240.800000000003</v>
      </c>
      <c r="AT24" s="241">
        <f>+AT9*Scenarios!K$37</f>
        <v>11520.900000000003</v>
      </c>
      <c r="AU24" s="241">
        <f>+AU9*Scenarios!L$37</f>
        <v>11520.900000000003</v>
      </c>
      <c r="AV24" s="241">
        <f>+AV9*Scenarios!M$37</f>
        <v>8640.6750000000011</v>
      </c>
      <c r="AW24" s="241">
        <f>+AW9*Scenarios!N$37</f>
        <v>9657.2250000000004</v>
      </c>
      <c r="AX24" s="242">
        <f>+AX9*Scenarios!O$37</f>
        <v>9657.2250000000004</v>
      </c>
    </row>
    <row r="25" spans="1:50" ht="14.4" thickBot="1">
      <c r="A25" s="236"/>
      <c r="B25" s="1"/>
      <c r="C25" s="1"/>
      <c r="D25" s="1"/>
      <c r="E25" s="270"/>
      <c r="F25" s="279"/>
      <c r="G25" s="279"/>
      <c r="H25" s="279"/>
      <c r="I25" s="279"/>
      <c r="J25" s="279"/>
      <c r="K25" s="279"/>
      <c r="L25" s="279"/>
      <c r="M25" s="279"/>
      <c r="N25" s="279"/>
      <c r="O25" s="279"/>
      <c r="P25" s="279"/>
      <c r="Q25" s="279"/>
      <c r="R25" s="270"/>
      <c r="S25" s="279"/>
      <c r="T25" s="279"/>
      <c r="U25" s="279"/>
      <c r="V25" s="279"/>
      <c r="W25" s="279"/>
      <c r="X25" s="279"/>
      <c r="Y25" s="279"/>
      <c r="Z25" s="279"/>
      <c r="AA25" s="279"/>
      <c r="AB25" s="279"/>
      <c r="AC25" s="279"/>
      <c r="AD25" s="279"/>
      <c r="AE25" s="270"/>
      <c r="AF25" s="279"/>
      <c r="AG25" s="279"/>
      <c r="AH25" s="279"/>
      <c r="AI25" s="279"/>
      <c r="AJ25" s="279"/>
      <c r="AK25" s="279"/>
      <c r="AL25" s="279"/>
      <c r="AM25" s="279"/>
      <c r="AN25" s="279"/>
      <c r="AO25" s="279"/>
      <c r="AP25" s="279"/>
      <c r="AQ25" s="279"/>
      <c r="AR25" s="270"/>
      <c r="AS25" s="230"/>
      <c r="AT25" s="230"/>
      <c r="AU25" s="230"/>
      <c r="AV25" s="230"/>
      <c r="AW25" s="230"/>
      <c r="AX25" s="231"/>
    </row>
    <row r="26" spans="1:50" ht="14.4" thickBot="1">
      <c r="A26" s="251" t="s">
        <v>382</v>
      </c>
      <c r="B26" s="234" t="s">
        <v>45</v>
      </c>
      <c r="C26" s="263"/>
      <c r="D26" s="263"/>
      <c r="E26" s="267">
        <f>+E16+E21</f>
        <v>118597.5</v>
      </c>
      <c r="F26" s="276">
        <f>+F16+F21</f>
        <v>12650.400000000001</v>
      </c>
      <c r="G26" s="276">
        <f t="shared" ref="G26:Q26" si="3">+G16+G21</f>
        <v>15813</v>
      </c>
      <c r="H26" s="276">
        <f t="shared" si="3"/>
        <v>15813</v>
      </c>
      <c r="I26" s="276">
        <f t="shared" si="3"/>
        <v>12650.400000000001</v>
      </c>
      <c r="J26" s="276">
        <f t="shared" si="3"/>
        <v>12650.400000000001</v>
      </c>
      <c r="K26" s="276">
        <f t="shared" si="3"/>
        <v>12650.400000000001</v>
      </c>
      <c r="L26" s="276">
        <f t="shared" si="3"/>
        <v>12650.400000000001</v>
      </c>
      <c r="M26" s="276">
        <f t="shared" si="3"/>
        <v>12650.400000000001</v>
      </c>
      <c r="N26" s="276">
        <f t="shared" si="3"/>
        <v>12650.400000000001</v>
      </c>
      <c r="O26" s="276">
        <f t="shared" si="3"/>
        <v>12650.400000000001</v>
      </c>
      <c r="P26" s="276">
        <f t="shared" si="3"/>
        <v>9487.7999999999993</v>
      </c>
      <c r="Q26" s="276">
        <f t="shared" si="3"/>
        <v>15813</v>
      </c>
      <c r="R26" s="267">
        <f t="shared" ref="R26:AX26" si="4">+R16+R21</f>
        <v>158130</v>
      </c>
      <c r="S26" s="276">
        <f t="shared" si="4"/>
        <v>13454.603999999999</v>
      </c>
      <c r="T26" s="276">
        <f t="shared" ref="T26:AD26" si="5">+T16+T21</f>
        <v>16818.254999999997</v>
      </c>
      <c r="U26" s="276">
        <f t="shared" si="5"/>
        <v>16818.254999999997</v>
      </c>
      <c r="V26" s="276">
        <f t="shared" si="5"/>
        <v>13454.603999999999</v>
      </c>
      <c r="W26" s="276">
        <f t="shared" si="5"/>
        <v>13454.603999999999</v>
      </c>
      <c r="X26" s="276">
        <f t="shared" si="5"/>
        <v>13454.603999999999</v>
      </c>
      <c r="Y26" s="276">
        <f t="shared" si="5"/>
        <v>13454.603999999999</v>
      </c>
      <c r="Z26" s="276">
        <f t="shared" si="5"/>
        <v>13454.603999999999</v>
      </c>
      <c r="AA26" s="276">
        <f t="shared" si="5"/>
        <v>13454.603999999999</v>
      </c>
      <c r="AB26" s="276">
        <f t="shared" si="5"/>
        <v>13454.603999999999</v>
      </c>
      <c r="AC26" s="276">
        <f t="shared" si="5"/>
        <v>10090.953</v>
      </c>
      <c r="AD26" s="276">
        <f t="shared" si="5"/>
        <v>16818.254999999997</v>
      </c>
      <c r="AE26" s="267">
        <f t="shared" si="4"/>
        <v>168182.55</v>
      </c>
      <c r="AF26" s="276">
        <f t="shared" si="4"/>
        <v>13743.756000000001</v>
      </c>
      <c r="AG26" s="276">
        <f t="shared" si="4"/>
        <v>17179.695</v>
      </c>
      <c r="AH26" s="276">
        <f t="shared" si="4"/>
        <v>17179.695</v>
      </c>
      <c r="AI26" s="276">
        <f t="shared" si="4"/>
        <v>13743.756000000001</v>
      </c>
      <c r="AJ26" s="276">
        <f t="shared" si="4"/>
        <v>13743.756000000001</v>
      </c>
      <c r="AK26" s="276">
        <f t="shared" si="4"/>
        <v>13743.756000000001</v>
      </c>
      <c r="AL26" s="276">
        <f t="shared" si="4"/>
        <v>13743.756000000001</v>
      </c>
      <c r="AM26" s="276">
        <f t="shared" si="4"/>
        <v>13743.756000000001</v>
      </c>
      <c r="AN26" s="276">
        <f t="shared" si="4"/>
        <v>13743.756000000001</v>
      </c>
      <c r="AO26" s="276">
        <f t="shared" si="4"/>
        <v>13743.756000000001</v>
      </c>
      <c r="AP26" s="276">
        <f t="shared" si="4"/>
        <v>10307.817000000001</v>
      </c>
      <c r="AQ26" s="276">
        <f t="shared" si="4"/>
        <v>17179.695</v>
      </c>
      <c r="AR26" s="267">
        <f t="shared" si="4"/>
        <v>171796.94999999998</v>
      </c>
      <c r="AS26" s="237">
        <f t="shared" si="4"/>
        <v>178093.91250000001</v>
      </c>
      <c r="AT26" s="237">
        <f t="shared" si="4"/>
        <v>184899.15</v>
      </c>
      <c r="AU26" s="237">
        <f t="shared" si="4"/>
        <v>190659.6</v>
      </c>
      <c r="AV26" s="237">
        <f t="shared" si="4"/>
        <v>201276.9</v>
      </c>
      <c r="AW26" s="237">
        <f t="shared" si="4"/>
        <v>207432.67500000002</v>
      </c>
      <c r="AX26" s="237">
        <f t="shared" si="4"/>
        <v>213531.97500000001</v>
      </c>
    </row>
    <row r="27" spans="1:50" ht="14.4" thickBot="1">
      <c r="A27" s="252"/>
      <c r="B27" s="235" t="s">
        <v>46</v>
      </c>
      <c r="C27" s="236"/>
      <c r="D27" s="236"/>
      <c r="E27" s="268">
        <f t="shared" ref="E27:AX29" si="6">+E17+E22</f>
        <v>88101</v>
      </c>
      <c r="F27" s="276">
        <f t="shared" si="6"/>
        <v>9430.07</v>
      </c>
      <c r="G27" s="276">
        <f t="shared" si="6"/>
        <v>11787.5875</v>
      </c>
      <c r="H27" s="276">
        <f t="shared" si="6"/>
        <v>11787.5875</v>
      </c>
      <c r="I27" s="276">
        <f t="shared" si="6"/>
        <v>9430.07</v>
      </c>
      <c r="J27" s="276">
        <f t="shared" si="6"/>
        <v>9430.07</v>
      </c>
      <c r="K27" s="276">
        <f t="shared" si="6"/>
        <v>9430.07</v>
      </c>
      <c r="L27" s="276">
        <f t="shared" si="6"/>
        <v>9430.07</v>
      </c>
      <c r="M27" s="276">
        <f t="shared" si="6"/>
        <v>9430.07</v>
      </c>
      <c r="N27" s="276">
        <f t="shared" si="6"/>
        <v>9430.07</v>
      </c>
      <c r="O27" s="276">
        <f t="shared" si="6"/>
        <v>9430.07</v>
      </c>
      <c r="P27" s="276">
        <f t="shared" si="6"/>
        <v>7072.5524999999998</v>
      </c>
      <c r="Q27" s="276">
        <f t="shared" si="6"/>
        <v>11787.5875</v>
      </c>
      <c r="R27" s="268">
        <f t="shared" si="6"/>
        <v>117875.875</v>
      </c>
      <c r="S27" s="276">
        <f t="shared" si="6"/>
        <v>10030.462</v>
      </c>
      <c r="T27" s="276">
        <f t="shared" ref="T27:AD27" si="7">+T17+T22</f>
        <v>12538.077500000001</v>
      </c>
      <c r="U27" s="276">
        <f t="shared" si="7"/>
        <v>12538.077500000001</v>
      </c>
      <c r="V27" s="276">
        <f t="shared" si="7"/>
        <v>10030.462</v>
      </c>
      <c r="W27" s="276">
        <f t="shared" si="7"/>
        <v>10030.462</v>
      </c>
      <c r="X27" s="276">
        <f t="shared" si="7"/>
        <v>10030.462</v>
      </c>
      <c r="Y27" s="276">
        <f t="shared" si="7"/>
        <v>10030.462</v>
      </c>
      <c r="Z27" s="276">
        <f t="shared" si="7"/>
        <v>10030.462</v>
      </c>
      <c r="AA27" s="276">
        <f t="shared" si="7"/>
        <v>10030.462</v>
      </c>
      <c r="AB27" s="276">
        <f t="shared" si="7"/>
        <v>10030.462</v>
      </c>
      <c r="AC27" s="276">
        <f t="shared" si="7"/>
        <v>7522.8464999999997</v>
      </c>
      <c r="AD27" s="276">
        <f t="shared" si="7"/>
        <v>12538.077500000001</v>
      </c>
      <c r="AE27" s="268">
        <f t="shared" si="6"/>
        <v>125380.77499999999</v>
      </c>
      <c r="AF27" s="276">
        <f t="shared" si="6"/>
        <v>10239.294</v>
      </c>
      <c r="AG27" s="276">
        <f t="shared" si="6"/>
        <v>12799.1175</v>
      </c>
      <c r="AH27" s="276">
        <f t="shared" si="6"/>
        <v>12799.1175</v>
      </c>
      <c r="AI27" s="276">
        <f t="shared" si="6"/>
        <v>10239.294</v>
      </c>
      <c r="AJ27" s="276">
        <f t="shared" si="6"/>
        <v>10239.294</v>
      </c>
      <c r="AK27" s="276">
        <f t="shared" si="6"/>
        <v>10239.294</v>
      </c>
      <c r="AL27" s="276">
        <f t="shared" si="6"/>
        <v>10239.294</v>
      </c>
      <c r="AM27" s="276">
        <f t="shared" si="6"/>
        <v>10239.294</v>
      </c>
      <c r="AN27" s="276">
        <f t="shared" si="6"/>
        <v>10239.294</v>
      </c>
      <c r="AO27" s="276">
        <f t="shared" si="6"/>
        <v>10239.294</v>
      </c>
      <c r="AP27" s="276">
        <f t="shared" si="6"/>
        <v>7679.4704999999994</v>
      </c>
      <c r="AQ27" s="276">
        <f t="shared" si="6"/>
        <v>12799.1175</v>
      </c>
      <c r="AR27" s="268">
        <f t="shared" si="6"/>
        <v>127991.17499999999</v>
      </c>
      <c r="AS27" s="239">
        <f t="shared" si="6"/>
        <v>131396.93124999999</v>
      </c>
      <c r="AT27" s="239">
        <f t="shared" si="6"/>
        <v>137698.6</v>
      </c>
      <c r="AU27" s="239">
        <f t="shared" si="6"/>
        <v>141858.92499999999</v>
      </c>
      <c r="AV27" s="239">
        <f t="shared" si="6"/>
        <v>145366.65</v>
      </c>
      <c r="AW27" s="239">
        <f t="shared" si="6"/>
        <v>151280.83750000002</v>
      </c>
      <c r="AX27" s="239">
        <f t="shared" si="6"/>
        <v>155685.88750000001</v>
      </c>
    </row>
    <row r="28" spans="1:50" ht="14.4" thickBot="1">
      <c r="A28" s="252"/>
      <c r="B28" s="235" t="s">
        <v>52</v>
      </c>
      <c r="C28" s="236"/>
      <c r="D28" s="236"/>
      <c r="E28" s="268">
        <f t="shared" si="6"/>
        <v>282375</v>
      </c>
      <c r="F28" s="276">
        <f t="shared" si="6"/>
        <v>28955.359999999997</v>
      </c>
      <c r="G28" s="276">
        <f t="shared" si="6"/>
        <v>36194.199999999997</v>
      </c>
      <c r="H28" s="276">
        <f t="shared" si="6"/>
        <v>36194.199999999997</v>
      </c>
      <c r="I28" s="276">
        <f t="shared" si="6"/>
        <v>28955.359999999997</v>
      </c>
      <c r="J28" s="276">
        <f t="shared" si="6"/>
        <v>28955.359999999997</v>
      </c>
      <c r="K28" s="276">
        <f t="shared" si="6"/>
        <v>28955.359999999997</v>
      </c>
      <c r="L28" s="276">
        <f t="shared" si="6"/>
        <v>28955.359999999997</v>
      </c>
      <c r="M28" s="276">
        <f t="shared" si="6"/>
        <v>28955.359999999997</v>
      </c>
      <c r="N28" s="276">
        <f t="shared" si="6"/>
        <v>28955.359999999997</v>
      </c>
      <c r="O28" s="276">
        <f t="shared" si="6"/>
        <v>28955.359999999997</v>
      </c>
      <c r="P28" s="276">
        <f t="shared" si="6"/>
        <v>21716.519999999997</v>
      </c>
      <c r="Q28" s="276">
        <f t="shared" si="6"/>
        <v>36194.199999999997</v>
      </c>
      <c r="R28" s="268">
        <f t="shared" si="6"/>
        <v>361942</v>
      </c>
      <c r="S28" s="276">
        <f t="shared" si="6"/>
        <v>30310.76</v>
      </c>
      <c r="T28" s="276">
        <f t="shared" ref="T28:AD28" si="8">+T18+T23</f>
        <v>37888.449999999997</v>
      </c>
      <c r="U28" s="276">
        <f t="shared" si="8"/>
        <v>37888.449999999997</v>
      </c>
      <c r="V28" s="276">
        <f t="shared" si="8"/>
        <v>30310.76</v>
      </c>
      <c r="W28" s="276">
        <f t="shared" si="8"/>
        <v>30310.76</v>
      </c>
      <c r="X28" s="276">
        <f t="shared" si="8"/>
        <v>30310.76</v>
      </c>
      <c r="Y28" s="276">
        <f t="shared" si="8"/>
        <v>30310.76</v>
      </c>
      <c r="Z28" s="276">
        <f t="shared" si="8"/>
        <v>30310.76</v>
      </c>
      <c r="AA28" s="276">
        <f t="shared" si="8"/>
        <v>30310.76</v>
      </c>
      <c r="AB28" s="276">
        <f t="shared" si="8"/>
        <v>30310.76</v>
      </c>
      <c r="AC28" s="276">
        <f t="shared" si="8"/>
        <v>22733.069999999996</v>
      </c>
      <c r="AD28" s="276">
        <f t="shared" si="8"/>
        <v>37888.449999999997</v>
      </c>
      <c r="AE28" s="268">
        <f t="shared" si="6"/>
        <v>378884.49999999994</v>
      </c>
      <c r="AF28" s="276">
        <f t="shared" si="6"/>
        <v>30953.319999999996</v>
      </c>
      <c r="AG28" s="276">
        <f t="shared" si="6"/>
        <v>38691.65</v>
      </c>
      <c r="AH28" s="276">
        <f t="shared" si="6"/>
        <v>38691.65</v>
      </c>
      <c r="AI28" s="276">
        <f t="shared" si="6"/>
        <v>30953.319999999996</v>
      </c>
      <c r="AJ28" s="276">
        <f t="shared" si="6"/>
        <v>30953.319999999996</v>
      </c>
      <c r="AK28" s="276">
        <f t="shared" si="6"/>
        <v>30953.319999999996</v>
      </c>
      <c r="AL28" s="276">
        <f t="shared" si="6"/>
        <v>30953.319999999996</v>
      </c>
      <c r="AM28" s="276">
        <f t="shared" si="6"/>
        <v>30953.319999999996</v>
      </c>
      <c r="AN28" s="276">
        <f t="shared" si="6"/>
        <v>30953.319999999996</v>
      </c>
      <c r="AO28" s="276">
        <f t="shared" si="6"/>
        <v>30953.319999999996</v>
      </c>
      <c r="AP28" s="276">
        <f t="shared" si="6"/>
        <v>23214.989999999998</v>
      </c>
      <c r="AQ28" s="276">
        <f t="shared" si="6"/>
        <v>38691.65</v>
      </c>
      <c r="AR28" s="268">
        <f t="shared" si="6"/>
        <v>386916.49999999994</v>
      </c>
      <c r="AS28" s="239">
        <f t="shared" si="6"/>
        <v>401098</v>
      </c>
      <c r="AT28" s="239">
        <f t="shared" si="6"/>
        <v>414150</v>
      </c>
      <c r="AU28" s="239">
        <f t="shared" si="6"/>
        <v>426951</v>
      </c>
      <c r="AV28" s="239">
        <f t="shared" si="6"/>
        <v>437116.5</v>
      </c>
      <c r="AW28" s="239">
        <f t="shared" si="6"/>
        <v>453054.99999999994</v>
      </c>
      <c r="AX28" s="239">
        <f t="shared" si="6"/>
        <v>462090.99999999994</v>
      </c>
    </row>
    <row r="29" spans="1:50" ht="14.4" thickBot="1">
      <c r="A29" s="253"/>
      <c r="B29" s="243" t="s">
        <v>48</v>
      </c>
      <c r="C29" s="264"/>
      <c r="D29" s="264"/>
      <c r="E29" s="269">
        <f t="shared" si="6"/>
        <v>36708.75</v>
      </c>
      <c r="F29" s="276">
        <f t="shared" si="6"/>
        <v>4156.5600000000013</v>
      </c>
      <c r="G29" s="276">
        <f t="shared" si="6"/>
        <v>5195.7000000000016</v>
      </c>
      <c r="H29" s="276">
        <f t="shared" si="6"/>
        <v>5195.7000000000016</v>
      </c>
      <c r="I29" s="276">
        <f t="shared" si="6"/>
        <v>4156.5600000000013</v>
      </c>
      <c r="J29" s="276">
        <f t="shared" si="6"/>
        <v>4156.5600000000013</v>
      </c>
      <c r="K29" s="276">
        <f t="shared" si="6"/>
        <v>4156.5600000000013</v>
      </c>
      <c r="L29" s="276">
        <f t="shared" si="6"/>
        <v>4156.5600000000013</v>
      </c>
      <c r="M29" s="276">
        <f t="shared" si="6"/>
        <v>4156.5600000000013</v>
      </c>
      <c r="N29" s="276">
        <f t="shared" si="6"/>
        <v>4156.5600000000013</v>
      </c>
      <c r="O29" s="276">
        <f t="shared" si="6"/>
        <v>4156.5600000000013</v>
      </c>
      <c r="P29" s="276">
        <f t="shared" si="6"/>
        <v>3117.4200000000005</v>
      </c>
      <c r="Q29" s="276">
        <f t="shared" si="6"/>
        <v>5195.7000000000016</v>
      </c>
      <c r="R29" s="269">
        <f t="shared" si="6"/>
        <v>51957.000000000015</v>
      </c>
      <c r="S29" s="276">
        <f t="shared" si="6"/>
        <v>4542.0960000000005</v>
      </c>
      <c r="T29" s="276">
        <f t="shared" ref="T29:AD29" si="9">+T19+T24</f>
        <v>5677.6200000000008</v>
      </c>
      <c r="U29" s="276">
        <f t="shared" si="9"/>
        <v>5677.6200000000008</v>
      </c>
      <c r="V29" s="276">
        <f t="shared" si="9"/>
        <v>4542.0960000000005</v>
      </c>
      <c r="W29" s="276">
        <f t="shared" si="9"/>
        <v>4542.0960000000005</v>
      </c>
      <c r="X29" s="276">
        <f t="shared" si="9"/>
        <v>4542.0960000000005</v>
      </c>
      <c r="Y29" s="276">
        <f t="shared" si="9"/>
        <v>4542.0960000000005</v>
      </c>
      <c r="Z29" s="276">
        <f t="shared" si="9"/>
        <v>4542.0960000000005</v>
      </c>
      <c r="AA29" s="276">
        <f t="shared" si="9"/>
        <v>4542.0960000000005</v>
      </c>
      <c r="AB29" s="276">
        <f t="shared" si="9"/>
        <v>4542.0960000000005</v>
      </c>
      <c r="AC29" s="276">
        <f t="shared" si="9"/>
        <v>3406.5720000000001</v>
      </c>
      <c r="AD29" s="276">
        <f t="shared" si="9"/>
        <v>5677.6200000000008</v>
      </c>
      <c r="AE29" s="269">
        <f t="shared" si="6"/>
        <v>56776.200000000004</v>
      </c>
      <c r="AF29" s="276">
        <f t="shared" si="6"/>
        <v>4638.4799999999996</v>
      </c>
      <c r="AG29" s="276">
        <f t="shared" si="6"/>
        <v>5798.1</v>
      </c>
      <c r="AH29" s="276">
        <f t="shared" si="6"/>
        <v>5798.1</v>
      </c>
      <c r="AI29" s="276">
        <f t="shared" si="6"/>
        <v>4638.4799999999996</v>
      </c>
      <c r="AJ29" s="276">
        <f t="shared" si="6"/>
        <v>4638.4799999999996</v>
      </c>
      <c r="AK29" s="276">
        <f t="shared" si="6"/>
        <v>4638.4799999999996</v>
      </c>
      <c r="AL29" s="276">
        <f t="shared" si="6"/>
        <v>4638.4799999999996</v>
      </c>
      <c r="AM29" s="276">
        <f t="shared" si="6"/>
        <v>4638.4799999999996</v>
      </c>
      <c r="AN29" s="276">
        <f t="shared" si="6"/>
        <v>4638.4799999999996</v>
      </c>
      <c r="AO29" s="276">
        <f t="shared" si="6"/>
        <v>4638.4799999999996</v>
      </c>
      <c r="AP29" s="276">
        <f t="shared" si="6"/>
        <v>3478.86</v>
      </c>
      <c r="AQ29" s="276">
        <f t="shared" si="6"/>
        <v>5798.1</v>
      </c>
      <c r="AR29" s="269">
        <f t="shared" si="6"/>
        <v>57981</v>
      </c>
      <c r="AS29" s="241">
        <f t="shared" si="6"/>
        <v>61444.800000000003</v>
      </c>
      <c r="AT29" s="241">
        <f t="shared" si="6"/>
        <v>64004.999999999993</v>
      </c>
      <c r="AU29" s="241">
        <f t="shared" si="6"/>
        <v>65925.150000000009</v>
      </c>
      <c r="AV29" s="241">
        <f t="shared" si="6"/>
        <v>69633.675000000003</v>
      </c>
      <c r="AW29" s="241">
        <f t="shared" si="6"/>
        <v>72005.625</v>
      </c>
      <c r="AX29" s="241">
        <f t="shared" si="6"/>
        <v>74038.725000000006</v>
      </c>
    </row>
    <row r="30" spans="1:50" ht="14.4" thickBot="1">
      <c r="A30" s="236"/>
      <c r="B30" s="1"/>
      <c r="C30" s="1"/>
      <c r="D30" s="1"/>
      <c r="E30" s="270"/>
      <c r="F30" s="279"/>
      <c r="G30" s="279"/>
      <c r="H30" s="279"/>
      <c r="I30" s="279"/>
      <c r="J30" s="279"/>
      <c r="K30" s="279"/>
      <c r="L30" s="279"/>
      <c r="M30" s="279"/>
      <c r="N30" s="279"/>
      <c r="O30" s="279"/>
      <c r="P30" s="279"/>
      <c r="Q30" s="279"/>
      <c r="R30" s="270"/>
      <c r="S30" s="279"/>
      <c r="T30" s="279"/>
      <c r="U30" s="279"/>
      <c r="V30" s="279"/>
      <c r="W30" s="279"/>
      <c r="X30" s="279"/>
      <c r="Y30" s="279"/>
      <c r="Z30" s="279"/>
      <c r="AA30" s="279"/>
      <c r="AB30" s="279"/>
      <c r="AC30" s="279"/>
      <c r="AD30" s="279"/>
      <c r="AE30" s="270"/>
      <c r="AF30" s="279"/>
      <c r="AG30" s="279"/>
      <c r="AH30" s="279"/>
      <c r="AI30" s="279"/>
      <c r="AJ30" s="279"/>
      <c r="AK30" s="279"/>
      <c r="AL30" s="279"/>
      <c r="AM30" s="279"/>
      <c r="AN30" s="279"/>
      <c r="AO30" s="279"/>
      <c r="AP30" s="279"/>
      <c r="AQ30" s="279"/>
      <c r="AR30" s="270"/>
      <c r="AS30" s="230"/>
      <c r="AT30" s="230"/>
      <c r="AU30" s="230"/>
      <c r="AV30" s="230"/>
      <c r="AW30" s="230"/>
      <c r="AX30" s="230"/>
    </row>
    <row r="31" spans="1:50">
      <c r="A31" s="251" t="s">
        <v>384</v>
      </c>
      <c r="B31" s="234" t="s">
        <v>45</v>
      </c>
      <c r="C31" s="263"/>
      <c r="D31" s="263"/>
      <c r="E31" s="271">
        <f>+'Set Up Assumptions'!$H17*(1+Scenarios!F42)</f>
        <v>6000</v>
      </c>
      <c r="F31" s="280"/>
      <c r="G31" s="280"/>
      <c r="H31" s="280"/>
      <c r="I31" s="280"/>
      <c r="J31" s="280"/>
      <c r="K31" s="280"/>
      <c r="L31" s="280"/>
      <c r="M31" s="280"/>
      <c r="N31" s="280"/>
      <c r="O31" s="280"/>
      <c r="P31" s="280"/>
      <c r="Q31" s="280"/>
      <c r="R31" s="271">
        <f>+'Set Up Assumptions'!$H17*(1+Scenarios!G42)</f>
        <v>6240</v>
      </c>
      <c r="S31" s="280"/>
      <c r="T31" s="280"/>
      <c r="U31" s="280"/>
      <c r="V31" s="280"/>
      <c r="W31" s="280"/>
      <c r="X31" s="280"/>
      <c r="Y31" s="280"/>
      <c r="Z31" s="280"/>
      <c r="AA31" s="280"/>
      <c r="AB31" s="280"/>
      <c r="AC31" s="280"/>
      <c r="AD31" s="280"/>
      <c r="AE31" s="271">
        <f>+'Set Up Assumptions'!$H17*(1+Scenarios!H42)</f>
        <v>6240</v>
      </c>
      <c r="AF31" s="280"/>
      <c r="AG31" s="280"/>
      <c r="AH31" s="280"/>
      <c r="AI31" s="280"/>
      <c r="AJ31" s="280"/>
      <c r="AK31" s="280"/>
      <c r="AL31" s="280"/>
      <c r="AM31" s="280"/>
      <c r="AN31" s="280"/>
      <c r="AO31" s="280"/>
      <c r="AP31" s="280"/>
      <c r="AQ31" s="280"/>
      <c r="AR31" s="271">
        <f>+'Set Up Assumptions'!$H17*(1+Scenarios!I42)</f>
        <v>6240</v>
      </c>
      <c r="AS31" s="254">
        <f>+'Set Up Assumptions'!$H17*(1+Scenarios!J42)</f>
        <v>6240</v>
      </c>
      <c r="AT31" s="254">
        <f>+'Set Up Assumptions'!$H17*(1+Scenarios!K42)</f>
        <v>6300</v>
      </c>
      <c r="AU31" s="254">
        <f>+'Set Up Assumptions'!$H17*(1+Scenarios!L42)</f>
        <v>6300</v>
      </c>
      <c r="AV31" s="254">
        <f>+'Set Up Assumptions'!$H17*(1+Scenarios!M42)</f>
        <v>6300</v>
      </c>
      <c r="AW31" s="254">
        <f>+'Set Up Assumptions'!$H17*(1+Scenarios!N42)</f>
        <v>6300</v>
      </c>
      <c r="AX31" s="255">
        <f>+'Set Up Assumptions'!$H17*(1+Scenarios!O42)</f>
        <v>6300</v>
      </c>
    </row>
    <row r="32" spans="1:50">
      <c r="A32" s="252"/>
      <c r="B32" s="235" t="s">
        <v>46</v>
      </c>
      <c r="C32" s="236"/>
      <c r="D32" s="236"/>
      <c r="E32" s="272">
        <f>+'Set Up Assumptions'!$H18*(1+Scenarios!F43)</f>
        <v>12000</v>
      </c>
      <c r="F32" s="281"/>
      <c r="G32" s="281"/>
      <c r="H32" s="281"/>
      <c r="I32" s="281"/>
      <c r="J32" s="281"/>
      <c r="K32" s="281"/>
      <c r="L32" s="281"/>
      <c r="M32" s="281"/>
      <c r="N32" s="281"/>
      <c r="O32" s="281"/>
      <c r="P32" s="281"/>
      <c r="Q32" s="281"/>
      <c r="R32" s="272">
        <f>+'Set Up Assumptions'!$H18*(1+Scenarios!G43)</f>
        <v>12480</v>
      </c>
      <c r="S32" s="281"/>
      <c r="T32" s="281"/>
      <c r="U32" s="281"/>
      <c r="V32" s="281"/>
      <c r="W32" s="281"/>
      <c r="X32" s="281"/>
      <c r="Y32" s="281"/>
      <c r="Z32" s="281"/>
      <c r="AA32" s="281"/>
      <c r="AB32" s="281"/>
      <c r="AC32" s="281"/>
      <c r="AD32" s="281"/>
      <c r="AE32" s="272">
        <f>+'Set Up Assumptions'!$H18*(1+Scenarios!H43)</f>
        <v>12480</v>
      </c>
      <c r="AF32" s="281"/>
      <c r="AG32" s="281"/>
      <c r="AH32" s="281"/>
      <c r="AI32" s="281"/>
      <c r="AJ32" s="281"/>
      <c r="AK32" s="281"/>
      <c r="AL32" s="281"/>
      <c r="AM32" s="281"/>
      <c r="AN32" s="281"/>
      <c r="AO32" s="281"/>
      <c r="AP32" s="281"/>
      <c r="AQ32" s="281"/>
      <c r="AR32" s="272">
        <f>+'Set Up Assumptions'!$H18*(1+Scenarios!I43)</f>
        <v>12480</v>
      </c>
      <c r="AS32" s="256">
        <f>+'Set Up Assumptions'!$H18*(1+Scenarios!J43)</f>
        <v>12480</v>
      </c>
      <c r="AT32" s="256">
        <f>+'Set Up Assumptions'!$H18*(1+Scenarios!K43)</f>
        <v>12600</v>
      </c>
      <c r="AU32" s="256">
        <f>+'Set Up Assumptions'!$H18*(1+Scenarios!L43)</f>
        <v>12600</v>
      </c>
      <c r="AV32" s="256">
        <f>+'Set Up Assumptions'!$H18*(1+Scenarios!M43)</f>
        <v>12600</v>
      </c>
      <c r="AW32" s="256">
        <f>+'Set Up Assumptions'!$H18*(1+Scenarios!N43)</f>
        <v>12600</v>
      </c>
      <c r="AX32" s="257">
        <f>+'Set Up Assumptions'!$H18*(1+Scenarios!O43)</f>
        <v>12600</v>
      </c>
    </row>
    <row r="33" spans="1:50">
      <c r="A33" s="252"/>
      <c r="B33" s="235" t="s">
        <v>52</v>
      </c>
      <c r="C33" s="236"/>
      <c r="D33" s="236"/>
      <c r="E33" s="272">
        <f>+'Set Up Assumptions'!$H19*(1+Scenarios!F44)</f>
        <v>1000</v>
      </c>
      <c r="F33" s="281"/>
      <c r="G33" s="281"/>
      <c r="H33" s="281"/>
      <c r="I33" s="281"/>
      <c r="J33" s="281"/>
      <c r="K33" s="281"/>
      <c r="L33" s="281"/>
      <c r="M33" s="281"/>
      <c r="N33" s="281"/>
      <c r="O33" s="281"/>
      <c r="P33" s="281"/>
      <c r="Q33" s="281"/>
      <c r="R33" s="272">
        <f>+'Set Up Assumptions'!$H19*(1+Scenarios!G44)</f>
        <v>1050</v>
      </c>
      <c r="S33" s="281"/>
      <c r="T33" s="281"/>
      <c r="U33" s="281"/>
      <c r="V33" s="281"/>
      <c r="W33" s="281"/>
      <c r="X33" s="281"/>
      <c r="Y33" s="281"/>
      <c r="Z33" s="281"/>
      <c r="AA33" s="281"/>
      <c r="AB33" s="281"/>
      <c r="AC33" s="281"/>
      <c r="AD33" s="281"/>
      <c r="AE33" s="272">
        <f>+'Set Up Assumptions'!$H19*(1+Scenarios!H44)</f>
        <v>1050</v>
      </c>
      <c r="AF33" s="281"/>
      <c r="AG33" s="281"/>
      <c r="AH33" s="281"/>
      <c r="AI33" s="281"/>
      <c r="AJ33" s="281"/>
      <c r="AK33" s="281"/>
      <c r="AL33" s="281"/>
      <c r="AM33" s="281"/>
      <c r="AN33" s="281"/>
      <c r="AO33" s="281"/>
      <c r="AP33" s="281"/>
      <c r="AQ33" s="281"/>
      <c r="AR33" s="272">
        <f>+'Set Up Assumptions'!$H19*(1+Scenarios!I44)</f>
        <v>1050</v>
      </c>
      <c r="AS33" s="256">
        <f>+'Set Up Assumptions'!$H19*(1+Scenarios!J44)</f>
        <v>1050</v>
      </c>
      <c r="AT33" s="256">
        <f>+'Set Up Assumptions'!$H19*(1+Scenarios!K44)</f>
        <v>1060</v>
      </c>
      <c r="AU33" s="256">
        <f>+'Set Up Assumptions'!$H19*(1+Scenarios!L44)</f>
        <v>1060</v>
      </c>
      <c r="AV33" s="256">
        <f>+'Set Up Assumptions'!$H19*(1+Scenarios!M44)</f>
        <v>1060</v>
      </c>
      <c r="AW33" s="256">
        <f>+'Set Up Assumptions'!$H19*(1+Scenarios!N44)</f>
        <v>1060</v>
      </c>
      <c r="AX33" s="257">
        <f>+'Set Up Assumptions'!$H19*(1+Scenarios!O44)</f>
        <v>1060</v>
      </c>
    </row>
    <row r="34" spans="1:50" ht="14.4" thickBot="1">
      <c r="A34" s="253"/>
      <c r="B34" s="243" t="s">
        <v>48</v>
      </c>
      <c r="C34" s="264"/>
      <c r="D34" s="264"/>
      <c r="E34" s="273">
        <f>+'Set Up Assumptions'!$H20*(1+Scenarios!F45)</f>
        <v>18000</v>
      </c>
      <c r="F34" s="281"/>
      <c r="G34" s="282"/>
      <c r="H34" s="282"/>
      <c r="I34" s="282"/>
      <c r="J34" s="282"/>
      <c r="K34" s="282"/>
      <c r="L34" s="282"/>
      <c r="M34" s="282"/>
      <c r="N34" s="282"/>
      <c r="O34" s="282"/>
      <c r="P34" s="282"/>
      <c r="Q34" s="282"/>
      <c r="R34" s="273">
        <f>+'Set Up Assumptions'!$H20*(1+Scenarios!G45)</f>
        <v>18540</v>
      </c>
      <c r="S34" s="282"/>
      <c r="T34" s="282"/>
      <c r="U34" s="282"/>
      <c r="V34" s="282"/>
      <c r="W34" s="282"/>
      <c r="X34" s="282"/>
      <c r="Y34" s="282"/>
      <c r="Z34" s="282"/>
      <c r="AA34" s="282"/>
      <c r="AB34" s="282"/>
      <c r="AC34" s="282"/>
      <c r="AD34" s="282"/>
      <c r="AE34" s="273">
        <f>+'Set Up Assumptions'!$H20*(1+Scenarios!H45)</f>
        <v>18540</v>
      </c>
      <c r="AF34" s="282"/>
      <c r="AG34" s="282"/>
      <c r="AH34" s="282"/>
      <c r="AI34" s="282"/>
      <c r="AJ34" s="282"/>
      <c r="AK34" s="282"/>
      <c r="AL34" s="282"/>
      <c r="AM34" s="282"/>
      <c r="AN34" s="282"/>
      <c r="AO34" s="282"/>
      <c r="AP34" s="282"/>
      <c r="AQ34" s="282"/>
      <c r="AR34" s="273">
        <f>+'Set Up Assumptions'!$H20*(1+Scenarios!I45)</f>
        <v>18540</v>
      </c>
      <c r="AS34" s="258">
        <f>+'Set Up Assumptions'!$H20*(1+Scenarios!J45)</f>
        <v>18540</v>
      </c>
      <c r="AT34" s="258">
        <f>+'Set Up Assumptions'!$H20*(1+Scenarios!K45)</f>
        <v>18720</v>
      </c>
      <c r="AU34" s="258">
        <f>+'Set Up Assumptions'!$H20*(1+Scenarios!L45)</f>
        <v>18720</v>
      </c>
      <c r="AV34" s="258">
        <f>+'Set Up Assumptions'!$H20*(1+Scenarios!M45)</f>
        <v>18720</v>
      </c>
      <c r="AW34" s="258">
        <f>+'Set Up Assumptions'!$H20*(1+Scenarios!N45)</f>
        <v>18720</v>
      </c>
      <c r="AX34" s="259">
        <f>+'Set Up Assumptions'!$H20*(1+Scenarios!O45)</f>
        <v>18720</v>
      </c>
    </row>
    <row r="35" spans="1:50" ht="14.4" thickBot="1">
      <c r="A35" s="247"/>
    </row>
    <row r="36" spans="1:50" ht="14.4" thickBot="1">
      <c r="A36" s="260" t="s">
        <v>311</v>
      </c>
      <c r="B36" s="234" t="s">
        <v>45</v>
      </c>
      <c r="C36" s="263"/>
      <c r="D36" s="263"/>
      <c r="E36" s="271">
        <f>+E26*E31</f>
        <v>711585000</v>
      </c>
      <c r="F36" s="280">
        <f>+(F16*$R$31)+(F21*$E$31)</f>
        <v>78244531.200000003</v>
      </c>
      <c r="G36" s="280">
        <f>+G26*$R31</f>
        <v>98673120</v>
      </c>
      <c r="H36" s="280">
        <f t="shared" ref="H36:Q36" si="10">+H26*$R31</f>
        <v>98673120</v>
      </c>
      <c r="I36" s="280">
        <f t="shared" si="10"/>
        <v>78938496.000000015</v>
      </c>
      <c r="J36" s="280">
        <f t="shared" si="10"/>
        <v>78938496.000000015</v>
      </c>
      <c r="K36" s="280">
        <f t="shared" si="10"/>
        <v>78938496.000000015</v>
      </c>
      <c r="L36" s="280">
        <f t="shared" si="10"/>
        <v>78938496.000000015</v>
      </c>
      <c r="M36" s="280">
        <f t="shared" si="10"/>
        <v>78938496.000000015</v>
      </c>
      <c r="N36" s="280">
        <f t="shared" si="10"/>
        <v>78938496.000000015</v>
      </c>
      <c r="O36" s="280">
        <f t="shared" si="10"/>
        <v>78938496.000000015</v>
      </c>
      <c r="P36" s="280">
        <f t="shared" si="10"/>
        <v>59203871.999999993</v>
      </c>
      <c r="Q36" s="280">
        <f t="shared" si="10"/>
        <v>98673120</v>
      </c>
      <c r="R36" s="271">
        <f t="shared" ref="R36:AX36" si="11">+R26*R31</f>
        <v>986731200</v>
      </c>
      <c r="S36" s="280">
        <f>+(S21*R31)+(S16*AE31)</f>
        <v>83956728.959999993</v>
      </c>
      <c r="T36" s="280">
        <f>+T26*$AE31</f>
        <v>104945911.19999999</v>
      </c>
      <c r="U36" s="280">
        <f t="shared" ref="U36:AD36" si="12">+U26*$AE31</f>
        <v>104945911.19999999</v>
      </c>
      <c r="V36" s="280">
        <f t="shared" si="12"/>
        <v>83956728.959999993</v>
      </c>
      <c r="W36" s="280">
        <f t="shared" si="12"/>
        <v>83956728.959999993</v>
      </c>
      <c r="X36" s="280">
        <f t="shared" si="12"/>
        <v>83956728.959999993</v>
      </c>
      <c r="Y36" s="280">
        <f t="shared" si="12"/>
        <v>83956728.959999993</v>
      </c>
      <c r="Z36" s="280">
        <f t="shared" si="12"/>
        <v>83956728.959999993</v>
      </c>
      <c r="AA36" s="280">
        <f t="shared" si="12"/>
        <v>83956728.959999993</v>
      </c>
      <c r="AB36" s="280">
        <f t="shared" si="12"/>
        <v>83956728.959999993</v>
      </c>
      <c r="AC36" s="280">
        <f t="shared" si="12"/>
        <v>62967546.719999999</v>
      </c>
      <c r="AD36" s="280">
        <f t="shared" si="12"/>
        <v>104945911.19999999</v>
      </c>
      <c r="AE36" s="271">
        <f t="shared" si="11"/>
        <v>1049459111.9999999</v>
      </c>
      <c r="AF36" s="280">
        <f>+(AF21*$AE31)+(AF16*$AR31)</f>
        <v>85761037.439999998</v>
      </c>
      <c r="AG36" s="280">
        <f>+AG26*$AR31</f>
        <v>107201296.8</v>
      </c>
      <c r="AH36" s="280">
        <f t="shared" ref="AH36:AQ36" si="13">+AH26*$AR31</f>
        <v>107201296.8</v>
      </c>
      <c r="AI36" s="280">
        <f t="shared" si="13"/>
        <v>85761037.440000013</v>
      </c>
      <c r="AJ36" s="280">
        <f t="shared" si="13"/>
        <v>85761037.440000013</v>
      </c>
      <c r="AK36" s="280">
        <f t="shared" si="13"/>
        <v>85761037.440000013</v>
      </c>
      <c r="AL36" s="280">
        <f t="shared" si="13"/>
        <v>85761037.440000013</v>
      </c>
      <c r="AM36" s="280">
        <f t="shared" si="13"/>
        <v>85761037.440000013</v>
      </c>
      <c r="AN36" s="280">
        <f t="shared" si="13"/>
        <v>85761037.440000013</v>
      </c>
      <c r="AO36" s="280">
        <f t="shared" si="13"/>
        <v>85761037.440000013</v>
      </c>
      <c r="AP36" s="280">
        <f t="shared" si="13"/>
        <v>64320778.080000006</v>
      </c>
      <c r="AQ36" s="280">
        <f t="shared" si="13"/>
        <v>107201296.8</v>
      </c>
      <c r="AR36" s="271">
        <f t="shared" si="11"/>
        <v>1072012967.9999999</v>
      </c>
      <c r="AS36" s="254">
        <f t="shared" si="11"/>
        <v>1111306014</v>
      </c>
      <c r="AT36" s="254">
        <f t="shared" si="11"/>
        <v>1164864645</v>
      </c>
      <c r="AU36" s="254">
        <f t="shared" si="11"/>
        <v>1201155480</v>
      </c>
      <c r="AV36" s="254">
        <f t="shared" si="11"/>
        <v>1268044470</v>
      </c>
      <c r="AW36" s="254">
        <f t="shared" si="11"/>
        <v>1306825852.5</v>
      </c>
      <c r="AX36" s="255">
        <f t="shared" si="11"/>
        <v>1345251442.5</v>
      </c>
    </row>
    <row r="37" spans="1:50" ht="14.4" thickBot="1">
      <c r="A37" s="261"/>
      <c r="B37" s="235" t="s">
        <v>46</v>
      </c>
      <c r="C37" s="236"/>
      <c r="D37" s="236"/>
      <c r="E37" s="272">
        <f t="shared" ref="E37:AX39" si="14">+E27*E32</f>
        <v>1057212000</v>
      </c>
      <c r="F37" s="280">
        <f t="shared" ref="F37:F39" si="15">+F27*E32</f>
        <v>113160840</v>
      </c>
      <c r="G37" s="280">
        <f t="shared" ref="G37:Q37" si="16">+G27*$R32</f>
        <v>147109092</v>
      </c>
      <c r="H37" s="280">
        <f t="shared" si="16"/>
        <v>147109092</v>
      </c>
      <c r="I37" s="280">
        <f t="shared" si="16"/>
        <v>117687273.59999999</v>
      </c>
      <c r="J37" s="280">
        <f t="shared" si="16"/>
        <v>117687273.59999999</v>
      </c>
      <c r="K37" s="280">
        <f t="shared" si="16"/>
        <v>117687273.59999999</v>
      </c>
      <c r="L37" s="280">
        <f t="shared" si="16"/>
        <v>117687273.59999999</v>
      </c>
      <c r="M37" s="280">
        <f t="shared" si="16"/>
        <v>117687273.59999999</v>
      </c>
      <c r="N37" s="280">
        <f t="shared" si="16"/>
        <v>117687273.59999999</v>
      </c>
      <c r="O37" s="280">
        <f t="shared" si="16"/>
        <v>117687273.59999999</v>
      </c>
      <c r="P37" s="280">
        <f t="shared" si="16"/>
        <v>88265455.200000003</v>
      </c>
      <c r="Q37" s="280">
        <f t="shared" si="16"/>
        <v>147109092</v>
      </c>
      <c r="R37" s="272">
        <f t="shared" si="14"/>
        <v>1471090920</v>
      </c>
      <c r="S37" s="280">
        <f t="shared" ref="S37:S39" si="17">+(S22*R32)+(S17*AE32)</f>
        <v>125180165.75999999</v>
      </c>
      <c r="T37" s="280">
        <f t="shared" ref="T37:AD39" si="18">+T27*$AE32</f>
        <v>156475207.20000002</v>
      </c>
      <c r="U37" s="280">
        <f t="shared" si="18"/>
        <v>156475207.20000002</v>
      </c>
      <c r="V37" s="280">
        <f t="shared" si="18"/>
        <v>125180165.75999999</v>
      </c>
      <c r="W37" s="280">
        <f t="shared" si="18"/>
        <v>125180165.75999999</v>
      </c>
      <c r="X37" s="280">
        <f t="shared" si="18"/>
        <v>125180165.75999999</v>
      </c>
      <c r="Y37" s="280">
        <f t="shared" si="18"/>
        <v>125180165.75999999</v>
      </c>
      <c r="Z37" s="280">
        <f t="shared" si="18"/>
        <v>125180165.75999999</v>
      </c>
      <c r="AA37" s="280">
        <f t="shared" si="18"/>
        <v>125180165.75999999</v>
      </c>
      <c r="AB37" s="280">
        <f t="shared" si="18"/>
        <v>125180165.75999999</v>
      </c>
      <c r="AC37" s="280">
        <f t="shared" si="18"/>
        <v>93885124.319999993</v>
      </c>
      <c r="AD37" s="280">
        <f t="shared" si="18"/>
        <v>156475207.20000002</v>
      </c>
      <c r="AE37" s="272">
        <f t="shared" si="14"/>
        <v>1564752072</v>
      </c>
      <c r="AF37" s="280">
        <f t="shared" ref="AF37:AF39" si="19">+(AF22*$AE32)+(AF17*$AR32)</f>
        <v>127786389.12</v>
      </c>
      <c r="AG37" s="280">
        <f t="shared" ref="AG37:AQ39" si="20">+AG27*$AR32</f>
        <v>159732986.40000001</v>
      </c>
      <c r="AH37" s="280">
        <f t="shared" si="20"/>
        <v>159732986.40000001</v>
      </c>
      <c r="AI37" s="280">
        <f t="shared" si="20"/>
        <v>127786389.12</v>
      </c>
      <c r="AJ37" s="280">
        <f t="shared" si="20"/>
        <v>127786389.12</v>
      </c>
      <c r="AK37" s="280">
        <f t="shared" si="20"/>
        <v>127786389.12</v>
      </c>
      <c r="AL37" s="280">
        <f t="shared" si="20"/>
        <v>127786389.12</v>
      </c>
      <c r="AM37" s="280">
        <f t="shared" si="20"/>
        <v>127786389.12</v>
      </c>
      <c r="AN37" s="280">
        <f t="shared" si="20"/>
        <v>127786389.12</v>
      </c>
      <c r="AO37" s="280">
        <f t="shared" si="20"/>
        <v>127786389.12</v>
      </c>
      <c r="AP37" s="280">
        <f t="shared" si="20"/>
        <v>95839791.839999989</v>
      </c>
      <c r="AQ37" s="280">
        <f t="shared" si="20"/>
        <v>159732986.40000001</v>
      </c>
      <c r="AR37" s="272">
        <f t="shared" si="14"/>
        <v>1597329863.9999998</v>
      </c>
      <c r="AS37" s="256">
        <f t="shared" si="14"/>
        <v>1639833702</v>
      </c>
      <c r="AT37" s="256">
        <f t="shared" si="14"/>
        <v>1735002360</v>
      </c>
      <c r="AU37" s="256">
        <f t="shared" si="14"/>
        <v>1787422454.9999998</v>
      </c>
      <c r="AV37" s="256">
        <f t="shared" si="14"/>
        <v>1831619790</v>
      </c>
      <c r="AW37" s="256">
        <f t="shared" si="14"/>
        <v>1906138552.5000002</v>
      </c>
      <c r="AX37" s="257">
        <f t="shared" si="14"/>
        <v>1961642182.5000002</v>
      </c>
    </row>
    <row r="38" spans="1:50" ht="14.4" thickBot="1">
      <c r="A38" s="261"/>
      <c r="B38" s="235" t="s">
        <v>52</v>
      </c>
      <c r="C38" s="236"/>
      <c r="D38" s="236"/>
      <c r="E38" s="272">
        <f t="shared" si="14"/>
        <v>282375000</v>
      </c>
      <c r="F38" s="280">
        <f t="shared" si="15"/>
        <v>28955359.999999996</v>
      </c>
      <c r="G38" s="280">
        <f t="shared" ref="G38:Q38" si="21">+G28*$R33</f>
        <v>38003910</v>
      </c>
      <c r="H38" s="280">
        <f t="shared" si="21"/>
        <v>38003910</v>
      </c>
      <c r="I38" s="280">
        <f t="shared" si="21"/>
        <v>30403127.999999996</v>
      </c>
      <c r="J38" s="280">
        <f t="shared" si="21"/>
        <v>30403127.999999996</v>
      </c>
      <c r="K38" s="280">
        <f t="shared" si="21"/>
        <v>30403127.999999996</v>
      </c>
      <c r="L38" s="280">
        <f t="shared" si="21"/>
        <v>30403127.999999996</v>
      </c>
      <c r="M38" s="280">
        <f t="shared" si="21"/>
        <v>30403127.999999996</v>
      </c>
      <c r="N38" s="280">
        <f t="shared" si="21"/>
        <v>30403127.999999996</v>
      </c>
      <c r="O38" s="280">
        <f t="shared" si="21"/>
        <v>30403127.999999996</v>
      </c>
      <c r="P38" s="280">
        <f t="shared" si="21"/>
        <v>22802345.999999996</v>
      </c>
      <c r="Q38" s="280">
        <f t="shared" si="21"/>
        <v>38003910</v>
      </c>
      <c r="R38" s="272">
        <f t="shared" si="14"/>
        <v>380039100</v>
      </c>
      <c r="S38" s="280">
        <f t="shared" si="17"/>
        <v>31826297.999999996</v>
      </c>
      <c r="T38" s="280">
        <f t="shared" si="18"/>
        <v>39782872.5</v>
      </c>
      <c r="U38" s="280">
        <f t="shared" si="18"/>
        <v>39782872.5</v>
      </c>
      <c r="V38" s="280">
        <f t="shared" si="18"/>
        <v>31826298</v>
      </c>
      <c r="W38" s="280">
        <f t="shared" si="18"/>
        <v>31826298</v>
      </c>
      <c r="X38" s="280">
        <f t="shared" si="18"/>
        <v>31826298</v>
      </c>
      <c r="Y38" s="280">
        <f t="shared" si="18"/>
        <v>31826298</v>
      </c>
      <c r="Z38" s="280">
        <f t="shared" si="18"/>
        <v>31826298</v>
      </c>
      <c r="AA38" s="280">
        <f t="shared" si="18"/>
        <v>31826298</v>
      </c>
      <c r="AB38" s="280">
        <f t="shared" si="18"/>
        <v>31826298</v>
      </c>
      <c r="AC38" s="280">
        <f t="shared" si="18"/>
        <v>23869723.499999996</v>
      </c>
      <c r="AD38" s="280">
        <f t="shared" si="18"/>
        <v>39782872.5</v>
      </c>
      <c r="AE38" s="272">
        <f t="shared" si="14"/>
        <v>397828724.99999994</v>
      </c>
      <c r="AF38" s="280">
        <f t="shared" si="19"/>
        <v>32500985.999999996</v>
      </c>
      <c r="AG38" s="280">
        <f t="shared" si="20"/>
        <v>40626232.5</v>
      </c>
      <c r="AH38" s="280">
        <f t="shared" si="20"/>
        <v>40626232.5</v>
      </c>
      <c r="AI38" s="280">
        <f t="shared" si="20"/>
        <v>32500985.999999996</v>
      </c>
      <c r="AJ38" s="280">
        <f t="shared" si="20"/>
        <v>32500985.999999996</v>
      </c>
      <c r="AK38" s="280">
        <f t="shared" si="20"/>
        <v>32500985.999999996</v>
      </c>
      <c r="AL38" s="280">
        <f t="shared" si="20"/>
        <v>32500985.999999996</v>
      </c>
      <c r="AM38" s="280">
        <f t="shared" si="20"/>
        <v>32500985.999999996</v>
      </c>
      <c r="AN38" s="280">
        <f t="shared" si="20"/>
        <v>32500985.999999996</v>
      </c>
      <c r="AO38" s="280">
        <f t="shared" si="20"/>
        <v>32500985.999999996</v>
      </c>
      <c r="AP38" s="280">
        <f t="shared" si="20"/>
        <v>24375739.499999996</v>
      </c>
      <c r="AQ38" s="280">
        <f t="shared" si="20"/>
        <v>40626232.5</v>
      </c>
      <c r="AR38" s="272">
        <f t="shared" si="14"/>
        <v>406262324.99999994</v>
      </c>
      <c r="AS38" s="256">
        <f t="shared" si="14"/>
        <v>421152900</v>
      </c>
      <c r="AT38" s="256">
        <f t="shared" si="14"/>
        <v>438999000</v>
      </c>
      <c r="AU38" s="256">
        <f t="shared" si="14"/>
        <v>452568060</v>
      </c>
      <c r="AV38" s="256">
        <f t="shared" si="14"/>
        <v>463343490</v>
      </c>
      <c r="AW38" s="256">
        <f t="shared" si="14"/>
        <v>480238299.99999994</v>
      </c>
      <c r="AX38" s="257">
        <f t="shared" si="14"/>
        <v>489816459.99999994</v>
      </c>
    </row>
    <row r="39" spans="1:50" ht="14.4" thickBot="1">
      <c r="A39" s="262"/>
      <c r="B39" s="243" t="s">
        <v>48</v>
      </c>
      <c r="C39" s="264"/>
      <c r="D39" s="264"/>
      <c r="E39" s="273">
        <f t="shared" si="14"/>
        <v>660757500</v>
      </c>
      <c r="F39" s="280">
        <f t="shared" si="15"/>
        <v>74818080.00000003</v>
      </c>
      <c r="G39" s="280">
        <f t="shared" ref="G39:Q39" si="22">+G29*$R34</f>
        <v>96328278.00000003</v>
      </c>
      <c r="H39" s="280">
        <f t="shared" si="22"/>
        <v>96328278.00000003</v>
      </c>
      <c r="I39" s="280">
        <f t="shared" si="22"/>
        <v>77062622.400000021</v>
      </c>
      <c r="J39" s="280">
        <f t="shared" si="22"/>
        <v>77062622.400000021</v>
      </c>
      <c r="K39" s="280">
        <f t="shared" si="22"/>
        <v>77062622.400000021</v>
      </c>
      <c r="L39" s="280">
        <f t="shared" si="22"/>
        <v>77062622.400000021</v>
      </c>
      <c r="M39" s="280">
        <f t="shared" si="22"/>
        <v>77062622.400000021</v>
      </c>
      <c r="N39" s="280">
        <f t="shared" si="22"/>
        <v>77062622.400000021</v>
      </c>
      <c r="O39" s="280">
        <f t="shared" si="22"/>
        <v>77062622.400000021</v>
      </c>
      <c r="P39" s="280">
        <f t="shared" si="22"/>
        <v>57796966.800000012</v>
      </c>
      <c r="Q39" s="280">
        <f t="shared" si="22"/>
        <v>96328278.00000003</v>
      </c>
      <c r="R39" s="273">
        <f t="shared" si="14"/>
        <v>963282780.00000024</v>
      </c>
      <c r="S39" s="280">
        <f t="shared" si="17"/>
        <v>84210459.840000004</v>
      </c>
      <c r="T39" s="280">
        <f t="shared" si="18"/>
        <v>105263074.80000001</v>
      </c>
      <c r="U39" s="280">
        <f t="shared" si="18"/>
        <v>105263074.80000001</v>
      </c>
      <c r="V39" s="280">
        <f t="shared" si="18"/>
        <v>84210459.840000004</v>
      </c>
      <c r="W39" s="280">
        <f t="shared" si="18"/>
        <v>84210459.840000004</v>
      </c>
      <c r="X39" s="280">
        <f t="shared" si="18"/>
        <v>84210459.840000004</v>
      </c>
      <c r="Y39" s="280">
        <f t="shared" si="18"/>
        <v>84210459.840000004</v>
      </c>
      <c r="Z39" s="280">
        <f t="shared" si="18"/>
        <v>84210459.840000004</v>
      </c>
      <c r="AA39" s="280">
        <f t="shared" si="18"/>
        <v>84210459.840000004</v>
      </c>
      <c r="AB39" s="280">
        <f t="shared" si="18"/>
        <v>84210459.840000004</v>
      </c>
      <c r="AC39" s="280">
        <f t="shared" si="18"/>
        <v>63157844.880000003</v>
      </c>
      <c r="AD39" s="280">
        <f t="shared" si="18"/>
        <v>105263074.80000001</v>
      </c>
      <c r="AE39" s="273">
        <f t="shared" si="14"/>
        <v>1052630748.0000001</v>
      </c>
      <c r="AF39" s="280">
        <f t="shared" si="19"/>
        <v>85997419.200000003</v>
      </c>
      <c r="AG39" s="280">
        <f t="shared" si="20"/>
        <v>107496774</v>
      </c>
      <c r="AH39" s="280">
        <f t="shared" si="20"/>
        <v>107496774</v>
      </c>
      <c r="AI39" s="280">
        <f t="shared" si="20"/>
        <v>85997419.199999988</v>
      </c>
      <c r="AJ39" s="280">
        <f t="shared" si="20"/>
        <v>85997419.199999988</v>
      </c>
      <c r="AK39" s="280">
        <f t="shared" si="20"/>
        <v>85997419.199999988</v>
      </c>
      <c r="AL39" s="280">
        <f t="shared" si="20"/>
        <v>85997419.199999988</v>
      </c>
      <c r="AM39" s="280">
        <f t="shared" si="20"/>
        <v>85997419.199999988</v>
      </c>
      <c r="AN39" s="280">
        <f t="shared" si="20"/>
        <v>85997419.199999988</v>
      </c>
      <c r="AO39" s="280">
        <f t="shared" si="20"/>
        <v>85997419.199999988</v>
      </c>
      <c r="AP39" s="280">
        <f t="shared" si="20"/>
        <v>64498064.400000006</v>
      </c>
      <c r="AQ39" s="280">
        <f t="shared" si="20"/>
        <v>107496774</v>
      </c>
      <c r="AR39" s="273">
        <f t="shared" si="14"/>
        <v>1074967740</v>
      </c>
      <c r="AS39" s="258">
        <f t="shared" si="14"/>
        <v>1139186592</v>
      </c>
      <c r="AT39" s="258">
        <f t="shared" si="14"/>
        <v>1198173599.9999998</v>
      </c>
      <c r="AU39" s="258">
        <f t="shared" si="14"/>
        <v>1234118808.0000002</v>
      </c>
      <c r="AV39" s="258">
        <f t="shared" si="14"/>
        <v>1303542396</v>
      </c>
      <c r="AW39" s="258">
        <f t="shared" si="14"/>
        <v>1347945300</v>
      </c>
      <c r="AX39" s="259">
        <f t="shared" si="14"/>
        <v>1386004932</v>
      </c>
    </row>
    <row r="40" spans="1:50">
      <c r="AU40" s="232"/>
      <c r="AX40" s="1"/>
    </row>
    <row r="41" spans="1:50">
      <c r="AX41" s="1"/>
    </row>
    <row r="42" spans="1:50">
      <c r="AX42" s="1"/>
    </row>
  </sheetData>
  <mergeCells count="7">
    <mergeCell ref="A36:A39"/>
    <mergeCell ref="A6:A9"/>
    <mergeCell ref="A11:A14"/>
    <mergeCell ref="A16:A19"/>
    <mergeCell ref="A21:A24"/>
    <mergeCell ref="A26:A29"/>
    <mergeCell ref="A31:A34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D881-14C5-4CE5-9AEE-F3DD2316CC31}">
  <dimension ref="A2:Z47"/>
  <sheetViews>
    <sheetView showGridLines="0" workbookViewId="0">
      <selection activeCell="H3" sqref="H3"/>
    </sheetView>
  </sheetViews>
  <sheetFormatPr defaultRowHeight="13.8"/>
  <cols>
    <col min="1" max="1" width="8.296875" style="1" customWidth="1"/>
    <col min="2" max="2" width="24.19921875" style="207" bestFit="1" customWidth="1"/>
    <col min="3" max="4" width="24.19921875" style="207" customWidth="1"/>
    <col min="5" max="5" width="14.69921875" style="197" bestFit="1" customWidth="1"/>
    <col min="6" max="17" width="14.69921875" style="197" customWidth="1"/>
    <col min="18" max="26" width="14.69921875" style="197" bestFit="1" customWidth="1"/>
    <col min="27" max="16384" width="8.796875" style="1"/>
  </cols>
  <sheetData>
    <row r="2" spans="1:26" s="229" customFormat="1">
      <c r="A2" s="229" t="s">
        <v>385</v>
      </c>
      <c r="B2" s="233"/>
      <c r="C2" s="233"/>
      <c r="D2" s="233"/>
      <c r="E2" s="248">
        <v>2025</v>
      </c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>
        <v>2026</v>
      </c>
      <c r="S2" s="248">
        <f>+R2+1</f>
        <v>2027</v>
      </c>
      <c r="T2" s="248">
        <f t="shared" ref="T2:Z2" si="0">+S2+1</f>
        <v>2028</v>
      </c>
      <c r="U2" s="248">
        <f t="shared" si="0"/>
        <v>2029</v>
      </c>
      <c r="V2" s="248">
        <f t="shared" si="0"/>
        <v>2030</v>
      </c>
      <c r="W2" s="248">
        <f t="shared" si="0"/>
        <v>2031</v>
      </c>
      <c r="X2" s="248">
        <f t="shared" si="0"/>
        <v>2032</v>
      </c>
      <c r="Y2" s="248">
        <f t="shared" si="0"/>
        <v>2033</v>
      </c>
      <c r="Z2" s="248">
        <f t="shared" si="0"/>
        <v>2034</v>
      </c>
    </row>
    <row r="3" spans="1:26" s="229" customFormat="1">
      <c r="B3" s="233"/>
      <c r="C3" s="233"/>
      <c r="D3" s="233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</row>
    <row r="4" spans="1:26" s="229" customFormat="1">
      <c r="B4" s="233"/>
      <c r="C4" s="233"/>
      <c r="D4" s="233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  <c r="R4" s="248"/>
      <c r="S4" s="248"/>
      <c r="T4" s="248"/>
      <c r="U4" s="248"/>
      <c r="V4" s="248"/>
      <c r="W4" s="248"/>
      <c r="X4" s="248"/>
      <c r="Y4" s="248"/>
      <c r="Z4" s="248"/>
    </row>
    <row r="5" spans="1:26" s="229" customFormat="1">
      <c r="B5" s="233"/>
      <c r="C5" s="233"/>
      <c r="D5" s="233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  <c r="R5" s="248"/>
      <c r="S5" s="248"/>
      <c r="T5" s="248"/>
      <c r="U5" s="248"/>
      <c r="V5" s="248"/>
      <c r="W5" s="248"/>
      <c r="X5" s="248"/>
      <c r="Y5" s="248"/>
      <c r="Z5" s="248"/>
    </row>
    <row r="6" spans="1:26" s="229" customFormat="1">
      <c r="B6" s="233"/>
      <c r="C6" s="233"/>
      <c r="D6" s="233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</row>
    <row r="7" spans="1:26" s="229" customFormat="1">
      <c r="B7" s="233"/>
      <c r="C7" s="233"/>
      <c r="D7" s="233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  <c r="R7" s="248"/>
      <c r="S7" s="248"/>
      <c r="T7" s="248"/>
      <c r="U7" s="248"/>
      <c r="V7" s="248"/>
      <c r="W7" s="248"/>
      <c r="X7" s="248"/>
      <c r="Y7" s="248"/>
      <c r="Z7" s="248"/>
    </row>
    <row r="8" spans="1:26" s="229" customFormat="1">
      <c r="B8" s="233"/>
      <c r="C8" s="233"/>
      <c r="D8" s="233"/>
      <c r="E8" s="248"/>
      <c r="F8" s="248"/>
      <c r="G8" s="248"/>
      <c r="H8" s="248"/>
      <c r="I8" s="248"/>
      <c r="J8" s="248"/>
      <c r="K8" s="248"/>
      <c r="L8" s="248"/>
      <c r="M8" s="248"/>
      <c r="N8" s="248"/>
      <c r="O8" s="248"/>
      <c r="P8" s="248"/>
      <c r="Q8" s="248"/>
      <c r="R8" s="248"/>
      <c r="S8" s="248"/>
      <c r="T8" s="248"/>
      <c r="U8" s="248"/>
      <c r="V8" s="248"/>
      <c r="W8" s="248"/>
      <c r="X8" s="248"/>
      <c r="Y8" s="248"/>
      <c r="Z8" s="248"/>
    </row>
    <row r="9" spans="1:26" s="229" customFormat="1">
      <c r="B9" s="233"/>
      <c r="C9" s="233"/>
      <c r="D9" s="233"/>
      <c r="E9" s="248"/>
      <c r="F9" s="248"/>
      <c r="G9" s="248"/>
      <c r="H9" s="248"/>
      <c r="I9" s="248"/>
      <c r="J9" s="248"/>
      <c r="K9" s="248"/>
      <c r="L9" s="248"/>
      <c r="M9" s="248"/>
      <c r="N9" s="248"/>
      <c r="O9" s="248"/>
      <c r="P9" s="248"/>
      <c r="Q9" s="248"/>
      <c r="R9" s="248"/>
      <c r="S9" s="248"/>
      <c r="T9" s="248"/>
      <c r="U9" s="248"/>
      <c r="V9" s="248"/>
      <c r="W9" s="248"/>
      <c r="X9" s="248"/>
      <c r="Y9" s="248"/>
      <c r="Z9" s="248"/>
    </row>
    <row r="10" spans="1:26" s="249" customFormat="1" ht="5.4" customHeight="1" thickBot="1">
      <c r="B10" s="250"/>
      <c r="C10" s="250"/>
      <c r="D10" s="250"/>
    </row>
    <row r="11" spans="1:26">
      <c r="A11" s="244" t="s">
        <v>383</v>
      </c>
      <c r="B11" s="234" t="s">
        <v>45</v>
      </c>
      <c r="C11" s="263"/>
      <c r="D11" s="263"/>
      <c r="E11" s="237">
        <f>+('Set Up Assumptions'!$H$7*'Set Up Assumptions'!$H10)*(1-Scenarios!F32)</f>
        <v>56475</v>
      </c>
      <c r="F11" s="237"/>
      <c r="G11" s="237"/>
      <c r="H11" s="237"/>
      <c r="I11" s="237"/>
      <c r="J11" s="237"/>
      <c r="K11" s="237"/>
      <c r="L11" s="237"/>
      <c r="M11" s="237"/>
      <c r="N11" s="237"/>
      <c r="O11" s="237"/>
      <c r="P11" s="237"/>
      <c r="Q11" s="237"/>
      <c r="R11" s="237">
        <f>+('Set Up Assumptions'!$H$7*'Set Up Assumptions'!$H10)*(1-Scenarios!G32)*Scenarios!G37</f>
        <v>45180</v>
      </c>
      <c r="S11" s="237">
        <f>+('Set Up Assumptions'!$H$7*'Set Up Assumptions'!$H10)*(1-Scenarios!H32)*Scenarios!H37</f>
        <v>38402.999999999993</v>
      </c>
      <c r="T11" s="237">
        <f>+('Set Up Assumptions'!$H$7*'Set Up Assumptions'!$H10)*(1-Scenarios!I32)*Scenarios!I37</f>
        <v>38402.999999999993</v>
      </c>
      <c r="U11" s="237">
        <f>+('Set Up Assumptions'!$H$7*'Set Up Assumptions'!$H10)*(1-Scenarios!J32)*Scenarios!J37</f>
        <v>28802.250000000004</v>
      </c>
      <c r="V11" s="237">
        <f>+('Set Up Assumptions'!$H$7*'Set Up Assumptions'!$H10)*(1-Scenarios!K32)*Scenarios!K37</f>
        <v>30496.500000000007</v>
      </c>
      <c r="W11" s="237">
        <f>+('Set Up Assumptions'!$H$7*'Set Up Assumptions'!$H10)*(1-Scenarios!L32)*Scenarios!L37</f>
        <v>30496.500000000007</v>
      </c>
      <c r="X11" s="237">
        <f>+('Set Up Assumptions'!$H$7*'Set Up Assumptions'!$H10)*(1-Scenarios!M32)*Scenarios!M37</f>
        <v>20330.999999999996</v>
      </c>
      <c r="Y11" s="237">
        <f>+('Set Up Assumptions'!$H$7*'Set Up Assumptions'!$H10)*(1-Scenarios!N32)*Scenarios!N37</f>
        <v>21460.499999999996</v>
      </c>
      <c r="Z11" s="238">
        <f>+('Set Up Assumptions'!$H$7*'Set Up Assumptions'!$H10)*(1-Scenarios!O32)*Scenarios!O37</f>
        <v>21460.499999999996</v>
      </c>
    </row>
    <row r="12" spans="1:26">
      <c r="A12" s="245"/>
      <c r="B12" s="235" t="str">
        <f>+'Set Up Assumptions'!F11</f>
        <v>Microprocessors</v>
      </c>
      <c r="C12" s="236"/>
      <c r="D12" s="236"/>
      <c r="E12" s="239">
        <f>+('Set Up Assumptions'!$H$7*'Set Up Assumptions'!$H11)*(1-Scenarios!F33)</f>
        <v>40787.5</v>
      </c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39"/>
      <c r="R12" s="239">
        <f>+('Set Up Assumptions'!$H$7*'Set Up Assumptions'!$H11)*(1-Scenarios!G33)*Scenarios!G38</f>
        <v>32630</v>
      </c>
      <c r="S12" s="239">
        <f>+('Set Up Assumptions'!$H$7*'Set Up Assumptions'!$H11)*(1-Scenarios!H33)*Scenarios!H38</f>
        <v>27735.499999999993</v>
      </c>
      <c r="T12" s="239">
        <f>+('Set Up Assumptions'!$H$7*'Set Up Assumptions'!$H11)*(1-Scenarios!I33)*Scenarios!I38</f>
        <v>27735.499999999993</v>
      </c>
      <c r="U12" s="239">
        <f>+('Set Up Assumptions'!$H$7*'Set Up Assumptions'!$H11)*(1-Scenarios!J33)*Scenarios!J38</f>
        <v>20801.625000000004</v>
      </c>
      <c r="V12" s="239">
        <f>+('Set Up Assumptions'!$H$7*'Set Up Assumptions'!$H11)*(1-Scenarios!K33)*Scenarios!K38</f>
        <v>22025.250000000004</v>
      </c>
      <c r="W12" s="239">
        <f>+('Set Up Assumptions'!$H$7*'Set Up Assumptions'!$H11)*(1-Scenarios!L33)*Scenarios!L38</f>
        <v>22025.250000000004</v>
      </c>
      <c r="X12" s="239">
        <f>+('Set Up Assumptions'!$H$7*'Set Up Assumptions'!$H11)*(1-Scenarios!M33)*Scenarios!M38</f>
        <v>14683.499999999996</v>
      </c>
      <c r="Y12" s="239">
        <f>+('Set Up Assumptions'!$H$7*'Set Up Assumptions'!$H11)*(1-Scenarios!N33)*Scenarios!N38</f>
        <v>15499.249999999996</v>
      </c>
      <c r="Z12" s="240">
        <f>+('Set Up Assumptions'!$H$7*'Set Up Assumptions'!$H11)*(1-Scenarios!O33)*Scenarios!O38</f>
        <v>15499.249999999996</v>
      </c>
    </row>
    <row r="13" spans="1:26">
      <c r="A13" s="245"/>
      <c r="B13" s="235" t="str">
        <f>+'Set Up Assumptions'!F12</f>
        <v>Standard Chips</v>
      </c>
      <c r="C13" s="236"/>
      <c r="D13" s="236"/>
      <c r="E13" s="239">
        <f>+('Set Up Assumptions'!$H$7*'Set Up Assumptions'!$H12)*(1-Scenarios!F34)</f>
        <v>100399.99999999997</v>
      </c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39"/>
      <c r="R13" s="239">
        <f>+('Set Up Assumptions'!$H$7*'Set Up Assumptions'!$H12)*(1-Scenarios!G34)*Scenarios!G39</f>
        <v>85339.999999999985</v>
      </c>
      <c r="S13" s="239">
        <f>+('Set Up Assumptions'!$H$7*'Set Up Assumptions'!$H12)*(1-Scenarios!H34)*Scenarios!H39</f>
        <v>67769.999999999956</v>
      </c>
      <c r="T13" s="239">
        <f>+('Set Up Assumptions'!$H$7*'Set Up Assumptions'!$H12)*(1-Scenarios!I34)*Scenarios!I39</f>
        <v>67769.999999999956</v>
      </c>
      <c r="U13" s="239">
        <f>+('Set Up Assumptions'!$H$7*'Set Up Assumptions'!$H12)*(1-Scenarios!J34)*Scenarios!J39</f>
        <v>45179.999999999985</v>
      </c>
      <c r="V13" s="239">
        <f>+('Set Up Assumptions'!$H$7*'Set Up Assumptions'!$H12)*(1-Scenarios!K34)*Scenarios!K39</f>
        <v>47689.999999999993</v>
      </c>
      <c r="W13" s="239">
        <f>+('Set Up Assumptions'!$H$7*'Set Up Assumptions'!$H12)*(1-Scenarios!L34)*Scenarios!L39</f>
        <v>47689.999999999993</v>
      </c>
      <c r="X13" s="239">
        <f>+('Set Up Assumptions'!$H$7*'Set Up Assumptions'!$H12)*(1-Scenarios!M34)*Scenarios!M39</f>
        <v>23844.999999999971</v>
      </c>
      <c r="Y13" s="239">
        <f>+('Set Up Assumptions'!$H$7*'Set Up Assumptions'!$H12)*(1-Scenarios!N34)*Scenarios!N39</f>
        <v>25099.999999999967</v>
      </c>
      <c r="Z13" s="240">
        <f>+('Set Up Assumptions'!$H$7*'Set Up Assumptions'!$H12)*(1-Scenarios!O34)*Scenarios!O39</f>
        <v>25099.999999999967</v>
      </c>
    </row>
    <row r="14" spans="1:26" ht="14.4" thickBot="1">
      <c r="A14" s="246"/>
      <c r="B14" s="243" t="str">
        <f>+'Set Up Assumptions'!F13</f>
        <v>Systems-on-a-Chip (SoCs)</v>
      </c>
      <c r="C14" s="264"/>
      <c r="D14" s="264"/>
      <c r="E14" s="241">
        <f>+('Set Up Assumptions'!$H$7*'Set Up Assumptions'!$H13)*(1-Scenarios!F35)</f>
        <v>22590.000000000004</v>
      </c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>
        <f>+('Set Up Assumptions'!$H$7*'Set Up Assumptions'!$H13)*(1-Scenarios!G35)*Scenarios!G40</f>
        <v>16942.500000000004</v>
      </c>
      <c r="S14" s="241">
        <f>+('Set Up Assumptions'!$H$7*'Set Up Assumptions'!$H13)*(1-Scenarios!H35)*Scenarios!H40</f>
        <v>15059.999999999998</v>
      </c>
      <c r="T14" s="241">
        <f>+('Set Up Assumptions'!$H$7*'Set Up Assumptions'!$H13)*(1-Scenarios!I35)*Scenarios!I40</f>
        <v>15059.999999999998</v>
      </c>
      <c r="U14" s="241">
        <f>+('Set Up Assumptions'!$H$7*'Set Up Assumptions'!$H13)*(1-Scenarios!J35)*Scenarios!J40</f>
        <v>12048.000000000004</v>
      </c>
      <c r="V14" s="241">
        <f>+('Set Up Assumptions'!$H$7*'Set Up Assumptions'!$H13)*(1-Scenarios!K35)*Scenarios!K40</f>
        <v>12801.000000000004</v>
      </c>
      <c r="W14" s="241">
        <f>+('Set Up Assumptions'!$H$7*'Set Up Assumptions'!$H13)*(1-Scenarios!L35)*Scenarios!L40</f>
        <v>12801.000000000004</v>
      </c>
      <c r="X14" s="241">
        <f>+('Set Up Assumptions'!$H$7*'Set Up Assumptions'!$H13)*(1-Scenarios!M35)*Scenarios!M40</f>
        <v>9600.7500000000018</v>
      </c>
      <c r="Y14" s="241">
        <f>+('Set Up Assumptions'!$H$7*'Set Up Assumptions'!$H13)*(1-Scenarios!N35)*Scenarios!N40</f>
        <v>10165.5</v>
      </c>
      <c r="Z14" s="242">
        <f>+('Set Up Assumptions'!$H$7*'Set Up Assumptions'!$H13)*(1-Scenarios!O35)*Scenarios!O40</f>
        <v>10165.5</v>
      </c>
    </row>
    <row r="15" spans="1:26" ht="14.4" thickBot="1"/>
    <row r="16" spans="1:26">
      <c r="A16" s="244" t="s">
        <v>379</v>
      </c>
      <c r="B16" s="234" t="s">
        <v>45</v>
      </c>
      <c r="C16" s="263"/>
      <c r="D16" s="263"/>
      <c r="E16" s="237">
        <f>(+'Set Up Assumptions'!$H$7*'Set Up Assumptions'!$H10)*(Scenarios!F10)</f>
        <v>158130</v>
      </c>
      <c r="F16" s="237"/>
      <c r="G16" s="237"/>
      <c r="H16" s="237"/>
      <c r="I16" s="237"/>
      <c r="J16" s="237"/>
      <c r="K16" s="237"/>
      <c r="L16" s="237"/>
      <c r="M16" s="237"/>
      <c r="N16" s="237"/>
      <c r="O16" s="237"/>
      <c r="P16" s="237"/>
      <c r="Q16" s="237"/>
      <c r="R16" s="237">
        <f>(+'Set Up Assumptions'!$H$7*'Set Up Assumptions'!$H10)*(Scenarios!G10)</f>
        <v>162648</v>
      </c>
      <c r="S16" s="237">
        <f>(+'Set Up Assumptions'!$H$7*'Set Up Assumptions'!$H10)*(Scenarios!H10)</f>
        <v>169425</v>
      </c>
      <c r="T16" s="237">
        <f>(+'Set Up Assumptions'!$H$7*'Set Up Assumptions'!$H10)*(Scenarios!I10)</f>
        <v>173943</v>
      </c>
      <c r="U16" s="237">
        <f>(+'Set Up Assumptions'!$H$7*'Set Up Assumptions'!$H10)*(Scenarios!J10)</f>
        <v>180720</v>
      </c>
      <c r="V16" s="237">
        <f>(+'Set Up Assumptions'!$H$7*'Set Up Assumptions'!$H10)*(Scenarios!K10)</f>
        <v>185238</v>
      </c>
      <c r="W16" s="237">
        <f>(+'Set Up Assumptions'!$H$7*'Set Up Assumptions'!$H10)*(Scenarios!L10)</f>
        <v>192015</v>
      </c>
      <c r="X16" s="237">
        <f>(+'Set Up Assumptions'!$H$7*'Set Up Assumptions'!$H10)*(Scenarios!M10)</f>
        <v>203310</v>
      </c>
      <c r="Y16" s="237">
        <f>(+'Set Up Assumptions'!$H$7*'Set Up Assumptions'!$H10)*(Scenarios!N10)</f>
        <v>207828</v>
      </c>
      <c r="Z16" s="238">
        <f>(+'Set Up Assumptions'!$H$7*'Set Up Assumptions'!$H10)*(Scenarios!O10)</f>
        <v>214605</v>
      </c>
    </row>
    <row r="17" spans="1:26">
      <c r="A17" s="245"/>
      <c r="B17" s="235" t="str">
        <f>+'Set Up Assumptions'!F18</f>
        <v>Microprocessors</v>
      </c>
      <c r="C17" s="236"/>
      <c r="D17" s="236"/>
      <c r="E17" s="239">
        <f>(+'Set Up Assumptions'!$H$7*'Set Up Assumptions'!$H11)*(Scenarios!F15)</f>
        <v>117468</v>
      </c>
      <c r="F17" s="239"/>
      <c r="G17" s="239"/>
      <c r="H17" s="239"/>
      <c r="I17" s="239"/>
      <c r="J17" s="239"/>
      <c r="K17" s="239"/>
      <c r="L17" s="239"/>
      <c r="M17" s="239"/>
      <c r="N17" s="239"/>
      <c r="O17" s="239"/>
      <c r="P17" s="239"/>
      <c r="Q17" s="239"/>
      <c r="R17" s="239">
        <f>(+'Set Up Assumptions'!$H$7*'Set Up Assumptions'!$H11)*(Scenarios!G15)</f>
        <v>122362.5</v>
      </c>
      <c r="S17" s="239">
        <f>(+'Set Up Assumptions'!$H$7*'Set Up Assumptions'!$H11)*(Scenarios!H15)</f>
        <v>127257</v>
      </c>
      <c r="T17" s="239">
        <f>(+'Set Up Assumptions'!$H$7*'Set Up Assumptions'!$H11)*(Scenarios!I15)</f>
        <v>130520</v>
      </c>
      <c r="U17" s="239">
        <f>(+'Set Up Assumptions'!$H$7*'Set Up Assumptions'!$H11)*(Scenarios!J15)</f>
        <v>133783</v>
      </c>
      <c r="V17" s="239">
        <f>(+'Set Up Assumptions'!$H$7*'Set Up Assumptions'!$H11)*(Scenarios!K15)</f>
        <v>138677.5</v>
      </c>
      <c r="W17" s="239">
        <f>(+'Set Up Assumptions'!$H$7*'Set Up Assumptions'!$H11)*(Scenarios!L15)</f>
        <v>143572</v>
      </c>
      <c r="X17" s="239">
        <f>(+'Set Up Assumptions'!$H$7*'Set Up Assumptions'!$H11)*(Scenarios!M15)</f>
        <v>146835</v>
      </c>
      <c r="Y17" s="239">
        <f>(+'Set Up Assumptions'!$H$7*'Set Up Assumptions'!$H11)*(Scenarios!N15)</f>
        <v>151729.5</v>
      </c>
      <c r="Z17" s="240">
        <f>(+'Set Up Assumptions'!$H$7*'Set Up Assumptions'!$H11)*(Scenarios!O15)</f>
        <v>156624</v>
      </c>
    </row>
    <row r="18" spans="1:26">
      <c r="A18" s="245"/>
      <c r="B18" s="235" t="str">
        <f>+'Set Up Assumptions'!F19</f>
        <v>Standard Chips (CICs)</v>
      </c>
      <c r="C18" s="236"/>
      <c r="D18" s="236"/>
      <c r="E18" s="239">
        <f>(+'Set Up Assumptions'!$H$7*'Set Up Assumptions'!$H12)*(Scenarios!F20)</f>
        <v>376500</v>
      </c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239"/>
      <c r="Q18" s="239"/>
      <c r="R18" s="239">
        <f>(+'Set Up Assumptions'!$H$7*'Set Up Assumptions'!$H12)*(Scenarios!G20)</f>
        <v>391560</v>
      </c>
      <c r="S18" s="239">
        <f>(+'Set Up Assumptions'!$H$7*'Set Up Assumptions'!$H12)*(Scenarios!H20)</f>
        <v>401600</v>
      </c>
      <c r="T18" s="239">
        <f>(+'Set Up Assumptions'!$H$7*'Set Up Assumptions'!$H12)*(Scenarios!I20)</f>
        <v>411640</v>
      </c>
      <c r="U18" s="239">
        <f>(+'Set Up Assumptions'!$H$7*'Set Up Assumptions'!$H12)*(Scenarios!J20)</f>
        <v>426700</v>
      </c>
      <c r="V18" s="239">
        <f>(+'Set Up Assumptions'!$H$7*'Set Up Assumptions'!$H12)*(Scenarios!K20)</f>
        <v>436740</v>
      </c>
      <c r="W18" s="239">
        <f>(+'Set Up Assumptions'!$H$7*'Set Up Assumptions'!$H12)*(Scenarios!L20)</f>
        <v>451800</v>
      </c>
      <c r="X18" s="239">
        <f>(+'Set Up Assumptions'!$H$7*'Set Up Assumptions'!$H12)*(Scenarios!M20)</f>
        <v>461840</v>
      </c>
      <c r="Y18" s="239">
        <f>(+'Set Up Assumptions'!$H$7*'Set Up Assumptions'!$H12)*(Scenarios!N20)</f>
        <v>476900</v>
      </c>
      <c r="Z18" s="240">
        <f>(+'Set Up Assumptions'!$H$7*'Set Up Assumptions'!$H12)*(Scenarios!O20)</f>
        <v>486940</v>
      </c>
    </row>
    <row r="19" spans="1:26" ht="14.4" thickBot="1">
      <c r="A19" s="246"/>
      <c r="B19" s="243" t="str">
        <f>+'Set Up Assumptions'!F20</f>
        <v>Systems-on-a-Chip (SoCs)</v>
      </c>
      <c r="C19" s="264"/>
      <c r="D19" s="264"/>
      <c r="E19" s="241">
        <f>(+'Set Up Assumptions'!$H$7*'Set Up Assumptions'!$H13)*(Scenarios!F25)</f>
        <v>48945</v>
      </c>
      <c r="F19" s="241"/>
      <c r="G19" s="241"/>
      <c r="H19" s="241"/>
      <c r="I19" s="241"/>
      <c r="J19" s="241"/>
      <c r="K19" s="241"/>
      <c r="L19" s="241"/>
      <c r="M19" s="241"/>
      <c r="N19" s="241"/>
      <c r="O19" s="241"/>
      <c r="P19" s="241"/>
      <c r="Q19" s="241"/>
      <c r="R19" s="241">
        <f>(+'Set Up Assumptions'!$H$7*'Set Up Assumptions'!$H13)*(Scenarios!G25)</f>
        <v>51204.000000000007</v>
      </c>
      <c r="S19" s="241">
        <f>(+'Set Up Assumptions'!$H$7*'Set Up Assumptions'!$H13)*(Scenarios!H25)</f>
        <v>54969</v>
      </c>
      <c r="T19" s="241">
        <f>(+'Set Up Assumptions'!$H$7*'Set Up Assumptions'!$H13)*(Scenarios!I25)</f>
        <v>56475</v>
      </c>
      <c r="U19" s="241">
        <f>(+'Set Up Assumptions'!$H$7*'Set Up Assumptions'!$H13)*(Scenarios!J25)</f>
        <v>60240</v>
      </c>
      <c r="V19" s="241">
        <f>(+'Set Up Assumptions'!$H$7*'Set Up Assumptions'!$H13)*(Scenarios!K25)</f>
        <v>61745.999999999993</v>
      </c>
      <c r="W19" s="241">
        <f>(+'Set Up Assumptions'!$H$7*'Set Up Assumptions'!$H13)*(Scenarios!L25)</f>
        <v>64005</v>
      </c>
      <c r="X19" s="241">
        <f>(+'Set Up Assumptions'!$H$7*'Set Up Assumptions'!$H13)*(Scenarios!M25)</f>
        <v>67770</v>
      </c>
      <c r="Y19" s="241">
        <f>(+'Set Up Assumptions'!$H$7*'Set Up Assumptions'!$H13)*(Scenarios!N25)</f>
        <v>69276</v>
      </c>
      <c r="Z19" s="242">
        <f>(+'Set Up Assumptions'!$H$7*'Set Up Assumptions'!$H13)*(Scenarios!O25)</f>
        <v>71535</v>
      </c>
    </row>
    <row r="20" spans="1:26" ht="14.4" thickBot="1"/>
    <row r="21" spans="1:26">
      <c r="A21" s="244" t="s">
        <v>380</v>
      </c>
      <c r="B21" s="234" t="s">
        <v>45</v>
      </c>
      <c r="C21" s="263"/>
      <c r="D21" s="263"/>
      <c r="E21" s="237">
        <f>+E16*Scenarios!F$32</f>
        <v>118597.5</v>
      </c>
      <c r="F21" s="237"/>
      <c r="G21" s="237"/>
      <c r="H21" s="237"/>
      <c r="I21" s="237"/>
      <c r="J21" s="237"/>
      <c r="K21" s="237"/>
      <c r="L21" s="237"/>
      <c r="M21" s="237"/>
      <c r="N21" s="237"/>
      <c r="O21" s="237"/>
      <c r="P21" s="237"/>
      <c r="Q21" s="237"/>
      <c r="R21" s="237">
        <f>+R16*Scenarios!G$32</f>
        <v>121986</v>
      </c>
      <c r="S21" s="237">
        <f>+S16*Scenarios!H$32</f>
        <v>135540</v>
      </c>
      <c r="T21" s="237">
        <f>+T16*Scenarios!I$32</f>
        <v>139154.4</v>
      </c>
      <c r="U21" s="237">
        <f>+U16*Scenarios!J$32</f>
        <v>153612</v>
      </c>
      <c r="V21" s="237">
        <f>+V16*Scenarios!K$32</f>
        <v>157452.29999999999</v>
      </c>
      <c r="W21" s="237">
        <f>+W16*Scenarios!L$32</f>
        <v>163212.75</v>
      </c>
      <c r="X21" s="237">
        <f>+X16*Scenarios!M$32</f>
        <v>182979</v>
      </c>
      <c r="Y21" s="237">
        <f>+Y16*Scenarios!N$32</f>
        <v>187045.2</v>
      </c>
      <c r="Z21" s="238">
        <f>+Z16*Scenarios!O$32</f>
        <v>193144.5</v>
      </c>
    </row>
    <row r="22" spans="1:26">
      <c r="A22" s="245"/>
      <c r="B22" s="235" t="s">
        <v>46</v>
      </c>
      <c r="C22" s="236"/>
      <c r="D22" s="236"/>
      <c r="E22" s="239">
        <f>+E17*Scenarios!F$32</f>
        <v>88101</v>
      </c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39"/>
      <c r="Q22" s="239"/>
      <c r="R22" s="239">
        <f>+R17*Scenarios!G$32</f>
        <v>91771.875</v>
      </c>
      <c r="S22" s="239">
        <f>+S17*Scenarios!H$32</f>
        <v>101805.6</v>
      </c>
      <c r="T22" s="239">
        <f>+T17*Scenarios!I$32</f>
        <v>104416</v>
      </c>
      <c r="U22" s="239">
        <f>+U17*Scenarios!J$32</f>
        <v>113715.55</v>
      </c>
      <c r="V22" s="239">
        <f>+V17*Scenarios!K$32</f>
        <v>117875.875</v>
      </c>
      <c r="W22" s="239">
        <f>+W17*Scenarios!L$32</f>
        <v>122036.2</v>
      </c>
      <c r="X22" s="239">
        <f>+X17*Scenarios!M$32</f>
        <v>132151.5</v>
      </c>
      <c r="Y22" s="239">
        <f>+Y17*Scenarios!N$32</f>
        <v>136556.55000000002</v>
      </c>
      <c r="Z22" s="240">
        <f>+Z17*Scenarios!O$32</f>
        <v>140961.60000000001</v>
      </c>
    </row>
    <row r="23" spans="1:26">
      <c r="A23" s="245"/>
      <c r="B23" s="235" t="s">
        <v>52</v>
      </c>
      <c r="C23" s="236"/>
      <c r="D23" s="236"/>
      <c r="E23" s="239">
        <f>+E18*Scenarios!F$32</f>
        <v>282375</v>
      </c>
      <c r="F23" s="239"/>
      <c r="G23" s="239"/>
      <c r="H23" s="239"/>
      <c r="I23" s="239"/>
      <c r="J23" s="239"/>
      <c r="K23" s="239"/>
      <c r="L23" s="239"/>
      <c r="M23" s="239"/>
      <c r="N23" s="239"/>
      <c r="O23" s="239"/>
      <c r="P23" s="239"/>
      <c r="Q23" s="239"/>
      <c r="R23" s="239">
        <f>+R18*Scenarios!G$32</f>
        <v>293670</v>
      </c>
      <c r="S23" s="239">
        <f>+S18*Scenarios!H$32</f>
        <v>321280</v>
      </c>
      <c r="T23" s="239">
        <f>+T18*Scenarios!I$32</f>
        <v>329312</v>
      </c>
      <c r="U23" s="239">
        <f>+U18*Scenarios!J$32</f>
        <v>362695</v>
      </c>
      <c r="V23" s="239">
        <f>+V18*Scenarios!K$32</f>
        <v>371229</v>
      </c>
      <c r="W23" s="239">
        <f>+W18*Scenarios!L$32</f>
        <v>384030</v>
      </c>
      <c r="X23" s="239">
        <f>+X18*Scenarios!M$32</f>
        <v>415656</v>
      </c>
      <c r="Y23" s="239">
        <f>+Y18*Scenarios!N$32</f>
        <v>429210</v>
      </c>
      <c r="Z23" s="240">
        <f>+Z18*Scenarios!O$32</f>
        <v>438246</v>
      </c>
    </row>
    <row r="24" spans="1:26" ht="14.4" thickBot="1">
      <c r="A24" s="246"/>
      <c r="B24" s="243" t="s">
        <v>48</v>
      </c>
      <c r="C24" s="264"/>
      <c r="D24" s="264"/>
      <c r="E24" s="241">
        <f>+E19*Scenarios!F$32</f>
        <v>36708.75</v>
      </c>
      <c r="F24" s="241"/>
      <c r="G24" s="241"/>
      <c r="H24" s="241"/>
      <c r="I24" s="241"/>
      <c r="J24" s="241"/>
      <c r="K24" s="241"/>
      <c r="L24" s="241"/>
      <c r="M24" s="241"/>
      <c r="N24" s="241"/>
      <c r="O24" s="241"/>
      <c r="P24" s="241"/>
      <c r="Q24" s="241"/>
      <c r="R24" s="241">
        <f>+R19*Scenarios!G$32</f>
        <v>38403.000000000007</v>
      </c>
      <c r="S24" s="241">
        <f>+S19*Scenarios!H$32</f>
        <v>43975.200000000004</v>
      </c>
      <c r="T24" s="241">
        <f>+T19*Scenarios!I$32</f>
        <v>45180</v>
      </c>
      <c r="U24" s="241">
        <f>+U19*Scenarios!J$32</f>
        <v>51204</v>
      </c>
      <c r="V24" s="241">
        <f>+V19*Scenarios!K$32</f>
        <v>52484.099999999991</v>
      </c>
      <c r="W24" s="241">
        <f>+W19*Scenarios!L$32</f>
        <v>54404.25</v>
      </c>
      <c r="X24" s="241">
        <f>+X19*Scenarios!M$32</f>
        <v>60993</v>
      </c>
      <c r="Y24" s="241">
        <f>+Y19*Scenarios!N$32</f>
        <v>62348.4</v>
      </c>
      <c r="Z24" s="242">
        <f>+Z19*Scenarios!O$32</f>
        <v>64381.5</v>
      </c>
    </row>
    <row r="25" spans="1:26" ht="14.4" thickBot="1">
      <c r="B25" s="235"/>
      <c r="C25" s="236"/>
      <c r="D25" s="236"/>
      <c r="E25" s="230"/>
      <c r="F25" s="230"/>
      <c r="G25" s="230"/>
      <c r="H25" s="230"/>
      <c r="I25" s="230"/>
      <c r="J25" s="230"/>
      <c r="K25" s="230"/>
      <c r="L25" s="230"/>
      <c r="M25" s="230"/>
      <c r="N25" s="230"/>
      <c r="O25" s="230"/>
      <c r="P25" s="230"/>
      <c r="Q25" s="230"/>
      <c r="R25" s="230"/>
      <c r="S25" s="230"/>
      <c r="T25" s="230"/>
      <c r="U25" s="230"/>
      <c r="V25" s="230"/>
      <c r="W25" s="230"/>
      <c r="X25" s="230"/>
      <c r="Y25" s="230"/>
      <c r="Z25" s="231"/>
    </row>
    <row r="26" spans="1:26">
      <c r="A26" s="244" t="s">
        <v>381</v>
      </c>
      <c r="B26" s="234" t="s">
        <v>45</v>
      </c>
      <c r="C26" s="263"/>
      <c r="D26" s="263"/>
      <c r="E26" s="237">
        <f>+E11*Scenarios!F$37</f>
        <v>0</v>
      </c>
      <c r="F26" s="237"/>
      <c r="G26" s="237"/>
      <c r="H26" s="237"/>
      <c r="I26" s="237"/>
      <c r="J26" s="237"/>
      <c r="K26" s="237"/>
      <c r="L26" s="237"/>
      <c r="M26" s="237"/>
      <c r="N26" s="237"/>
      <c r="O26" s="237"/>
      <c r="P26" s="237"/>
      <c r="Q26" s="237"/>
      <c r="R26" s="237">
        <f>+R11*Scenarios!G$37</f>
        <v>36144</v>
      </c>
      <c r="S26" s="237">
        <f>+S11*Scenarios!H$37</f>
        <v>32642.549999999992</v>
      </c>
      <c r="T26" s="237">
        <f>+T11*Scenarios!I$37</f>
        <v>32642.549999999992</v>
      </c>
      <c r="U26" s="237">
        <f>+U11*Scenarios!J$37</f>
        <v>24481.912500000002</v>
      </c>
      <c r="V26" s="237">
        <f>+V11*Scenarios!K$37</f>
        <v>27446.850000000006</v>
      </c>
      <c r="W26" s="237">
        <f>+W11*Scenarios!L$37</f>
        <v>27446.850000000006</v>
      </c>
      <c r="X26" s="237">
        <f>+X11*Scenarios!M$37</f>
        <v>18297.899999999998</v>
      </c>
      <c r="Y26" s="237">
        <f>+Y11*Scenarios!N$37</f>
        <v>20387.474999999995</v>
      </c>
      <c r="Z26" s="238">
        <f>+Z11*Scenarios!O$37</f>
        <v>20387.474999999995</v>
      </c>
    </row>
    <row r="27" spans="1:26">
      <c r="A27" s="245"/>
      <c r="B27" s="235" t="s">
        <v>46</v>
      </c>
      <c r="C27" s="236"/>
      <c r="D27" s="236"/>
      <c r="E27" s="239">
        <f>+E12*Scenarios!F$37</f>
        <v>0</v>
      </c>
      <c r="F27" s="239"/>
      <c r="G27" s="239"/>
      <c r="H27" s="239"/>
      <c r="I27" s="239"/>
      <c r="J27" s="239"/>
      <c r="K27" s="239"/>
      <c r="L27" s="239"/>
      <c r="M27" s="239"/>
      <c r="N27" s="239"/>
      <c r="O27" s="239"/>
      <c r="P27" s="239"/>
      <c r="Q27" s="239"/>
      <c r="R27" s="239">
        <f>+R12*Scenarios!G$37</f>
        <v>26104</v>
      </c>
      <c r="S27" s="239">
        <f>+S12*Scenarios!H$37</f>
        <v>23575.174999999992</v>
      </c>
      <c r="T27" s="239">
        <f>+T12*Scenarios!I$37</f>
        <v>23575.174999999992</v>
      </c>
      <c r="U27" s="239">
        <f>+U12*Scenarios!J$37</f>
        <v>17681.381250000002</v>
      </c>
      <c r="V27" s="239">
        <f>+V12*Scenarios!K$37</f>
        <v>19822.725000000002</v>
      </c>
      <c r="W27" s="239">
        <f>+W12*Scenarios!L$37</f>
        <v>19822.725000000002</v>
      </c>
      <c r="X27" s="239">
        <f>+X12*Scenarios!M$37</f>
        <v>13215.149999999998</v>
      </c>
      <c r="Y27" s="239">
        <f>+Y12*Scenarios!N$37</f>
        <v>14724.287499999997</v>
      </c>
      <c r="Z27" s="240">
        <f>+Z12*Scenarios!O$37</f>
        <v>14724.287499999997</v>
      </c>
    </row>
    <row r="28" spans="1:26">
      <c r="A28" s="245"/>
      <c r="B28" s="235" t="s">
        <v>52</v>
      </c>
      <c r="C28" s="236"/>
      <c r="D28" s="236"/>
      <c r="E28" s="239">
        <f>+E13*Scenarios!F$37</f>
        <v>0</v>
      </c>
      <c r="F28" s="239"/>
      <c r="G28" s="239"/>
      <c r="H28" s="239"/>
      <c r="I28" s="239"/>
      <c r="J28" s="239"/>
      <c r="K28" s="239"/>
      <c r="L28" s="239"/>
      <c r="M28" s="239"/>
      <c r="N28" s="239"/>
      <c r="O28" s="239"/>
      <c r="P28" s="239"/>
      <c r="Q28" s="239"/>
      <c r="R28" s="239">
        <f>+R13*Scenarios!G$37</f>
        <v>68271.999999999985</v>
      </c>
      <c r="S28" s="239">
        <f>+S13*Scenarios!H$37</f>
        <v>57604.499999999964</v>
      </c>
      <c r="T28" s="239">
        <f>+T13*Scenarios!I$37</f>
        <v>57604.499999999964</v>
      </c>
      <c r="U28" s="239">
        <f>+U13*Scenarios!J$37</f>
        <v>38402.999999999985</v>
      </c>
      <c r="V28" s="239">
        <f>+V13*Scenarios!K$37</f>
        <v>42920.999999999993</v>
      </c>
      <c r="W28" s="239">
        <f>+W13*Scenarios!L$37</f>
        <v>42920.999999999993</v>
      </c>
      <c r="X28" s="239">
        <f>+X13*Scenarios!M$37</f>
        <v>21460.499999999975</v>
      </c>
      <c r="Y28" s="239">
        <f>+Y13*Scenarios!N$37</f>
        <v>23844.999999999967</v>
      </c>
      <c r="Z28" s="240">
        <f>+Z13*Scenarios!O$37</f>
        <v>23844.999999999967</v>
      </c>
    </row>
    <row r="29" spans="1:26" ht="14.4" thickBot="1">
      <c r="A29" s="246"/>
      <c r="B29" s="243" t="s">
        <v>48</v>
      </c>
      <c r="C29" s="264"/>
      <c r="D29" s="264"/>
      <c r="E29" s="241">
        <f>+E14*Scenarios!F$37</f>
        <v>0</v>
      </c>
      <c r="F29" s="241"/>
      <c r="G29" s="241"/>
      <c r="H29" s="241"/>
      <c r="I29" s="241"/>
      <c r="J29" s="241"/>
      <c r="K29" s="241"/>
      <c r="L29" s="241"/>
      <c r="M29" s="241"/>
      <c r="N29" s="241"/>
      <c r="O29" s="241"/>
      <c r="P29" s="241"/>
      <c r="Q29" s="241"/>
      <c r="R29" s="241">
        <f>+R14*Scenarios!G$37</f>
        <v>13554.000000000004</v>
      </c>
      <c r="S29" s="241">
        <f>+S14*Scenarios!H$37</f>
        <v>12800.999999999998</v>
      </c>
      <c r="T29" s="241">
        <f>+T14*Scenarios!I$37</f>
        <v>12800.999999999998</v>
      </c>
      <c r="U29" s="241">
        <f>+U14*Scenarios!J$37</f>
        <v>10240.800000000003</v>
      </c>
      <c r="V29" s="241">
        <f>+V14*Scenarios!K$37</f>
        <v>11520.900000000003</v>
      </c>
      <c r="W29" s="241">
        <f>+W14*Scenarios!L$37</f>
        <v>11520.900000000003</v>
      </c>
      <c r="X29" s="241">
        <f>+X14*Scenarios!M$37</f>
        <v>8640.6750000000011</v>
      </c>
      <c r="Y29" s="241">
        <f>+Y14*Scenarios!N$37</f>
        <v>9657.2250000000004</v>
      </c>
      <c r="Z29" s="242">
        <f>+Z14*Scenarios!O$37</f>
        <v>9657.2250000000004</v>
      </c>
    </row>
    <row r="30" spans="1:26" ht="14.4" thickBot="1">
      <c r="A30" s="236"/>
      <c r="B30" s="1"/>
      <c r="C30" s="1"/>
      <c r="D30" s="1"/>
      <c r="E30" s="230"/>
      <c r="F30" s="230"/>
      <c r="G30" s="230"/>
      <c r="H30" s="230"/>
      <c r="I30" s="230"/>
      <c r="J30" s="230"/>
      <c r="K30" s="230"/>
      <c r="L30" s="230"/>
      <c r="M30" s="230"/>
      <c r="N30" s="230"/>
      <c r="O30" s="230"/>
      <c r="P30" s="230"/>
      <c r="Q30" s="230"/>
      <c r="R30" s="230"/>
      <c r="S30" s="230"/>
      <c r="T30" s="230"/>
      <c r="U30" s="230"/>
      <c r="V30" s="230"/>
      <c r="W30" s="230"/>
      <c r="X30" s="230"/>
      <c r="Y30" s="230"/>
      <c r="Z30" s="231"/>
    </row>
    <row r="31" spans="1:26">
      <c r="A31" s="251" t="s">
        <v>382</v>
      </c>
      <c r="B31" s="234" t="s">
        <v>45</v>
      </c>
      <c r="C31" s="263"/>
      <c r="D31" s="263"/>
      <c r="E31" s="237">
        <f>+E21+E26</f>
        <v>118597.5</v>
      </c>
      <c r="F31" s="237"/>
      <c r="G31" s="237"/>
      <c r="H31" s="237"/>
      <c r="I31" s="237"/>
      <c r="J31" s="237"/>
      <c r="K31" s="237"/>
      <c r="L31" s="237"/>
      <c r="M31" s="237"/>
      <c r="N31" s="237"/>
      <c r="O31" s="237"/>
      <c r="P31" s="237"/>
      <c r="Q31" s="237"/>
      <c r="R31" s="237">
        <f t="shared" ref="R31:Z31" si="1">+R21+R26</f>
        <v>158130</v>
      </c>
      <c r="S31" s="237">
        <f t="shared" si="1"/>
        <v>168182.55</v>
      </c>
      <c r="T31" s="237">
        <f t="shared" si="1"/>
        <v>171796.94999999998</v>
      </c>
      <c r="U31" s="237">
        <f t="shared" si="1"/>
        <v>178093.91250000001</v>
      </c>
      <c r="V31" s="237">
        <f t="shared" si="1"/>
        <v>184899.15</v>
      </c>
      <c r="W31" s="237">
        <f t="shared" si="1"/>
        <v>190659.6</v>
      </c>
      <c r="X31" s="237">
        <f t="shared" si="1"/>
        <v>201276.9</v>
      </c>
      <c r="Y31" s="237">
        <f t="shared" si="1"/>
        <v>207432.67500000002</v>
      </c>
      <c r="Z31" s="238">
        <f t="shared" si="1"/>
        <v>213531.97500000001</v>
      </c>
    </row>
    <row r="32" spans="1:26">
      <c r="A32" s="252"/>
      <c r="B32" s="235" t="s">
        <v>46</v>
      </c>
      <c r="C32" s="236"/>
      <c r="D32" s="236"/>
      <c r="E32" s="239">
        <f t="shared" ref="E32:Z32" si="2">+E22+E27</f>
        <v>88101</v>
      </c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R32" s="239">
        <f t="shared" si="2"/>
        <v>117875.875</v>
      </c>
      <c r="S32" s="239">
        <f t="shared" si="2"/>
        <v>125380.77499999999</v>
      </c>
      <c r="T32" s="239">
        <f t="shared" si="2"/>
        <v>127991.17499999999</v>
      </c>
      <c r="U32" s="239">
        <f t="shared" si="2"/>
        <v>131396.93124999999</v>
      </c>
      <c r="V32" s="239">
        <f t="shared" si="2"/>
        <v>137698.6</v>
      </c>
      <c r="W32" s="239">
        <f t="shared" si="2"/>
        <v>141858.92499999999</v>
      </c>
      <c r="X32" s="239">
        <f t="shared" si="2"/>
        <v>145366.65</v>
      </c>
      <c r="Y32" s="239">
        <f t="shared" si="2"/>
        <v>151280.83750000002</v>
      </c>
      <c r="Z32" s="240">
        <f t="shared" si="2"/>
        <v>155685.88750000001</v>
      </c>
    </row>
    <row r="33" spans="1:26">
      <c r="A33" s="252"/>
      <c r="B33" s="235" t="s">
        <v>52</v>
      </c>
      <c r="C33" s="236"/>
      <c r="D33" s="236"/>
      <c r="E33" s="239">
        <f t="shared" ref="E33:Z33" si="3">+E23+E28</f>
        <v>282375</v>
      </c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39"/>
      <c r="R33" s="239">
        <f t="shared" si="3"/>
        <v>361942</v>
      </c>
      <c r="S33" s="239">
        <f t="shared" si="3"/>
        <v>378884.49999999994</v>
      </c>
      <c r="T33" s="239">
        <f t="shared" si="3"/>
        <v>386916.49999999994</v>
      </c>
      <c r="U33" s="239">
        <f t="shared" si="3"/>
        <v>401098</v>
      </c>
      <c r="V33" s="239">
        <f t="shared" si="3"/>
        <v>414150</v>
      </c>
      <c r="W33" s="239">
        <f t="shared" si="3"/>
        <v>426951</v>
      </c>
      <c r="X33" s="239">
        <f t="shared" si="3"/>
        <v>437116.5</v>
      </c>
      <c r="Y33" s="239">
        <f t="shared" si="3"/>
        <v>453054.99999999994</v>
      </c>
      <c r="Z33" s="240">
        <f t="shared" si="3"/>
        <v>462090.99999999994</v>
      </c>
    </row>
    <row r="34" spans="1:26" ht="14.4" thickBot="1">
      <c r="A34" s="253"/>
      <c r="B34" s="243" t="s">
        <v>48</v>
      </c>
      <c r="C34" s="264"/>
      <c r="D34" s="264"/>
      <c r="E34" s="241">
        <f t="shared" ref="E34:Z34" si="4">+E24+E29</f>
        <v>36708.75</v>
      </c>
      <c r="F34" s="241"/>
      <c r="G34" s="241"/>
      <c r="H34" s="241"/>
      <c r="I34" s="241"/>
      <c r="J34" s="241"/>
      <c r="K34" s="241"/>
      <c r="L34" s="241"/>
      <c r="M34" s="241"/>
      <c r="N34" s="241"/>
      <c r="O34" s="241"/>
      <c r="P34" s="241"/>
      <c r="Q34" s="241"/>
      <c r="R34" s="241">
        <f t="shared" si="4"/>
        <v>51957.000000000015</v>
      </c>
      <c r="S34" s="241">
        <f t="shared" si="4"/>
        <v>56776.200000000004</v>
      </c>
      <c r="T34" s="241">
        <f t="shared" si="4"/>
        <v>57981</v>
      </c>
      <c r="U34" s="241">
        <f t="shared" si="4"/>
        <v>61444.800000000003</v>
      </c>
      <c r="V34" s="241">
        <f t="shared" si="4"/>
        <v>64004.999999999993</v>
      </c>
      <c r="W34" s="241">
        <f t="shared" si="4"/>
        <v>65925.150000000009</v>
      </c>
      <c r="X34" s="241">
        <f t="shared" si="4"/>
        <v>69633.675000000003</v>
      </c>
      <c r="Y34" s="241">
        <f t="shared" si="4"/>
        <v>72005.625</v>
      </c>
      <c r="Z34" s="242">
        <f t="shared" si="4"/>
        <v>74038.725000000006</v>
      </c>
    </row>
    <row r="35" spans="1:26" ht="14.4" thickBot="1">
      <c r="A35" s="236"/>
      <c r="B35" s="1"/>
      <c r="C35" s="1"/>
      <c r="D35" s="1"/>
      <c r="E35" s="230"/>
      <c r="F35" s="230"/>
      <c r="G35" s="230"/>
      <c r="H35" s="230"/>
      <c r="I35" s="230"/>
      <c r="J35" s="230"/>
      <c r="K35" s="230"/>
      <c r="L35" s="230"/>
      <c r="M35" s="230"/>
      <c r="N35" s="230"/>
      <c r="O35" s="230"/>
      <c r="P35" s="230"/>
      <c r="Q35" s="230"/>
      <c r="R35" s="230"/>
      <c r="S35" s="230"/>
      <c r="T35" s="230"/>
      <c r="U35" s="230"/>
      <c r="V35" s="230"/>
      <c r="W35" s="230"/>
      <c r="X35" s="230"/>
      <c r="Y35" s="230"/>
      <c r="Z35" s="230"/>
    </row>
    <row r="36" spans="1:26">
      <c r="A36" s="251" t="s">
        <v>384</v>
      </c>
      <c r="B36" s="234" t="s">
        <v>45</v>
      </c>
      <c r="C36" s="263"/>
      <c r="D36" s="263"/>
      <c r="E36" s="254">
        <f>+'Set Up Assumptions'!$H17*(1+Scenarios!F42)</f>
        <v>6000</v>
      </c>
      <c r="F36" s="254"/>
      <c r="G36" s="254"/>
      <c r="H36" s="254"/>
      <c r="I36" s="254"/>
      <c r="J36" s="254"/>
      <c r="K36" s="254"/>
      <c r="L36" s="254"/>
      <c r="M36" s="254"/>
      <c r="N36" s="254"/>
      <c r="O36" s="254"/>
      <c r="P36" s="254"/>
      <c r="Q36" s="254"/>
      <c r="R36" s="254">
        <f>+'Set Up Assumptions'!$H17*(1+Scenarios!G42)</f>
        <v>6240</v>
      </c>
      <c r="S36" s="254">
        <f>+'Set Up Assumptions'!$H17*(1+Scenarios!H42)</f>
        <v>6240</v>
      </c>
      <c r="T36" s="254">
        <f>+'Set Up Assumptions'!$H17*(1+Scenarios!I42)</f>
        <v>6240</v>
      </c>
      <c r="U36" s="254">
        <f>+'Set Up Assumptions'!$H17*(1+Scenarios!J42)</f>
        <v>6240</v>
      </c>
      <c r="V36" s="254">
        <f>+'Set Up Assumptions'!$H17*(1+Scenarios!K42)</f>
        <v>6300</v>
      </c>
      <c r="W36" s="254">
        <f>+'Set Up Assumptions'!$H17*(1+Scenarios!L42)</f>
        <v>6300</v>
      </c>
      <c r="X36" s="254">
        <f>+'Set Up Assumptions'!$H17*(1+Scenarios!M42)</f>
        <v>6300</v>
      </c>
      <c r="Y36" s="254">
        <f>+'Set Up Assumptions'!$H17*(1+Scenarios!N42)</f>
        <v>6300</v>
      </c>
      <c r="Z36" s="255">
        <f>+'Set Up Assumptions'!$H17*(1+Scenarios!O42)</f>
        <v>6300</v>
      </c>
    </row>
    <row r="37" spans="1:26">
      <c r="A37" s="252"/>
      <c r="B37" s="235" t="s">
        <v>46</v>
      </c>
      <c r="C37" s="236"/>
      <c r="D37" s="236"/>
      <c r="E37" s="256">
        <f>+'Set Up Assumptions'!$H18*(1+Scenarios!F43)</f>
        <v>12000</v>
      </c>
      <c r="F37" s="256"/>
      <c r="G37" s="256"/>
      <c r="H37" s="256"/>
      <c r="I37" s="256"/>
      <c r="J37" s="256"/>
      <c r="K37" s="256"/>
      <c r="L37" s="256"/>
      <c r="M37" s="256"/>
      <c r="N37" s="256"/>
      <c r="O37" s="256"/>
      <c r="P37" s="256"/>
      <c r="Q37" s="256"/>
      <c r="R37" s="256">
        <f>+'Set Up Assumptions'!$H18*(1+Scenarios!G43)</f>
        <v>12480</v>
      </c>
      <c r="S37" s="256">
        <f>+'Set Up Assumptions'!$H18*(1+Scenarios!H43)</f>
        <v>12480</v>
      </c>
      <c r="T37" s="256">
        <f>+'Set Up Assumptions'!$H18*(1+Scenarios!I43)</f>
        <v>12480</v>
      </c>
      <c r="U37" s="256">
        <f>+'Set Up Assumptions'!$H18*(1+Scenarios!J43)</f>
        <v>12480</v>
      </c>
      <c r="V37" s="256">
        <f>+'Set Up Assumptions'!$H18*(1+Scenarios!K43)</f>
        <v>12600</v>
      </c>
      <c r="W37" s="256">
        <f>+'Set Up Assumptions'!$H18*(1+Scenarios!L43)</f>
        <v>12600</v>
      </c>
      <c r="X37" s="256">
        <f>+'Set Up Assumptions'!$H18*(1+Scenarios!M43)</f>
        <v>12600</v>
      </c>
      <c r="Y37" s="256">
        <f>+'Set Up Assumptions'!$H18*(1+Scenarios!N43)</f>
        <v>12600</v>
      </c>
      <c r="Z37" s="257">
        <f>+'Set Up Assumptions'!$H18*(1+Scenarios!O43)</f>
        <v>12600</v>
      </c>
    </row>
    <row r="38" spans="1:26">
      <c r="A38" s="252"/>
      <c r="B38" s="235" t="s">
        <v>52</v>
      </c>
      <c r="C38" s="236"/>
      <c r="D38" s="236"/>
      <c r="E38" s="256">
        <f>+'Set Up Assumptions'!$H19*(1+Scenarios!F44)</f>
        <v>1000</v>
      </c>
      <c r="F38" s="256"/>
      <c r="G38" s="256"/>
      <c r="H38" s="256"/>
      <c r="I38" s="256"/>
      <c r="J38" s="256"/>
      <c r="K38" s="256"/>
      <c r="L38" s="256"/>
      <c r="M38" s="256"/>
      <c r="N38" s="256"/>
      <c r="O38" s="256"/>
      <c r="P38" s="256"/>
      <c r="Q38" s="256"/>
      <c r="R38" s="256">
        <f>+'Set Up Assumptions'!$H19*(1+Scenarios!G44)</f>
        <v>1050</v>
      </c>
      <c r="S38" s="256">
        <f>+'Set Up Assumptions'!$H19*(1+Scenarios!H44)</f>
        <v>1050</v>
      </c>
      <c r="T38" s="256">
        <f>+'Set Up Assumptions'!$H19*(1+Scenarios!I44)</f>
        <v>1050</v>
      </c>
      <c r="U38" s="256">
        <f>+'Set Up Assumptions'!$H19*(1+Scenarios!J44)</f>
        <v>1050</v>
      </c>
      <c r="V38" s="256">
        <f>+'Set Up Assumptions'!$H19*(1+Scenarios!K44)</f>
        <v>1060</v>
      </c>
      <c r="W38" s="256">
        <f>+'Set Up Assumptions'!$H19*(1+Scenarios!L44)</f>
        <v>1060</v>
      </c>
      <c r="X38" s="256">
        <f>+'Set Up Assumptions'!$H19*(1+Scenarios!M44)</f>
        <v>1060</v>
      </c>
      <c r="Y38" s="256">
        <f>+'Set Up Assumptions'!$H19*(1+Scenarios!N44)</f>
        <v>1060</v>
      </c>
      <c r="Z38" s="257">
        <f>+'Set Up Assumptions'!$H19*(1+Scenarios!O44)</f>
        <v>1060</v>
      </c>
    </row>
    <row r="39" spans="1:26" ht="14.4" thickBot="1">
      <c r="A39" s="253"/>
      <c r="B39" s="243" t="s">
        <v>48</v>
      </c>
      <c r="C39" s="264"/>
      <c r="D39" s="264"/>
      <c r="E39" s="258">
        <f>+'Set Up Assumptions'!$H20*(1+Scenarios!F45)</f>
        <v>18000</v>
      </c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8"/>
      <c r="Q39" s="258"/>
      <c r="R39" s="258">
        <f>+'Set Up Assumptions'!$H20*(1+Scenarios!G45)</f>
        <v>18540</v>
      </c>
      <c r="S39" s="258">
        <f>+'Set Up Assumptions'!$H20*(1+Scenarios!H45)</f>
        <v>18540</v>
      </c>
      <c r="T39" s="258">
        <f>+'Set Up Assumptions'!$H20*(1+Scenarios!I45)</f>
        <v>18540</v>
      </c>
      <c r="U39" s="258">
        <f>+'Set Up Assumptions'!$H20*(1+Scenarios!J45)</f>
        <v>18540</v>
      </c>
      <c r="V39" s="258">
        <f>+'Set Up Assumptions'!$H20*(1+Scenarios!K45)</f>
        <v>18720</v>
      </c>
      <c r="W39" s="258">
        <f>+'Set Up Assumptions'!$H20*(1+Scenarios!L45)</f>
        <v>18720</v>
      </c>
      <c r="X39" s="258">
        <f>+'Set Up Assumptions'!$H20*(1+Scenarios!M45)</f>
        <v>18720</v>
      </c>
      <c r="Y39" s="258">
        <f>+'Set Up Assumptions'!$H20*(1+Scenarios!N45)</f>
        <v>18720</v>
      </c>
      <c r="Z39" s="259">
        <f>+'Set Up Assumptions'!$H20*(1+Scenarios!O45)</f>
        <v>18720</v>
      </c>
    </row>
    <row r="40" spans="1:26" ht="14.4" thickBot="1">
      <c r="A40" s="247"/>
    </row>
    <row r="41" spans="1:26">
      <c r="A41" s="260" t="s">
        <v>311</v>
      </c>
      <c r="B41" s="234" t="s">
        <v>45</v>
      </c>
      <c r="C41" s="263"/>
      <c r="D41" s="263"/>
      <c r="E41" s="254">
        <f>+E31*E36</f>
        <v>711585000</v>
      </c>
      <c r="F41" s="254"/>
      <c r="G41" s="254"/>
      <c r="H41" s="254"/>
      <c r="I41" s="254"/>
      <c r="J41" s="254"/>
      <c r="K41" s="254"/>
      <c r="L41" s="254"/>
      <c r="M41" s="254"/>
      <c r="N41" s="254"/>
      <c r="O41" s="254"/>
      <c r="P41" s="254"/>
      <c r="Q41" s="254"/>
      <c r="R41" s="254">
        <f t="shared" ref="R41:Z41" si="5">+R31*R36</f>
        <v>986731200</v>
      </c>
      <c r="S41" s="254">
        <f t="shared" si="5"/>
        <v>1049459111.9999999</v>
      </c>
      <c r="T41" s="254">
        <f t="shared" si="5"/>
        <v>1072012967.9999999</v>
      </c>
      <c r="U41" s="254">
        <f t="shared" si="5"/>
        <v>1111306014</v>
      </c>
      <c r="V41" s="254">
        <f t="shared" si="5"/>
        <v>1164864645</v>
      </c>
      <c r="W41" s="254">
        <f t="shared" si="5"/>
        <v>1201155480</v>
      </c>
      <c r="X41" s="254">
        <f t="shared" si="5"/>
        <v>1268044470</v>
      </c>
      <c r="Y41" s="254">
        <f t="shared" si="5"/>
        <v>1306825852.5</v>
      </c>
      <c r="Z41" s="255">
        <f t="shared" si="5"/>
        <v>1345251442.5</v>
      </c>
    </row>
    <row r="42" spans="1:26">
      <c r="A42" s="261"/>
      <c r="B42" s="235" t="s">
        <v>46</v>
      </c>
      <c r="C42" s="236"/>
      <c r="D42" s="236"/>
      <c r="E42" s="256">
        <f t="shared" ref="E42:Z42" si="6">+E32*E37</f>
        <v>1057212000</v>
      </c>
      <c r="F42" s="256"/>
      <c r="G42" s="256"/>
      <c r="H42" s="256"/>
      <c r="I42" s="256"/>
      <c r="J42" s="256"/>
      <c r="K42" s="256"/>
      <c r="L42" s="256"/>
      <c r="M42" s="256"/>
      <c r="N42" s="256"/>
      <c r="O42" s="256"/>
      <c r="P42" s="256"/>
      <c r="Q42" s="256"/>
      <c r="R42" s="256">
        <f t="shared" si="6"/>
        <v>1471090920</v>
      </c>
      <c r="S42" s="256">
        <f t="shared" si="6"/>
        <v>1564752072</v>
      </c>
      <c r="T42" s="256">
        <f t="shared" si="6"/>
        <v>1597329863.9999998</v>
      </c>
      <c r="U42" s="256">
        <f t="shared" si="6"/>
        <v>1639833702</v>
      </c>
      <c r="V42" s="256">
        <f t="shared" si="6"/>
        <v>1735002360</v>
      </c>
      <c r="W42" s="256">
        <f t="shared" si="6"/>
        <v>1787422454.9999998</v>
      </c>
      <c r="X42" s="256">
        <f t="shared" si="6"/>
        <v>1831619790</v>
      </c>
      <c r="Y42" s="256">
        <f t="shared" si="6"/>
        <v>1906138552.5000002</v>
      </c>
      <c r="Z42" s="257">
        <f t="shared" si="6"/>
        <v>1961642182.5000002</v>
      </c>
    </row>
    <row r="43" spans="1:26">
      <c r="A43" s="261"/>
      <c r="B43" s="235" t="s">
        <v>52</v>
      </c>
      <c r="C43" s="236"/>
      <c r="D43" s="236"/>
      <c r="E43" s="256">
        <f t="shared" ref="E43:Z43" si="7">+E33*E38</f>
        <v>282375000</v>
      </c>
      <c r="F43" s="256"/>
      <c r="G43" s="256"/>
      <c r="H43" s="256"/>
      <c r="I43" s="256"/>
      <c r="J43" s="256"/>
      <c r="K43" s="256"/>
      <c r="L43" s="256"/>
      <c r="M43" s="256"/>
      <c r="N43" s="256"/>
      <c r="O43" s="256"/>
      <c r="P43" s="256"/>
      <c r="Q43" s="256"/>
      <c r="R43" s="256">
        <f t="shared" si="7"/>
        <v>380039100</v>
      </c>
      <c r="S43" s="256">
        <f t="shared" si="7"/>
        <v>397828724.99999994</v>
      </c>
      <c r="T43" s="256">
        <f t="shared" si="7"/>
        <v>406262324.99999994</v>
      </c>
      <c r="U43" s="256">
        <f t="shared" si="7"/>
        <v>421152900</v>
      </c>
      <c r="V43" s="256">
        <f t="shared" si="7"/>
        <v>438999000</v>
      </c>
      <c r="W43" s="256">
        <f t="shared" si="7"/>
        <v>452568060</v>
      </c>
      <c r="X43" s="256">
        <f t="shared" si="7"/>
        <v>463343490</v>
      </c>
      <c r="Y43" s="256">
        <f t="shared" si="7"/>
        <v>480238299.99999994</v>
      </c>
      <c r="Z43" s="257">
        <f t="shared" si="7"/>
        <v>489816459.99999994</v>
      </c>
    </row>
    <row r="44" spans="1:26" ht="14.4" thickBot="1">
      <c r="A44" s="262"/>
      <c r="B44" s="243" t="s">
        <v>48</v>
      </c>
      <c r="C44" s="264"/>
      <c r="D44" s="264"/>
      <c r="E44" s="258">
        <f t="shared" ref="E44:Z44" si="8">+E34*E39</f>
        <v>660757500</v>
      </c>
      <c r="F44" s="258"/>
      <c r="G44" s="258"/>
      <c r="H44" s="258"/>
      <c r="I44" s="258"/>
      <c r="J44" s="258"/>
      <c r="K44" s="258"/>
      <c r="L44" s="258"/>
      <c r="M44" s="258"/>
      <c r="N44" s="258"/>
      <c r="O44" s="258"/>
      <c r="P44" s="258"/>
      <c r="Q44" s="258"/>
      <c r="R44" s="258">
        <f t="shared" si="8"/>
        <v>963282780.00000024</v>
      </c>
      <c r="S44" s="258">
        <f t="shared" si="8"/>
        <v>1052630748.0000001</v>
      </c>
      <c r="T44" s="258">
        <f t="shared" si="8"/>
        <v>1074967740</v>
      </c>
      <c r="U44" s="258">
        <f t="shared" si="8"/>
        <v>1139186592</v>
      </c>
      <c r="V44" s="258">
        <f t="shared" si="8"/>
        <v>1198173599.9999998</v>
      </c>
      <c r="W44" s="258">
        <f t="shared" si="8"/>
        <v>1234118808.0000002</v>
      </c>
      <c r="X44" s="258">
        <f t="shared" si="8"/>
        <v>1303542396</v>
      </c>
      <c r="Y44" s="258">
        <f t="shared" si="8"/>
        <v>1347945300</v>
      </c>
      <c r="Z44" s="259">
        <f t="shared" si="8"/>
        <v>1386004932</v>
      </c>
    </row>
    <row r="45" spans="1:26">
      <c r="W45" s="232"/>
      <c r="Z45" s="1"/>
    </row>
    <row r="46" spans="1:26">
      <c r="Z46" s="1"/>
    </row>
    <row r="47" spans="1:26">
      <c r="Z47" s="1"/>
    </row>
  </sheetData>
  <mergeCells count="7">
    <mergeCell ref="A11:A14"/>
    <mergeCell ref="A41:A44"/>
    <mergeCell ref="A26:A29"/>
    <mergeCell ref="A21:A24"/>
    <mergeCell ref="A31:A34"/>
    <mergeCell ref="A36:A39"/>
    <mergeCell ref="A16:A19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11FC-5EA7-4737-BF36-5AEAB5355E7C}">
  <dimension ref="A1:O26"/>
  <sheetViews>
    <sheetView showGridLines="0" workbookViewId="0">
      <selection activeCell="M15" sqref="M15"/>
    </sheetView>
  </sheetViews>
  <sheetFormatPr defaultRowHeight="13.8"/>
  <cols>
    <col min="1" max="1" width="17.296875" bestFit="1" customWidth="1"/>
    <col min="2" max="2" width="10.8984375" bestFit="1" customWidth="1"/>
    <col min="4" max="4" width="4.3984375" bestFit="1" customWidth="1"/>
    <col min="5" max="5" width="7.3984375" bestFit="1" customWidth="1"/>
    <col min="6" max="8" width="12.09765625" bestFit="1" customWidth="1"/>
    <col min="9" max="9" width="13.69921875" bestFit="1" customWidth="1"/>
    <col min="13" max="13" width="4.69921875" bestFit="1" customWidth="1"/>
    <col min="14" max="14" width="17.19921875" bestFit="1" customWidth="1"/>
    <col min="15" max="15" width="4.8984375" bestFit="1" customWidth="1"/>
  </cols>
  <sheetData>
    <row r="1" spans="1:9">
      <c r="A1" s="145" t="s">
        <v>33</v>
      </c>
      <c r="B1" s="145">
        <f>+'Set Up Assumptions'!D44</f>
        <v>4020200000</v>
      </c>
    </row>
    <row r="2" spans="1:9" ht="27.6">
      <c r="A2" s="145" t="s">
        <v>28</v>
      </c>
      <c r="B2" s="201">
        <f>+'Set Up Assumptions'!D39</f>
        <v>0.05</v>
      </c>
      <c r="D2" s="200" t="s">
        <v>361</v>
      </c>
      <c r="E2" s="200" t="s">
        <v>365</v>
      </c>
      <c r="F2" s="200" t="s">
        <v>366</v>
      </c>
      <c r="G2" s="200" t="s">
        <v>367</v>
      </c>
      <c r="H2" s="200" t="s">
        <v>368</v>
      </c>
      <c r="I2" s="200" t="s">
        <v>369</v>
      </c>
    </row>
    <row r="3" spans="1:9">
      <c r="A3" s="145" t="s">
        <v>363</v>
      </c>
      <c r="B3" s="145">
        <f>+'Set Up Assumptions'!D41</f>
        <v>15</v>
      </c>
      <c r="D3" s="199">
        <v>1</v>
      </c>
      <c r="E3" s="199">
        <v>2025</v>
      </c>
      <c r="F3" s="199">
        <f>+B1*B2</f>
        <v>201010000</v>
      </c>
      <c r="G3" s="199">
        <f>+F3</f>
        <v>201010000</v>
      </c>
      <c r="H3" s="199">
        <v>0</v>
      </c>
      <c r="I3" s="199">
        <f>+B1</f>
        <v>4020200000</v>
      </c>
    </row>
    <row r="4" spans="1:9">
      <c r="A4" s="145" t="s">
        <v>30</v>
      </c>
      <c r="B4" s="145">
        <f>+'Set Up Assumptions'!D42</f>
        <v>1</v>
      </c>
      <c r="D4" s="199">
        <v>2</v>
      </c>
      <c r="E4" s="199">
        <v>2026</v>
      </c>
      <c r="F4" s="199">
        <f>PMT($B$2,$B$5,-$B$1)</f>
        <v>406136562.01207763</v>
      </c>
      <c r="G4" s="199">
        <f t="shared" ref="G4:G17" si="0">+IPMT($B$2,D3,$B$5,-$B$1)</f>
        <v>201010000</v>
      </c>
      <c r="H4" s="199">
        <f t="shared" ref="H4:H17" si="1">PPMT($B$2,D3,$B$5,-$B$1)</f>
        <v>205126562.01207763</v>
      </c>
      <c r="I4" s="199">
        <f t="shared" ref="I4:I17" si="2">+I3-H4</f>
        <v>3815073437.9879222</v>
      </c>
    </row>
    <row r="5" spans="1:9">
      <c r="A5" s="145" t="s">
        <v>364</v>
      </c>
      <c r="B5" s="145">
        <f>+B3-B4</f>
        <v>14</v>
      </c>
      <c r="D5" s="199">
        <v>3</v>
      </c>
      <c r="E5" s="199">
        <v>2027</v>
      </c>
      <c r="F5" s="199">
        <f t="shared" ref="F5:F17" si="3">PMT($B$2,$B$5,-$B$1)</f>
        <v>406136562.01207763</v>
      </c>
      <c r="G5" s="199">
        <f t="shared" si="0"/>
        <v>190753671.89939612</v>
      </c>
      <c r="H5" s="199">
        <f t="shared" si="1"/>
        <v>215382890.11268151</v>
      </c>
      <c r="I5" s="199">
        <f t="shared" si="2"/>
        <v>3599690547.8752408</v>
      </c>
    </row>
    <row r="6" spans="1:9">
      <c r="D6" s="199">
        <v>4</v>
      </c>
      <c r="E6" s="199">
        <v>2028</v>
      </c>
      <c r="F6" s="199">
        <f t="shared" si="3"/>
        <v>406136562.01207763</v>
      </c>
      <c r="G6" s="199">
        <f t="shared" si="0"/>
        <v>179984527.39376202</v>
      </c>
      <c r="H6" s="199">
        <f t="shared" si="1"/>
        <v>226152034.61831561</v>
      </c>
      <c r="I6" s="199">
        <f t="shared" si="2"/>
        <v>3373538513.2569251</v>
      </c>
    </row>
    <row r="7" spans="1:9">
      <c r="D7" s="199">
        <v>5</v>
      </c>
      <c r="E7" s="199">
        <v>2029</v>
      </c>
      <c r="F7" s="199">
        <f t="shared" si="3"/>
        <v>406136562.01207763</v>
      </c>
      <c r="G7" s="199">
        <f t="shared" si="0"/>
        <v>168676925.6628463</v>
      </c>
      <c r="H7" s="199">
        <f t="shared" si="1"/>
        <v>237459636.34923136</v>
      </c>
      <c r="I7" s="199">
        <f t="shared" si="2"/>
        <v>3136078876.9076939</v>
      </c>
    </row>
    <row r="8" spans="1:9">
      <c r="D8" s="199">
        <v>6</v>
      </c>
      <c r="E8" s="199">
        <v>2030</v>
      </c>
      <c r="F8" s="199">
        <f t="shared" si="3"/>
        <v>406136562.01207763</v>
      </c>
      <c r="G8" s="199">
        <f t="shared" si="0"/>
        <v>156803943.84538472</v>
      </c>
      <c r="H8" s="199">
        <f t="shared" si="1"/>
        <v>249332618.16669294</v>
      </c>
      <c r="I8" s="199">
        <f t="shared" si="2"/>
        <v>2886746258.7410011</v>
      </c>
    </row>
    <row r="9" spans="1:9">
      <c r="D9" s="199">
        <v>7</v>
      </c>
      <c r="E9" s="199">
        <v>2031</v>
      </c>
      <c r="F9" s="199">
        <f t="shared" si="3"/>
        <v>406136562.01207763</v>
      </c>
      <c r="G9" s="199">
        <f t="shared" si="0"/>
        <v>144337312.93705004</v>
      </c>
      <c r="H9" s="199">
        <f t="shared" si="1"/>
        <v>261799249.07502759</v>
      </c>
      <c r="I9" s="199">
        <f t="shared" si="2"/>
        <v>2624947009.6659737</v>
      </c>
    </row>
    <row r="10" spans="1:9">
      <c r="D10" s="199">
        <v>8</v>
      </c>
      <c r="E10" s="199">
        <v>2032</v>
      </c>
      <c r="F10" s="199">
        <f t="shared" si="3"/>
        <v>406136562.01207763</v>
      </c>
      <c r="G10" s="199">
        <f t="shared" si="0"/>
        <v>131247350.48329866</v>
      </c>
      <c r="H10" s="199">
        <f t="shared" si="1"/>
        <v>274889211.52877897</v>
      </c>
      <c r="I10" s="199">
        <f t="shared" si="2"/>
        <v>2350057798.1371946</v>
      </c>
    </row>
    <row r="11" spans="1:9">
      <c r="D11" s="199">
        <v>9</v>
      </c>
      <c r="E11" s="199">
        <v>2033</v>
      </c>
      <c r="F11" s="199">
        <f t="shared" si="3"/>
        <v>406136562.01207763</v>
      </c>
      <c r="G11" s="199">
        <f t="shared" si="0"/>
        <v>117502889.90685971</v>
      </c>
      <c r="H11" s="199">
        <f t="shared" si="1"/>
        <v>288633672.10521787</v>
      </c>
      <c r="I11" s="199">
        <f t="shared" si="2"/>
        <v>2061424126.0319767</v>
      </c>
    </row>
    <row r="12" spans="1:9">
      <c r="D12" s="199">
        <v>10</v>
      </c>
      <c r="E12" s="199">
        <v>2034</v>
      </c>
      <c r="F12" s="199">
        <f t="shared" si="3"/>
        <v>406136562.01207763</v>
      </c>
      <c r="G12" s="199">
        <f t="shared" si="0"/>
        <v>103071206.30159882</v>
      </c>
      <c r="H12" s="199">
        <f t="shared" si="1"/>
        <v>303065355.71047884</v>
      </c>
      <c r="I12" s="199">
        <f t="shared" si="2"/>
        <v>1758358770.3214979</v>
      </c>
    </row>
    <row r="13" spans="1:9">
      <c r="D13" s="199">
        <v>11</v>
      </c>
      <c r="E13" s="199">
        <v>2035</v>
      </c>
      <c r="F13" s="199">
        <f t="shared" si="3"/>
        <v>406136562.01207763</v>
      </c>
      <c r="G13" s="199">
        <f t="shared" si="0"/>
        <v>87917938.516074881</v>
      </c>
      <c r="H13" s="199">
        <f t="shared" si="1"/>
        <v>318218623.49600273</v>
      </c>
      <c r="I13" s="199">
        <f t="shared" si="2"/>
        <v>1440140146.8254952</v>
      </c>
    </row>
    <row r="14" spans="1:9">
      <c r="D14" s="199">
        <v>12</v>
      </c>
      <c r="E14" s="199">
        <v>2036</v>
      </c>
      <c r="F14" s="199">
        <f t="shared" si="3"/>
        <v>406136562.01207763</v>
      </c>
      <c r="G14" s="199">
        <f t="shared" si="0"/>
        <v>72007007.341274723</v>
      </c>
      <c r="H14" s="199">
        <f t="shared" si="1"/>
        <v>334129554.67080289</v>
      </c>
      <c r="I14" s="199">
        <f t="shared" si="2"/>
        <v>1106010592.1546924</v>
      </c>
    </row>
    <row r="15" spans="1:9">
      <c r="D15" s="199">
        <v>13</v>
      </c>
      <c r="E15" s="199">
        <v>2037</v>
      </c>
      <c r="F15" s="199">
        <f t="shared" si="3"/>
        <v>406136562.01207763</v>
      </c>
      <c r="G15" s="199">
        <f t="shared" si="0"/>
        <v>55300529.607734576</v>
      </c>
      <c r="H15" s="199">
        <f t="shared" si="1"/>
        <v>350836032.40434307</v>
      </c>
      <c r="I15" s="199">
        <f t="shared" si="2"/>
        <v>755174559.75034928</v>
      </c>
    </row>
    <row r="16" spans="1:9">
      <c r="D16" s="199">
        <v>14</v>
      </c>
      <c r="E16" s="199">
        <v>2038</v>
      </c>
      <c r="F16" s="199">
        <f t="shared" si="3"/>
        <v>406136562.01207763</v>
      </c>
      <c r="G16" s="199">
        <f t="shared" si="0"/>
        <v>37758727.987517424</v>
      </c>
      <c r="H16" s="199">
        <f t="shared" si="1"/>
        <v>368377834.02456021</v>
      </c>
      <c r="I16" s="199">
        <f t="shared" si="2"/>
        <v>386796725.72578907</v>
      </c>
    </row>
    <row r="17" spans="4:15">
      <c r="D17" s="199">
        <v>15</v>
      </c>
      <c r="E17" s="199">
        <v>2039</v>
      </c>
      <c r="F17" s="199">
        <f t="shared" si="3"/>
        <v>406136562.01207763</v>
      </c>
      <c r="G17" s="199">
        <f t="shared" si="0"/>
        <v>19339836.286289416</v>
      </c>
      <c r="H17" s="199">
        <f t="shared" si="1"/>
        <v>386796725.72578818</v>
      </c>
      <c r="I17" s="199">
        <f t="shared" si="2"/>
        <v>8.9406967163085938E-7</v>
      </c>
      <c r="M17" s="228" t="s">
        <v>36</v>
      </c>
      <c r="N17" s="228"/>
      <c r="O17" s="228"/>
    </row>
    <row r="18" spans="4:15">
      <c r="M18" s="145" t="s">
        <v>361</v>
      </c>
      <c r="N18" s="145" t="s">
        <v>362</v>
      </c>
      <c r="O18" s="145" t="s">
        <v>361</v>
      </c>
    </row>
    <row r="19" spans="4:15">
      <c r="M19" s="145">
        <v>1</v>
      </c>
      <c r="N19" s="199">
        <f>PPMT('Set Up Assumptions'!$D$50,M19,'Set Up Assumptions'!$D$52,'Set Up Assumptions'!$D$55)</f>
        <v>-105250658.78650093</v>
      </c>
      <c r="O19" s="145">
        <v>2025</v>
      </c>
    </row>
    <row r="20" spans="4:15">
      <c r="M20" s="145">
        <v>2</v>
      </c>
      <c r="N20" s="199">
        <f>PPMT('Set Up Assumptions'!$D$50,M20,'Set Up Assumptions'!$D$52,'Set Up Assumptions'!$D$55)</f>
        <v>-110513191.72582598</v>
      </c>
      <c r="O20" s="145">
        <v>2026</v>
      </c>
    </row>
    <row r="21" spans="4:15">
      <c r="M21" s="145">
        <v>3</v>
      </c>
      <c r="N21" s="199">
        <f>PPMT('Set Up Assumptions'!$D$50,M21,'Set Up Assumptions'!$D$52,'Set Up Assumptions'!$D$55)</f>
        <v>-116038851.31211728</v>
      </c>
      <c r="O21" s="145">
        <v>2027</v>
      </c>
    </row>
    <row r="22" spans="4:15">
      <c r="M22" s="145">
        <v>4</v>
      </c>
      <c r="N22" s="199">
        <f>PPMT('Set Up Assumptions'!$D$50,M22,'Set Up Assumptions'!$D$52,'Set Up Assumptions'!$D$55)</f>
        <v>-121840793.87772316</v>
      </c>
      <c r="O22" s="145">
        <v>2028</v>
      </c>
    </row>
    <row r="23" spans="4:15">
      <c r="M23" s="145">
        <v>5</v>
      </c>
      <c r="N23" s="199">
        <f>PPMT('Set Up Assumptions'!$D$50,M23,'Set Up Assumptions'!$D$52,'Set Up Assumptions'!$D$55)</f>
        <v>-127932833.57160932</v>
      </c>
      <c r="O23" s="145">
        <v>2029</v>
      </c>
    </row>
    <row r="24" spans="4:15">
      <c r="M24" s="145">
        <v>6</v>
      </c>
      <c r="N24" s="199">
        <f>PPMT('Set Up Assumptions'!$D$50,M24,'Set Up Assumptions'!$D$52,'Set Up Assumptions'!$D$55)</f>
        <v>-134329475.25018975</v>
      </c>
      <c r="O24" s="145">
        <v>2030</v>
      </c>
    </row>
    <row r="25" spans="4:15">
      <c r="M25" s="145">
        <v>7</v>
      </c>
      <c r="N25" s="199">
        <f>PPMT('Set Up Assumptions'!$D$50,M25,'Set Up Assumptions'!$D$52,'Set Up Assumptions'!$D$55)</f>
        <v>-141045949.01269925</v>
      </c>
      <c r="O25" s="145">
        <v>2031</v>
      </c>
    </row>
    <row r="26" spans="4:15">
      <c r="M26" s="145">
        <v>8</v>
      </c>
      <c r="N26" s="199">
        <f>PPMT('Set Up Assumptions'!$D$50,M26,'Set Up Assumptions'!$D$52,'Set Up Assumptions'!$D$55)</f>
        <v>-148098246.4633342</v>
      </c>
      <c r="O26" s="145">
        <v>2032</v>
      </c>
    </row>
  </sheetData>
  <mergeCells count="1">
    <mergeCell ref="M17:O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Set Up Assumptions</vt:lpstr>
      <vt:lpstr>Development Assumptions</vt:lpstr>
      <vt:lpstr>Payroll</vt:lpstr>
      <vt:lpstr>OpEx</vt:lpstr>
      <vt:lpstr>CapEx</vt:lpstr>
      <vt:lpstr>Depreciation</vt:lpstr>
      <vt:lpstr>Scenarios</vt:lpstr>
      <vt:lpstr>Monthly CF Budget Allocation</vt:lpstr>
      <vt:lpstr>Monthly Operating CF Per year</vt:lpstr>
      <vt:lpstr>Financial Statement</vt:lpstr>
      <vt:lpstr>Inventory Roll Forward  (2)</vt:lpstr>
      <vt:lpstr>Inventory Roll Forward </vt:lpstr>
      <vt:lpstr>Loan-Repay-Interest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Jogani</dc:creator>
  <cp:lastModifiedBy>Prince Jogani</cp:lastModifiedBy>
  <dcterms:created xsi:type="dcterms:W3CDTF">2025-08-01T14:52:01Z</dcterms:created>
  <dcterms:modified xsi:type="dcterms:W3CDTF">2025-08-08T02:20:17Z</dcterms:modified>
</cp:coreProperties>
</file>