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rince Jogani\Downloads\"/>
    </mc:Choice>
  </mc:AlternateContent>
  <xr:revisionPtr revIDLastSave="0" documentId="13_ncr:1_{D68A0B0C-BF6A-4AB9-9C14-0D2039E77C40}" xr6:coauthVersionLast="47" xr6:coauthVersionMax="47" xr10:uidLastSave="{00000000-0000-0000-0000-000000000000}"/>
  <bookViews>
    <workbookView xWindow="-108" yWindow="-108" windowWidth="23256" windowHeight="13896" firstSheet="1" activeTab="7" xr2:uid="{EF65C1AF-1B27-4390-93A3-4346F6BC2F5F}"/>
  </bookViews>
  <sheets>
    <sheet name="Set Up Assumptions" sheetId="1" r:id="rId1"/>
    <sheet name="Development Assumptions" sheetId="2" r:id="rId2"/>
    <sheet name="Payroll" sheetId="3" r:id="rId3"/>
    <sheet name="OpEx" sheetId="4" r:id="rId4"/>
    <sheet name="CapEx" sheetId="5" r:id="rId5"/>
    <sheet name="Depreciation" sheetId="6" r:id="rId6"/>
    <sheet name="Scenarios" sheetId="7" r:id="rId7"/>
    <sheet name="Monthly CF Budget Alloc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1" i="8" l="1"/>
  <c r="P40" i="8"/>
  <c r="P39" i="8"/>
  <c r="P38" i="8"/>
  <c r="P35" i="8"/>
  <c r="P34" i="8"/>
  <c r="P33" i="8"/>
  <c r="P32" i="8"/>
  <c r="P31" i="8"/>
  <c r="P30" i="8"/>
  <c r="P29" i="8"/>
  <c r="P26" i="8"/>
  <c r="P25" i="8"/>
  <c r="P24" i="8"/>
  <c r="P23" i="8"/>
  <c r="P19" i="8"/>
  <c r="P18" i="8"/>
  <c r="P17" i="8"/>
  <c r="P16" i="8"/>
  <c r="P12" i="8"/>
  <c r="P11" i="8"/>
  <c r="P10" i="8"/>
  <c r="P13" i="8"/>
  <c r="P4" i="8"/>
  <c r="O5" i="8"/>
  <c r="P5" i="8" s="1"/>
  <c r="N5" i="8"/>
  <c r="N6" i="8" s="1"/>
  <c r="M5" i="8"/>
  <c r="M6" i="8" s="1"/>
  <c r="L5" i="8"/>
  <c r="L6" i="8" s="1"/>
  <c r="K5" i="8"/>
  <c r="K6" i="8" s="1"/>
  <c r="J5" i="8"/>
  <c r="J6" i="8" s="1"/>
  <c r="I5" i="8"/>
  <c r="I6" i="8" s="1"/>
  <c r="H5" i="8"/>
  <c r="H6" i="8" s="1"/>
  <c r="G5" i="8"/>
  <c r="G6" i="8" s="1"/>
  <c r="F5" i="8"/>
  <c r="F6" i="8" s="1"/>
  <c r="E5" i="8"/>
  <c r="E6" i="8" s="1"/>
  <c r="D5" i="8"/>
  <c r="D6" i="8" s="1"/>
  <c r="O67" i="7"/>
  <c r="N67" i="7"/>
  <c r="M67" i="7"/>
  <c r="L67" i="7"/>
  <c r="K67" i="7"/>
  <c r="J67" i="7"/>
  <c r="I67" i="7"/>
  <c r="H67" i="7"/>
  <c r="O66" i="7"/>
  <c r="N66" i="7"/>
  <c r="M66" i="7"/>
  <c r="L66" i="7"/>
  <c r="K66" i="7"/>
  <c r="J66" i="7"/>
  <c r="I66" i="7"/>
  <c r="H66" i="7"/>
  <c r="G67" i="7"/>
  <c r="G66" i="7"/>
  <c r="F64" i="7" a="1"/>
  <c r="F64" i="7" s="1"/>
  <c r="O62" i="7"/>
  <c r="N62" i="7"/>
  <c r="M62" i="7"/>
  <c r="L62" i="7"/>
  <c r="K62" i="7"/>
  <c r="J62" i="7"/>
  <c r="I62" i="7"/>
  <c r="H62" i="7"/>
  <c r="O61" i="7"/>
  <c r="N61" i="7"/>
  <c r="M61" i="7"/>
  <c r="L61" i="7"/>
  <c r="K61" i="7"/>
  <c r="J61" i="7"/>
  <c r="I61" i="7"/>
  <c r="H61" i="7"/>
  <c r="G62" i="7"/>
  <c r="G61" i="7"/>
  <c r="F59" i="7" a="1"/>
  <c r="F59" i="7" s="1"/>
  <c r="O51" i="7"/>
  <c r="N51" i="7"/>
  <c r="M51" i="7"/>
  <c r="L51" i="7"/>
  <c r="K51" i="7"/>
  <c r="J51" i="7"/>
  <c r="I51" i="7"/>
  <c r="H51" i="7"/>
  <c r="O50" i="7"/>
  <c r="N50" i="7"/>
  <c r="M50" i="7"/>
  <c r="L50" i="7"/>
  <c r="K50" i="7"/>
  <c r="J50" i="7"/>
  <c r="I50" i="7"/>
  <c r="H50" i="7"/>
  <c r="O56" i="7"/>
  <c r="N56" i="7"/>
  <c r="M56" i="7"/>
  <c r="L56" i="7"/>
  <c r="K56" i="7"/>
  <c r="J56" i="7"/>
  <c r="I56" i="7"/>
  <c r="H56" i="7"/>
  <c r="O55" i="7"/>
  <c r="N55" i="7"/>
  <c r="M55" i="7"/>
  <c r="L55" i="7"/>
  <c r="K55" i="7"/>
  <c r="J55" i="7"/>
  <c r="I55" i="7"/>
  <c r="H55" i="7"/>
  <c r="G56" i="7"/>
  <c r="G55" i="7"/>
  <c r="G51" i="7"/>
  <c r="G50" i="7"/>
  <c r="O45" i="7"/>
  <c r="N45" i="7"/>
  <c r="M45" i="7"/>
  <c r="L45" i="7"/>
  <c r="K45" i="7"/>
  <c r="J45" i="7"/>
  <c r="I45" i="7"/>
  <c r="H45" i="7"/>
  <c r="G45" i="7"/>
  <c r="O44" i="7"/>
  <c r="N44" i="7"/>
  <c r="M44" i="7"/>
  <c r="L44" i="7"/>
  <c r="K44" i="7"/>
  <c r="J44" i="7"/>
  <c r="I44" i="7"/>
  <c r="H44" i="7"/>
  <c r="G44" i="7"/>
  <c r="O40" i="7"/>
  <c r="N40" i="7"/>
  <c r="M40" i="7"/>
  <c r="L40" i="7"/>
  <c r="K40" i="7"/>
  <c r="J40" i="7"/>
  <c r="I40" i="7"/>
  <c r="H40" i="7"/>
  <c r="G40" i="7"/>
  <c r="O39" i="7"/>
  <c r="N39" i="7"/>
  <c r="M39" i="7"/>
  <c r="F37" i="7" s="1" a="1"/>
  <c r="F37" i="7" s="1"/>
  <c r="L39" i="7"/>
  <c r="K39" i="7"/>
  <c r="J39" i="7"/>
  <c r="I39" i="7"/>
  <c r="H39" i="7"/>
  <c r="G39" i="7"/>
  <c r="O35" i="7"/>
  <c r="N35" i="7"/>
  <c r="M35" i="7"/>
  <c r="L35" i="7"/>
  <c r="K35" i="7"/>
  <c r="J35" i="7"/>
  <c r="I35" i="7"/>
  <c r="H35" i="7"/>
  <c r="G35" i="7"/>
  <c r="O34" i="7"/>
  <c r="N34" i="7"/>
  <c r="M34" i="7"/>
  <c r="F32" i="7" s="1" a="1"/>
  <c r="F32" i="7" s="1"/>
  <c r="L34" i="7"/>
  <c r="K34" i="7"/>
  <c r="J34" i="7"/>
  <c r="I34" i="7"/>
  <c r="H34" i="7"/>
  <c r="G34" i="7"/>
  <c r="O28" i="7"/>
  <c r="N28" i="7"/>
  <c r="M28" i="7"/>
  <c r="L28" i="7"/>
  <c r="K28" i="7"/>
  <c r="J28" i="7"/>
  <c r="I28" i="7"/>
  <c r="H28" i="7"/>
  <c r="G28" i="7"/>
  <c r="O27" i="7"/>
  <c r="N27" i="7"/>
  <c r="M27" i="7"/>
  <c r="F25" i="7" s="1" a="1"/>
  <c r="F25" i="7" s="1"/>
  <c r="L27" i="7"/>
  <c r="K27" i="7"/>
  <c r="J27" i="7"/>
  <c r="I27" i="7"/>
  <c r="H27" i="7"/>
  <c r="G27" i="7"/>
  <c r="O23" i="7"/>
  <c r="N23" i="7"/>
  <c r="M23" i="7"/>
  <c r="L23" i="7"/>
  <c r="K23" i="7"/>
  <c r="J23" i="7"/>
  <c r="I23" i="7"/>
  <c r="H23" i="7"/>
  <c r="G23" i="7"/>
  <c r="O22" i="7"/>
  <c r="N22" i="7"/>
  <c r="M22" i="7"/>
  <c r="L22" i="7"/>
  <c r="K22" i="7"/>
  <c r="J22" i="7"/>
  <c r="I22" i="7"/>
  <c r="H22" i="7"/>
  <c r="G22" i="7"/>
  <c r="O18" i="7"/>
  <c r="N18" i="7"/>
  <c r="M18" i="7"/>
  <c r="L18" i="7"/>
  <c r="K18" i="7"/>
  <c r="J18" i="7"/>
  <c r="I18" i="7"/>
  <c r="H18" i="7"/>
  <c r="G18" i="7"/>
  <c r="O17" i="7"/>
  <c r="N17" i="7"/>
  <c r="M17" i="7"/>
  <c r="L17" i="7"/>
  <c r="K17" i="7"/>
  <c r="J17" i="7"/>
  <c r="I17" i="7"/>
  <c r="H17" i="7"/>
  <c r="G17" i="7"/>
  <c r="F15" i="7" s="1" a="1"/>
  <c r="F15" i="7" s="1"/>
  <c r="F35" i="7"/>
  <c r="F34" i="7"/>
  <c r="F28" i="7"/>
  <c r="F27" i="7"/>
  <c r="F23" i="7"/>
  <c r="F22" i="7"/>
  <c r="F53" i="7" a="1"/>
  <c r="F53" i="7" s="1"/>
  <c r="F48" i="7" a="1"/>
  <c r="F48" i="7" s="1"/>
  <c r="F20" i="7" a="1"/>
  <c r="F20" i="7" s="1"/>
  <c r="I13" i="7"/>
  <c r="I12" i="7"/>
  <c r="F10" i="7" a="1"/>
  <c r="F10" i="7" s="1"/>
  <c r="F18" i="7"/>
  <c r="F17" i="7"/>
  <c r="O13" i="7"/>
  <c r="N13" i="7"/>
  <c r="M13" i="7"/>
  <c r="L13" i="7"/>
  <c r="K13" i="7"/>
  <c r="J13" i="7"/>
  <c r="H13" i="7"/>
  <c r="G13" i="7"/>
  <c r="F13" i="7"/>
  <c r="O12" i="7"/>
  <c r="N12" i="7"/>
  <c r="M12" i="7"/>
  <c r="L12" i="7"/>
  <c r="K12" i="7"/>
  <c r="J12" i="7"/>
  <c r="H12" i="7"/>
  <c r="G12" i="7"/>
  <c r="F12" i="7"/>
  <c r="O5" i="7"/>
  <c r="N5" i="7"/>
  <c r="M5" i="7"/>
  <c r="L5" i="7"/>
  <c r="K5" i="7"/>
  <c r="J5" i="7"/>
  <c r="I5" i="7"/>
  <c r="H5" i="7"/>
  <c r="G5" i="7"/>
  <c r="F5" i="7"/>
  <c r="P57" i="5"/>
  <c r="O57" i="5"/>
  <c r="N57" i="5"/>
  <c r="M57" i="5"/>
  <c r="L57" i="5"/>
  <c r="K57" i="5"/>
  <c r="J57" i="5"/>
  <c r="I57" i="5"/>
  <c r="H57" i="5"/>
  <c r="G57" i="5"/>
  <c r="J50" i="6"/>
  <c r="I50" i="6"/>
  <c r="B48" i="6"/>
  <c r="H50" i="6" s="1"/>
  <c r="M45" i="6"/>
  <c r="L45" i="6"/>
  <c r="K45" i="6"/>
  <c r="I44" i="6"/>
  <c r="K43" i="6"/>
  <c r="J43" i="6"/>
  <c r="I43" i="6"/>
  <c r="H43" i="6"/>
  <c r="G43" i="6"/>
  <c r="D42" i="6"/>
  <c r="D46" i="6" s="1"/>
  <c r="G55" i="5" s="1"/>
  <c r="H42" i="6"/>
  <c r="H46" i="6" s="1"/>
  <c r="K55" i="5" s="1"/>
  <c r="B41" i="6"/>
  <c r="M44" i="6" s="1"/>
  <c r="B33" i="6"/>
  <c r="J35" i="6" s="1"/>
  <c r="C33" i="6"/>
  <c r="L29" i="6"/>
  <c r="K29" i="6"/>
  <c r="B25" i="6"/>
  <c r="M30" i="6" s="1"/>
  <c r="B15" i="6"/>
  <c r="M22" i="6" s="1"/>
  <c r="B13" i="6"/>
  <c r="L13" i="6" s="1"/>
  <c r="L14" i="6" s="1"/>
  <c r="E11" i="6"/>
  <c r="F11" i="6" s="1"/>
  <c r="G11" i="6" s="1"/>
  <c r="H11" i="6" s="1"/>
  <c r="I11" i="6" s="1"/>
  <c r="J11" i="6" s="1"/>
  <c r="K11" i="6" s="1"/>
  <c r="L11" i="6" s="1"/>
  <c r="M11" i="6" s="1"/>
  <c r="E3" i="6"/>
  <c r="F3" i="6" s="1"/>
  <c r="G3" i="6" s="1"/>
  <c r="H3" i="6" s="1"/>
  <c r="I3" i="6" s="1"/>
  <c r="J3" i="6" s="1"/>
  <c r="K3" i="6" s="1"/>
  <c r="L3" i="6" s="1"/>
  <c r="M3" i="6" s="1"/>
  <c r="H53" i="5"/>
  <c r="I53" i="5" s="1"/>
  <c r="J53" i="5" s="1"/>
  <c r="K53" i="5" s="1"/>
  <c r="L53" i="5" s="1"/>
  <c r="M53" i="5" s="1"/>
  <c r="N53" i="5" s="1"/>
  <c r="O53" i="5" s="1"/>
  <c r="P53" i="5" s="1"/>
  <c r="G53" i="5"/>
  <c r="H52" i="5"/>
  <c r="I52" i="5"/>
  <c r="J52" i="5"/>
  <c r="K52" i="5" s="1"/>
  <c r="L52" i="5" s="1"/>
  <c r="M52" i="5" s="1"/>
  <c r="N52" i="5" s="1"/>
  <c r="O52" i="5" s="1"/>
  <c r="P52" i="5" s="1"/>
  <c r="G52" i="5"/>
  <c r="P37" i="5"/>
  <c r="O37" i="5"/>
  <c r="N37" i="5"/>
  <c r="M37" i="5"/>
  <c r="L37" i="5"/>
  <c r="K37" i="5"/>
  <c r="J37" i="5"/>
  <c r="I37" i="5"/>
  <c r="H37" i="5"/>
  <c r="G37" i="5"/>
  <c r="P36" i="5"/>
  <c r="O36" i="5"/>
  <c r="N36" i="5"/>
  <c r="M36" i="5"/>
  <c r="L36" i="5"/>
  <c r="K36" i="5"/>
  <c r="J36" i="5"/>
  <c r="I36" i="5"/>
  <c r="H36" i="5"/>
  <c r="P35" i="5"/>
  <c r="O35" i="5"/>
  <c r="N35" i="5"/>
  <c r="M35" i="5"/>
  <c r="L35" i="5"/>
  <c r="K35" i="5"/>
  <c r="J35" i="5"/>
  <c r="I35" i="5"/>
  <c r="H35" i="5"/>
  <c r="P34" i="5"/>
  <c r="O34" i="5"/>
  <c r="N34" i="5"/>
  <c r="M34" i="5"/>
  <c r="L34" i="5"/>
  <c r="K34" i="5"/>
  <c r="J34" i="5"/>
  <c r="I34" i="5"/>
  <c r="H34" i="5"/>
  <c r="P33" i="5"/>
  <c r="O33" i="5"/>
  <c r="N33" i="5"/>
  <c r="M33" i="5"/>
  <c r="L33" i="5"/>
  <c r="K33" i="5"/>
  <c r="J33" i="5"/>
  <c r="I33" i="5"/>
  <c r="H33" i="5"/>
  <c r="P32" i="5"/>
  <c r="O32" i="5"/>
  <c r="N32" i="5"/>
  <c r="M32" i="5"/>
  <c r="L32" i="5"/>
  <c r="K32" i="5"/>
  <c r="J32" i="5"/>
  <c r="I32" i="5"/>
  <c r="H32" i="5"/>
  <c r="P31" i="5"/>
  <c r="P38" i="5" s="1"/>
  <c r="O31" i="5"/>
  <c r="O38" i="5" s="1"/>
  <c r="N31" i="5"/>
  <c r="N38" i="5" s="1"/>
  <c r="M31" i="5"/>
  <c r="M38" i="5" s="1"/>
  <c r="L31" i="5"/>
  <c r="L38" i="5" s="1"/>
  <c r="K31" i="5"/>
  <c r="K38" i="5" s="1"/>
  <c r="J31" i="5"/>
  <c r="J38" i="5" s="1"/>
  <c r="I31" i="5"/>
  <c r="I38" i="5" s="1"/>
  <c r="H31" i="5"/>
  <c r="H38" i="5" s="1"/>
  <c r="P28" i="5"/>
  <c r="O28" i="5"/>
  <c r="N28" i="5"/>
  <c r="M28" i="5"/>
  <c r="L28" i="5"/>
  <c r="K28" i="5"/>
  <c r="J28" i="5"/>
  <c r="I28" i="5"/>
  <c r="H28" i="5"/>
  <c r="G28" i="5"/>
  <c r="G16" i="5"/>
  <c r="G36" i="5" s="1"/>
  <c r="G15" i="5"/>
  <c r="G35" i="5" s="1"/>
  <c r="G14" i="5"/>
  <c r="G34" i="5" s="1"/>
  <c r="G13" i="5"/>
  <c r="G33" i="5" s="1"/>
  <c r="G12" i="5"/>
  <c r="G32" i="5" s="1"/>
  <c r="G11" i="5"/>
  <c r="P5" i="5"/>
  <c r="O5" i="5"/>
  <c r="N5" i="5"/>
  <c r="M5" i="5"/>
  <c r="L5" i="5"/>
  <c r="K5" i="5"/>
  <c r="J5" i="5"/>
  <c r="I5" i="5"/>
  <c r="H5" i="5"/>
  <c r="G5" i="5"/>
  <c r="T28" i="4"/>
  <c r="T24" i="4"/>
  <c r="T22" i="4"/>
  <c r="T20" i="4"/>
  <c r="R16" i="4"/>
  <c r="Q16" i="4"/>
  <c r="P16" i="4"/>
  <c r="O16" i="4"/>
  <c r="N16" i="4"/>
  <c r="M16" i="4"/>
  <c r="L16" i="4"/>
  <c r="K16" i="4"/>
  <c r="J16" i="4"/>
  <c r="R15" i="4"/>
  <c r="Q15" i="4"/>
  <c r="P15" i="4"/>
  <c r="O15" i="4"/>
  <c r="N15" i="4"/>
  <c r="M15" i="4"/>
  <c r="L15" i="4"/>
  <c r="K15" i="4"/>
  <c r="J15" i="4"/>
  <c r="R14" i="4"/>
  <c r="Q14" i="4"/>
  <c r="P14" i="4"/>
  <c r="O14" i="4"/>
  <c r="N14" i="4"/>
  <c r="M14" i="4"/>
  <c r="L14" i="4"/>
  <c r="K14" i="4"/>
  <c r="J14" i="4"/>
  <c r="R13" i="4"/>
  <c r="Q13" i="4"/>
  <c r="P13" i="4"/>
  <c r="O13" i="4"/>
  <c r="N13" i="4"/>
  <c r="M13" i="4"/>
  <c r="L13" i="4"/>
  <c r="K13" i="4"/>
  <c r="J13" i="4"/>
  <c r="R12" i="4"/>
  <c r="Q12" i="4"/>
  <c r="P12" i="4"/>
  <c r="O12" i="4"/>
  <c r="N12" i="4"/>
  <c r="M12" i="4"/>
  <c r="L12" i="4"/>
  <c r="K12" i="4"/>
  <c r="J12" i="4"/>
  <c r="R11" i="4"/>
  <c r="Q11" i="4"/>
  <c r="P11" i="4"/>
  <c r="O11" i="4"/>
  <c r="N11" i="4"/>
  <c r="M11" i="4"/>
  <c r="L11" i="4"/>
  <c r="K11" i="4"/>
  <c r="J11" i="4"/>
  <c r="R10" i="4"/>
  <c r="Q10" i="4"/>
  <c r="P10" i="4"/>
  <c r="O10" i="4"/>
  <c r="N10" i="4"/>
  <c r="M10" i="4"/>
  <c r="L10" i="4"/>
  <c r="K10" i="4"/>
  <c r="J10" i="4"/>
  <c r="R9" i="4"/>
  <c r="Q9" i="4"/>
  <c r="P9" i="4"/>
  <c r="O9" i="4"/>
  <c r="N9" i="4"/>
  <c r="M9" i="4"/>
  <c r="L9" i="4"/>
  <c r="K9" i="4"/>
  <c r="J9" i="4"/>
  <c r="I16" i="4"/>
  <c r="I15" i="4"/>
  <c r="I14" i="4"/>
  <c r="I13" i="4"/>
  <c r="I12" i="4"/>
  <c r="I11" i="4"/>
  <c r="I10" i="4"/>
  <c r="I9" i="4"/>
  <c r="B16" i="4"/>
  <c r="B15" i="4"/>
  <c r="B14" i="4"/>
  <c r="B13" i="4"/>
  <c r="B12" i="4"/>
  <c r="B11" i="4"/>
  <c r="B10" i="4"/>
  <c r="B9" i="4"/>
  <c r="I84" i="4"/>
  <c r="J84" i="4" s="1"/>
  <c r="K84" i="4" s="1"/>
  <c r="L84" i="4" s="1"/>
  <c r="M84" i="4" s="1"/>
  <c r="N84" i="4" s="1"/>
  <c r="O84" i="4" s="1"/>
  <c r="P84" i="4" s="1"/>
  <c r="Q84" i="4" s="1"/>
  <c r="R84" i="4" s="1"/>
  <c r="I83" i="4"/>
  <c r="J83" i="4" s="1"/>
  <c r="K83" i="4" s="1"/>
  <c r="L83" i="4" s="1"/>
  <c r="M83" i="4" s="1"/>
  <c r="N83" i="4" s="1"/>
  <c r="O83" i="4" s="1"/>
  <c r="P83" i="4" s="1"/>
  <c r="Q83" i="4" s="1"/>
  <c r="R83" i="4" s="1"/>
  <c r="I85" i="4"/>
  <c r="J85" i="4" s="1"/>
  <c r="K85" i="4" s="1"/>
  <c r="L85" i="4" s="1"/>
  <c r="M85" i="4" s="1"/>
  <c r="N85" i="4" s="1"/>
  <c r="O85" i="4" s="1"/>
  <c r="P85" i="4" s="1"/>
  <c r="Q85" i="4" s="1"/>
  <c r="R85" i="4" s="1"/>
  <c r="I86" i="4"/>
  <c r="J86" i="4" s="1"/>
  <c r="K86" i="4" s="1"/>
  <c r="L86" i="4" s="1"/>
  <c r="M86" i="4" s="1"/>
  <c r="N86" i="4" s="1"/>
  <c r="O86" i="4" s="1"/>
  <c r="P86" i="4" s="1"/>
  <c r="Q86" i="4" s="1"/>
  <c r="R86" i="4" s="1"/>
  <c r="I82" i="4"/>
  <c r="J82" i="4" s="1"/>
  <c r="K82" i="4" s="1"/>
  <c r="L82" i="4" s="1"/>
  <c r="M82" i="4" s="1"/>
  <c r="N82" i="4" s="1"/>
  <c r="O82" i="4" s="1"/>
  <c r="P82" i="4" s="1"/>
  <c r="Q82" i="4" s="1"/>
  <c r="R82" i="4" s="1"/>
  <c r="I81" i="4"/>
  <c r="J81" i="4" s="1"/>
  <c r="K81" i="4" s="1"/>
  <c r="L81" i="4" s="1"/>
  <c r="M81" i="4" s="1"/>
  <c r="N81" i="4" s="1"/>
  <c r="O81" i="4" s="1"/>
  <c r="P81" i="4" s="1"/>
  <c r="Q81" i="4" s="1"/>
  <c r="R81" i="4" s="1"/>
  <c r="I80" i="4"/>
  <c r="I74" i="4"/>
  <c r="J74" i="4" s="1"/>
  <c r="K74" i="4" s="1"/>
  <c r="L74" i="4" s="1"/>
  <c r="M74" i="4" s="1"/>
  <c r="N74" i="4" s="1"/>
  <c r="O74" i="4" s="1"/>
  <c r="P74" i="4" s="1"/>
  <c r="Q74" i="4" s="1"/>
  <c r="R74" i="4" s="1"/>
  <c r="I76" i="4"/>
  <c r="J76" i="4" s="1"/>
  <c r="K76" i="4" s="1"/>
  <c r="L76" i="4" s="1"/>
  <c r="M76" i="4" s="1"/>
  <c r="N76" i="4" s="1"/>
  <c r="O76" i="4" s="1"/>
  <c r="P76" i="4" s="1"/>
  <c r="Q76" i="4" s="1"/>
  <c r="R76" i="4" s="1"/>
  <c r="I75" i="4"/>
  <c r="J75" i="4" s="1"/>
  <c r="K75" i="4" s="1"/>
  <c r="L75" i="4" s="1"/>
  <c r="M75" i="4" s="1"/>
  <c r="N75" i="4" s="1"/>
  <c r="O75" i="4" s="1"/>
  <c r="P75" i="4" s="1"/>
  <c r="Q75" i="4" s="1"/>
  <c r="R75" i="4" s="1"/>
  <c r="I73" i="4"/>
  <c r="J73" i="4" s="1"/>
  <c r="K73" i="4" s="1"/>
  <c r="L73" i="4" s="1"/>
  <c r="M73" i="4" s="1"/>
  <c r="N73" i="4" s="1"/>
  <c r="O73" i="4" s="1"/>
  <c r="P73" i="4" s="1"/>
  <c r="Q73" i="4" s="1"/>
  <c r="R73" i="4" s="1"/>
  <c r="I72" i="4"/>
  <c r="I66" i="4"/>
  <c r="J66" i="4" s="1"/>
  <c r="K66" i="4" s="1"/>
  <c r="L66" i="4" s="1"/>
  <c r="M66" i="4" s="1"/>
  <c r="N66" i="4" s="1"/>
  <c r="O66" i="4" s="1"/>
  <c r="P66" i="4" s="1"/>
  <c r="Q66" i="4" s="1"/>
  <c r="R66" i="4" s="1"/>
  <c r="I65" i="4"/>
  <c r="J65" i="4" s="1"/>
  <c r="K65" i="4" s="1"/>
  <c r="L65" i="4" s="1"/>
  <c r="M65" i="4" s="1"/>
  <c r="N65" i="4" s="1"/>
  <c r="O65" i="4" s="1"/>
  <c r="P65" i="4" s="1"/>
  <c r="Q65" i="4" s="1"/>
  <c r="R65" i="4" s="1"/>
  <c r="I68" i="4"/>
  <c r="J68" i="4" s="1"/>
  <c r="K68" i="4" s="1"/>
  <c r="L68" i="4" s="1"/>
  <c r="M68" i="4" s="1"/>
  <c r="N68" i="4" s="1"/>
  <c r="O68" i="4" s="1"/>
  <c r="P68" i="4" s="1"/>
  <c r="Q68" i="4" s="1"/>
  <c r="R68" i="4" s="1"/>
  <c r="I67" i="4"/>
  <c r="I61" i="4"/>
  <c r="J61" i="4" s="1"/>
  <c r="K61" i="4" s="1"/>
  <c r="L61" i="4" s="1"/>
  <c r="M61" i="4" s="1"/>
  <c r="N61" i="4" s="1"/>
  <c r="O61" i="4" s="1"/>
  <c r="P61" i="4" s="1"/>
  <c r="Q61" i="4" s="1"/>
  <c r="R61" i="4" s="1"/>
  <c r="I60" i="4"/>
  <c r="J60" i="4" s="1"/>
  <c r="K60" i="4" s="1"/>
  <c r="L60" i="4" s="1"/>
  <c r="M60" i="4" s="1"/>
  <c r="N60" i="4" s="1"/>
  <c r="O60" i="4" s="1"/>
  <c r="P60" i="4" s="1"/>
  <c r="Q60" i="4" s="1"/>
  <c r="R60" i="4" s="1"/>
  <c r="K59" i="4"/>
  <c r="L59" i="4" s="1"/>
  <c r="M59" i="4" s="1"/>
  <c r="N59" i="4" s="1"/>
  <c r="O59" i="4" s="1"/>
  <c r="P59" i="4" s="1"/>
  <c r="Q59" i="4" s="1"/>
  <c r="R59" i="4" s="1"/>
  <c r="J58" i="4"/>
  <c r="K58" i="4" s="1"/>
  <c r="L58" i="4" s="1"/>
  <c r="M58" i="4" s="1"/>
  <c r="N58" i="4" s="1"/>
  <c r="O58" i="4" s="1"/>
  <c r="P58" i="4" s="1"/>
  <c r="Q58" i="4" s="1"/>
  <c r="R58" i="4" s="1"/>
  <c r="I54" i="4"/>
  <c r="J54" i="4" s="1"/>
  <c r="K54" i="4" s="1"/>
  <c r="L54" i="4" s="1"/>
  <c r="M54" i="4" s="1"/>
  <c r="N54" i="4" s="1"/>
  <c r="O54" i="4" s="1"/>
  <c r="P54" i="4" s="1"/>
  <c r="Q54" i="4" s="1"/>
  <c r="R54" i="4" s="1"/>
  <c r="I53" i="4"/>
  <c r="J53" i="4" s="1"/>
  <c r="K53" i="4" s="1"/>
  <c r="L53" i="4" s="1"/>
  <c r="M53" i="4" s="1"/>
  <c r="N53" i="4" s="1"/>
  <c r="O53" i="4" s="1"/>
  <c r="P53" i="4" s="1"/>
  <c r="Q53" i="4" s="1"/>
  <c r="R53" i="4" s="1"/>
  <c r="I52" i="4"/>
  <c r="J52" i="4" s="1"/>
  <c r="K52" i="4" s="1"/>
  <c r="L52" i="4" s="1"/>
  <c r="M52" i="4" s="1"/>
  <c r="N52" i="4" s="1"/>
  <c r="O52" i="4" s="1"/>
  <c r="P52" i="4" s="1"/>
  <c r="Q52" i="4" s="1"/>
  <c r="R52" i="4" s="1"/>
  <c r="I51" i="4"/>
  <c r="J51" i="4" s="1"/>
  <c r="K51" i="4" s="1"/>
  <c r="L51" i="4" s="1"/>
  <c r="M51" i="4" s="1"/>
  <c r="N51" i="4" s="1"/>
  <c r="O51" i="4" s="1"/>
  <c r="P51" i="4" s="1"/>
  <c r="Q51" i="4" s="1"/>
  <c r="R51" i="4" s="1"/>
  <c r="I50" i="4"/>
  <c r="J50" i="4" s="1"/>
  <c r="K50" i="4" s="1"/>
  <c r="L50" i="4" s="1"/>
  <c r="M50" i="4" s="1"/>
  <c r="N50" i="4" s="1"/>
  <c r="O50" i="4" s="1"/>
  <c r="P50" i="4" s="1"/>
  <c r="Q50" i="4" s="1"/>
  <c r="R50" i="4" s="1"/>
  <c r="I49" i="4"/>
  <c r="J49" i="4" s="1"/>
  <c r="K49" i="4" s="1"/>
  <c r="L49" i="4" s="1"/>
  <c r="M49" i="4" s="1"/>
  <c r="N49" i="4" s="1"/>
  <c r="O49" i="4" s="1"/>
  <c r="P49" i="4" s="1"/>
  <c r="Q49" i="4" s="1"/>
  <c r="R49" i="4" s="1"/>
  <c r="I48" i="4"/>
  <c r="I44" i="4"/>
  <c r="J44" i="4" s="1"/>
  <c r="K44" i="4" s="1"/>
  <c r="L44" i="4" s="1"/>
  <c r="M44" i="4" s="1"/>
  <c r="N44" i="4" s="1"/>
  <c r="O44" i="4" s="1"/>
  <c r="P44" i="4" s="1"/>
  <c r="Q44" i="4" s="1"/>
  <c r="R44" i="4" s="1"/>
  <c r="I43" i="4"/>
  <c r="J43" i="4" s="1"/>
  <c r="K43" i="4" s="1"/>
  <c r="L43" i="4" s="1"/>
  <c r="M43" i="4" s="1"/>
  <c r="N43" i="4" s="1"/>
  <c r="O43" i="4" s="1"/>
  <c r="P43" i="4" s="1"/>
  <c r="Q43" i="4" s="1"/>
  <c r="R43" i="4" s="1"/>
  <c r="I42" i="4"/>
  <c r="J42" i="4" s="1"/>
  <c r="K42" i="4" s="1"/>
  <c r="L42" i="4" s="1"/>
  <c r="M42" i="4" s="1"/>
  <c r="N42" i="4" s="1"/>
  <c r="O42" i="4" s="1"/>
  <c r="P42" i="4" s="1"/>
  <c r="Q42" i="4" s="1"/>
  <c r="R42" i="4" s="1"/>
  <c r="I41" i="4"/>
  <c r="I37" i="4"/>
  <c r="J37" i="4" s="1"/>
  <c r="K37" i="4" s="1"/>
  <c r="L37" i="4" s="1"/>
  <c r="M37" i="4" s="1"/>
  <c r="N37" i="4" s="1"/>
  <c r="O37" i="4" s="1"/>
  <c r="P37" i="4" s="1"/>
  <c r="Q37" i="4" s="1"/>
  <c r="R37" i="4" s="1"/>
  <c r="I36" i="4"/>
  <c r="J36" i="4" s="1"/>
  <c r="K36" i="4" s="1"/>
  <c r="L36" i="4" s="1"/>
  <c r="M36" i="4" s="1"/>
  <c r="N36" i="4" s="1"/>
  <c r="O36" i="4" s="1"/>
  <c r="P36" i="4" s="1"/>
  <c r="Q36" i="4" s="1"/>
  <c r="R36" i="4" s="1"/>
  <c r="I29" i="4"/>
  <c r="J29" i="4" s="1"/>
  <c r="K29" i="4" s="1"/>
  <c r="L29" i="4" s="1"/>
  <c r="M29" i="4" s="1"/>
  <c r="N29" i="4" s="1"/>
  <c r="O29" i="4" s="1"/>
  <c r="P29" i="4" s="1"/>
  <c r="Q29" i="4" s="1"/>
  <c r="R29" i="4" s="1"/>
  <c r="I28" i="4"/>
  <c r="J28" i="4" s="1"/>
  <c r="K28" i="4" s="1"/>
  <c r="L28" i="4" s="1"/>
  <c r="M28" i="4" s="1"/>
  <c r="N28" i="4" s="1"/>
  <c r="O28" i="4" s="1"/>
  <c r="P28" i="4" s="1"/>
  <c r="Q28" i="4" s="1"/>
  <c r="R28" i="4" s="1"/>
  <c r="I35" i="4"/>
  <c r="J35" i="4" s="1"/>
  <c r="K35" i="4" s="1"/>
  <c r="L35" i="4" s="1"/>
  <c r="M35" i="4" s="1"/>
  <c r="N35" i="4" s="1"/>
  <c r="O35" i="4" s="1"/>
  <c r="P35" i="4" s="1"/>
  <c r="Q35" i="4" s="1"/>
  <c r="R35" i="4" s="1"/>
  <c r="I34" i="4"/>
  <c r="J34" i="4" s="1"/>
  <c r="K34" i="4" s="1"/>
  <c r="L34" i="4" s="1"/>
  <c r="M34" i="4" s="1"/>
  <c r="N34" i="4" s="1"/>
  <c r="O34" i="4" s="1"/>
  <c r="P34" i="4" s="1"/>
  <c r="Q34" i="4" s="1"/>
  <c r="R34" i="4" s="1"/>
  <c r="I33" i="4"/>
  <c r="I27" i="4"/>
  <c r="J27" i="4" s="1"/>
  <c r="I26" i="4"/>
  <c r="J26" i="4" s="1"/>
  <c r="K26" i="4" s="1"/>
  <c r="L26" i="4" s="1"/>
  <c r="M26" i="4" s="1"/>
  <c r="N26" i="4" s="1"/>
  <c r="O26" i="4" s="1"/>
  <c r="P26" i="4" s="1"/>
  <c r="Q26" i="4" s="1"/>
  <c r="R26" i="4" s="1"/>
  <c r="I25" i="4"/>
  <c r="J25" i="4" s="1"/>
  <c r="K25" i="4" s="1"/>
  <c r="L25" i="4" s="1"/>
  <c r="M25" i="4" s="1"/>
  <c r="N25" i="4" s="1"/>
  <c r="O25" i="4" s="1"/>
  <c r="P25" i="4" s="1"/>
  <c r="Q25" i="4" s="1"/>
  <c r="R25" i="4" s="1"/>
  <c r="I24" i="4"/>
  <c r="J24" i="4" s="1"/>
  <c r="K24" i="4" s="1"/>
  <c r="L24" i="4" s="1"/>
  <c r="M24" i="4" s="1"/>
  <c r="N24" i="4" s="1"/>
  <c r="O24" i="4" s="1"/>
  <c r="P24" i="4" s="1"/>
  <c r="Q24" i="4" s="1"/>
  <c r="R24" i="4" s="1"/>
  <c r="I23" i="4"/>
  <c r="R18" i="4"/>
  <c r="Q18" i="4"/>
  <c r="P18" i="4"/>
  <c r="O18" i="4"/>
  <c r="N18" i="4"/>
  <c r="M18" i="4"/>
  <c r="L18" i="4"/>
  <c r="K18" i="4"/>
  <c r="J18" i="4"/>
  <c r="I18" i="4"/>
  <c r="R5" i="4"/>
  <c r="Q5" i="4"/>
  <c r="P5" i="4"/>
  <c r="O5" i="4"/>
  <c r="N5" i="4"/>
  <c r="M5" i="4"/>
  <c r="L5" i="4"/>
  <c r="K5" i="4"/>
  <c r="J5" i="4"/>
  <c r="I5" i="4"/>
  <c r="R51" i="3"/>
  <c r="R47" i="3"/>
  <c r="R50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P44" i="3"/>
  <c r="P43" i="3"/>
  <c r="P42" i="3"/>
  <c r="P41" i="3"/>
  <c r="P40" i="3"/>
  <c r="P39" i="3"/>
  <c r="P38" i="3"/>
  <c r="P37" i="3"/>
  <c r="P36" i="3"/>
  <c r="P35" i="3"/>
  <c r="P34" i="3"/>
  <c r="P33" i="3"/>
  <c r="R28" i="3"/>
  <c r="R27" i="3"/>
  <c r="R26" i="3"/>
  <c r="R23" i="3"/>
  <c r="R21" i="3"/>
  <c r="R19" i="3"/>
  <c r="R18" i="3"/>
  <c r="R17" i="3"/>
  <c r="R16" i="3"/>
  <c r="R15" i="3"/>
  <c r="R14" i="3"/>
  <c r="R13" i="3"/>
  <c r="R12" i="3"/>
  <c r="R11" i="3"/>
  <c r="R10" i="3"/>
  <c r="R9" i="3"/>
  <c r="P19" i="3"/>
  <c r="P18" i="3"/>
  <c r="P17" i="3"/>
  <c r="P16" i="3"/>
  <c r="P15" i="3"/>
  <c r="P14" i="3"/>
  <c r="P13" i="3"/>
  <c r="P12" i="3"/>
  <c r="P11" i="3"/>
  <c r="P10" i="3"/>
  <c r="P9" i="3"/>
  <c r="L13" i="1"/>
  <c r="L12" i="1"/>
  <c r="L11" i="1"/>
  <c r="L10" i="1"/>
  <c r="L9" i="1"/>
  <c r="L8" i="1"/>
  <c r="L7" i="1"/>
  <c r="H7" i="2"/>
  <c r="H12" i="2" s="1"/>
  <c r="H18" i="2" s="1"/>
  <c r="D21" i="2"/>
  <c r="D9" i="2"/>
  <c r="D12" i="2" s="1"/>
  <c r="D25" i="2" s="1"/>
  <c r="D31" i="2" s="1"/>
  <c r="N54" i="1"/>
  <c r="N53" i="1"/>
  <c r="N49" i="1"/>
  <c r="L22" i="1"/>
  <c r="H7" i="1"/>
  <c r="D29" i="1"/>
  <c r="D23" i="1"/>
  <c r="M46" i="6" l="1"/>
  <c r="P55" i="5" s="1"/>
  <c r="I46" i="6"/>
  <c r="L55" i="5" s="1"/>
  <c r="O6" i="8"/>
  <c r="P6" i="8" s="1"/>
  <c r="G34" i="6"/>
  <c r="F49" i="6"/>
  <c r="F53" i="6" s="1"/>
  <c r="I56" i="5" s="1"/>
  <c r="K35" i="6"/>
  <c r="L35" i="6"/>
  <c r="M35" i="6"/>
  <c r="K50" i="6"/>
  <c r="K53" i="6" s="1"/>
  <c r="N56" i="5" s="1"/>
  <c r="J36" i="6"/>
  <c r="L50" i="6"/>
  <c r="K36" i="6"/>
  <c r="H34" i="6"/>
  <c r="I34" i="6"/>
  <c r="L37" i="6"/>
  <c r="M37" i="6"/>
  <c r="M51" i="6"/>
  <c r="H35" i="6"/>
  <c r="E42" i="6"/>
  <c r="E46" i="6" s="1"/>
  <c r="H55" i="5" s="1"/>
  <c r="K44" i="6"/>
  <c r="K46" i="6" s="1"/>
  <c r="N55" i="5" s="1"/>
  <c r="J49" i="6"/>
  <c r="L52" i="6"/>
  <c r="I35" i="6"/>
  <c r="F42" i="6"/>
  <c r="F46" i="6" s="1"/>
  <c r="I55" i="5" s="1"/>
  <c r="L44" i="6"/>
  <c r="L46" i="6" s="1"/>
  <c r="O55" i="5" s="1"/>
  <c r="G50" i="6"/>
  <c r="M52" i="6"/>
  <c r="D34" i="6"/>
  <c r="D39" i="6" s="1"/>
  <c r="G54" i="5" s="1"/>
  <c r="E34" i="6"/>
  <c r="E39" i="6" s="1"/>
  <c r="H54" i="5" s="1"/>
  <c r="F34" i="6"/>
  <c r="F39" i="6" s="1"/>
  <c r="I54" i="5" s="1"/>
  <c r="D49" i="6"/>
  <c r="D53" i="6" s="1"/>
  <c r="G56" i="5" s="1"/>
  <c r="E49" i="6"/>
  <c r="E53" i="6" s="1"/>
  <c r="H56" i="5" s="1"/>
  <c r="M50" i="6"/>
  <c r="M53" i="6" s="1"/>
  <c r="P56" i="5" s="1"/>
  <c r="L36" i="6"/>
  <c r="J51" i="6"/>
  <c r="M36" i="6"/>
  <c r="G49" i="6"/>
  <c r="K51" i="6"/>
  <c r="J34" i="6"/>
  <c r="H49" i="6"/>
  <c r="H53" i="6" s="1"/>
  <c r="K56" i="5" s="1"/>
  <c r="L51" i="6"/>
  <c r="G35" i="6"/>
  <c r="J44" i="6"/>
  <c r="J46" i="6" s="1"/>
  <c r="M55" i="5" s="1"/>
  <c r="I49" i="6"/>
  <c r="I53" i="6" s="1"/>
  <c r="L56" i="5" s="1"/>
  <c r="M38" i="6"/>
  <c r="G42" i="6"/>
  <c r="G46" i="6" s="1"/>
  <c r="J55" i="5" s="1"/>
  <c r="L26" i="6"/>
  <c r="J26" i="6"/>
  <c r="K26" i="6"/>
  <c r="M26" i="6"/>
  <c r="K27" i="6"/>
  <c r="D26" i="6"/>
  <c r="D31" i="6" s="1"/>
  <c r="M27" i="6"/>
  <c r="J28" i="6"/>
  <c r="H26" i="6"/>
  <c r="H31" i="6" s="1"/>
  <c r="L28" i="6"/>
  <c r="J27" i="6"/>
  <c r="L27" i="6"/>
  <c r="E26" i="6"/>
  <c r="E31" i="6" s="1"/>
  <c r="F26" i="6"/>
  <c r="F31" i="6" s="1"/>
  <c r="G26" i="6"/>
  <c r="G31" i="6" s="1"/>
  <c r="K28" i="6"/>
  <c r="I26" i="6"/>
  <c r="M28" i="6"/>
  <c r="H27" i="6"/>
  <c r="M29" i="6"/>
  <c r="I27" i="6"/>
  <c r="M16" i="6"/>
  <c r="M19" i="6"/>
  <c r="L16" i="6"/>
  <c r="J20" i="6"/>
  <c r="K16" i="6"/>
  <c r="J16" i="6"/>
  <c r="I16" i="6"/>
  <c r="M13" i="6"/>
  <c r="M14" i="6" s="1"/>
  <c r="K17" i="6"/>
  <c r="G18" i="6"/>
  <c r="J17" i="6"/>
  <c r="I19" i="6"/>
  <c r="I17" i="6"/>
  <c r="J19" i="6"/>
  <c r="I13" i="6"/>
  <c r="I14" i="6" s="1"/>
  <c r="J13" i="6"/>
  <c r="J14" i="6" s="1"/>
  <c r="H16" i="6"/>
  <c r="K13" i="6"/>
  <c r="K14" i="6" s="1"/>
  <c r="G16" i="6"/>
  <c r="H17" i="6"/>
  <c r="K19" i="6"/>
  <c r="G17" i="6"/>
  <c r="L19" i="6"/>
  <c r="H18" i="6"/>
  <c r="K20" i="6"/>
  <c r="F16" i="6"/>
  <c r="D13" i="6"/>
  <c r="D14" i="6" s="1"/>
  <c r="D56" i="6" s="1"/>
  <c r="I18" i="6"/>
  <c r="L20" i="6"/>
  <c r="E16" i="6"/>
  <c r="E23" i="6" s="1"/>
  <c r="E13" i="6"/>
  <c r="E14" i="6" s="1"/>
  <c r="J18" i="6"/>
  <c r="M20" i="6"/>
  <c r="F17" i="6"/>
  <c r="F13" i="6"/>
  <c r="F14" i="6" s="1"/>
  <c r="K18" i="6"/>
  <c r="L21" i="6"/>
  <c r="M17" i="6"/>
  <c r="G13" i="6"/>
  <c r="G14" i="6" s="1"/>
  <c r="L18" i="6"/>
  <c r="M21" i="6"/>
  <c r="D16" i="6"/>
  <c r="D23" i="6" s="1"/>
  <c r="L17" i="6"/>
  <c r="H13" i="6"/>
  <c r="H14" i="6" s="1"/>
  <c r="M18" i="6"/>
  <c r="G18" i="5"/>
  <c r="G31" i="5"/>
  <c r="G38" i="5" s="1"/>
  <c r="I87" i="4"/>
  <c r="J80" i="4"/>
  <c r="I77" i="4"/>
  <c r="J72" i="4"/>
  <c r="I69" i="4"/>
  <c r="J67" i="4"/>
  <c r="I62" i="4"/>
  <c r="I55" i="4"/>
  <c r="J48" i="4"/>
  <c r="J33" i="4"/>
  <c r="I38" i="4"/>
  <c r="J23" i="4"/>
  <c r="I30" i="4"/>
  <c r="I45" i="4"/>
  <c r="J41" i="4"/>
  <c r="K27" i="4"/>
  <c r="R52" i="3"/>
  <c r="L53" i="6" l="1"/>
  <c r="O56" i="5" s="1"/>
  <c r="I58" i="5"/>
  <c r="I59" i="5" s="1"/>
  <c r="H58" i="5"/>
  <c r="H59" i="5" s="1"/>
  <c r="G58" i="5"/>
  <c r="G59" i="5" s="1"/>
  <c r="G53" i="6"/>
  <c r="J56" i="5" s="1"/>
  <c r="M39" i="6"/>
  <c r="P54" i="5" s="1"/>
  <c r="P58" i="5" s="1"/>
  <c r="P59" i="5" s="1"/>
  <c r="L39" i="6"/>
  <c r="O54" i="5" s="1"/>
  <c r="O58" i="5" s="1"/>
  <c r="O59" i="5" s="1"/>
  <c r="G39" i="6"/>
  <c r="J54" i="5" s="1"/>
  <c r="J58" i="5" s="1"/>
  <c r="J59" i="5" s="1"/>
  <c r="J39" i="6"/>
  <c r="M54" i="5" s="1"/>
  <c r="M58" i="5" s="1"/>
  <c r="M59" i="5" s="1"/>
  <c r="K39" i="6"/>
  <c r="N54" i="5" s="1"/>
  <c r="N58" i="5" s="1"/>
  <c r="N59" i="5" s="1"/>
  <c r="H56" i="6"/>
  <c r="E56" i="6"/>
  <c r="I39" i="6"/>
  <c r="L54" i="5" s="1"/>
  <c r="L58" i="5" s="1"/>
  <c r="L59" i="5" s="1"/>
  <c r="L31" i="6"/>
  <c r="J53" i="6"/>
  <c r="M56" i="5" s="1"/>
  <c r="H39" i="6"/>
  <c r="K54" i="5" s="1"/>
  <c r="K58" i="5" s="1"/>
  <c r="K59" i="5" s="1"/>
  <c r="J31" i="6"/>
  <c r="M31" i="6"/>
  <c r="K31" i="6"/>
  <c r="I31" i="6"/>
  <c r="M23" i="6"/>
  <c r="M56" i="6" s="1"/>
  <c r="I23" i="6"/>
  <c r="I56" i="6" s="1"/>
  <c r="G23" i="6"/>
  <c r="L23" i="6"/>
  <c r="J23" i="6"/>
  <c r="H23" i="6"/>
  <c r="K23" i="6"/>
  <c r="F23" i="6"/>
  <c r="F56" i="6" s="1"/>
  <c r="K80" i="4"/>
  <c r="J87" i="4"/>
  <c r="K67" i="4"/>
  <c r="J69" i="4"/>
  <c r="K72" i="4"/>
  <c r="J77" i="4"/>
  <c r="J62" i="4"/>
  <c r="K23" i="4"/>
  <c r="J30" i="4"/>
  <c r="K48" i="4"/>
  <c r="J55" i="4"/>
  <c r="J38" i="4"/>
  <c r="K33" i="4"/>
  <c r="K41" i="4"/>
  <c r="J45" i="4"/>
  <c r="L27" i="4"/>
  <c r="J56" i="6" l="1"/>
  <c r="K56" i="6"/>
  <c r="L56" i="6"/>
  <c r="G56" i="6"/>
  <c r="L67" i="4"/>
  <c r="M67" i="4" s="1"/>
  <c r="N67" i="4" s="1"/>
  <c r="O67" i="4" s="1"/>
  <c r="P67" i="4" s="1"/>
  <c r="Q67" i="4" s="1"/>
  <c r="R67" i="4" s="1"/>
  <c r="K69" i="4"/>
  <c r="L80" i="4"/>
  <c r="K87" i="4"/>
  <c r="L23" i="4"/>
  <c r="K30" i="4"/>
  <c r="L72" i="4"/>
  <c r="K77" i="4"/>
  <c r="L69" i="4"/>
  <c r="K62" i="4"/>
  <c r="L48" i="4"/>
  <c r="K55" i="4"/>
  <c r="K38" i="4"/>
  <c r="L33" i="4"/>
  <c r="L41" i="4"/>
  <c r="K45" i="4"/>
  <c r="M27" i="4"/>
  <c r="M23" i="4" l="1"/>
  <c r="N23" i="4" s="1"/>
  <c r="O23" i="4" s="1"/>
  <c r="P23" i="4" s="1"/>
  <c r="Q23" i="4" s="1"/>
  <c r="R23" i="4" s="1"/>
  <c r="L30" i="4"/>
  <c r="M80" i="4"/>
  <c r="L87" i="4"/>
  <c r="M72" i="4"/>
  <c r="L77" i="4"/>
  <c r="M69" i="4"/>
  <c r="L62" i="4"/>
  <c r="M48" i="4"/>
  <c r="L55" i="4"/>
  <c r="L38" i="4"/>
  <c r="M33" i="4"/>
  <c r="M41" i="4"/>
  <c r="L45" i="4"/>
  <c r="M30" i="4"/>
  <c r="N27" i="4"/>
  <c r="N80" i="4" l="1"/>
  <c r="M87" i="4"/>
  <c r="N72" i="4"/>
  <c r="M77" i="4"/>
  <c r="N69" i="4"/>
  <c r="M62" i="4"/>
  <c r="N48" i="4"/>
  <c r="M55" i="4"/>
  <c r="M38" i="4"/>
  <c r="N33" i="4"/>
  <c r="N41" i="4"/>
  <c r="M45" i="4"/>
  <c r="N30" i="4"/>
  <c r="O27" i="4"/>
  <c r="O80" i="4" l="1"/>
  <c r="N87" i="4"/>
  <c r="O72" i="4"/>
  <c r="N77" i="4"/>
  <c r="O69" i="4"/>
  <c r="N62" i="4"/>
  <c r="O48" i="4"/>
  <c r="N55" i="4"/>
  <c r="N38" i="4"/>
  <c r="O33" i="4"/>
  <c r="O41" i="4"/>
  <c r="N45" i="4"/>
  <c r="O30" i="4"/>
  <c r="P27" i="4"/>
  <c r="P80" i="4" l="1"/>
  <c r="O87" i="4"/>
  <c r="P72" i="4"/>
  <c r="O77" i="4"/>
  <c r="P69" i="4"/>
  <c r="O62" i="4"/>
  <c r="P48" i="4"/>
  <c r="O55" i="4"/>
  <c r="O38" i="4"/>
  <c r="P33" i="4"/>
  <c r="P41" i="4"/>
  <c r="O45" i="4"/>
  <c r="P30" i="4"/>
  <c r="Q27" i="4"/>
  <c r="Q80" i="4" l="1"/>
  <c r="P87" i="4"/>
  <c r="Q72" i="4"/>
  <c r="P77" i="4"/>
  <c r="R69" i="4"/>
  <c r="Q69" i="4"/>
  <c r="P62" i="4"/>
  <c r="Q48" i="4"/>
  <c r="P55" i="4"/>
  <c r="P38" i="4"/>
  <c r="Q33" i="4"/>
  <c r="Q41" i="4"/>
  <c r="P45" i="4"/>
  <c r="Q30" i="4"/>
  <c r="R27" i="4"/>
  <c r="R30" i="4" s="1"/>
  <c r="R80" i="4" l="1"/>
  <c r="R87" i="4" s="1"/>
  <c r="Q87" i="4"/>
  <c r="R72" i="4"/>
  <c r="R77" i="4" s="1"/>
  <c r="Q77" i="4"/>
  <c r="R62" i="4"/>
  <c r="Q62" i="4"/>
  <c r="R48" i="4"/>
  <c r="R55" i="4" s="1"/>
  <c r="Q55" i="4"/>
  <c r="Q38" i="4"/>
  <c r="R33" i="4"/>
  <c r="R38" i="4" s="1"/>
  <c r="R41" i="4"/>
  <c r="R45" i="4" s="1"/>
  <c r="Q45" i="4"/>
  <c r="F42" i="7" l="1" a="1"/>
  <c r="F4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<sst xmlns="http://schemas.openxmlformats.org/spreadsheetml/2006/main" count="717" uniqueCount="348">
  <si>
    <t>Business Name</t>
  </si>
  <si>
    <t>x</t>
  </si>
  <si>
    <t>Business Sector</t>
  </si>
  <si>
    <t>Address/City</t>
  </si>
  <si>
    <t>Country</t>
  </si>
  <si>
    <t>Business General Info</t>
  </si>
  <si>
    <t>Reporting Metrics</t>
  </si>
  <si>
    <t>Reporting Starting Year</t>
  </si>
  <si>
    <t>Reposrting Starting Dare</t>
  </si>
  <si>
    <t>Analysis Periods</t>
  </si>
  <si>
    <t>Reporting Currency</t>
  </si>
  <si>
    <t>10 Years</t>
  </si>
  <si>
    <t>USD</t>
  </si>
  <si>
    <t>Uses &amp; Sources of Cash</t>
  </si>
  <si>
    <t>Development Costs</t>
  </si>
  <si>
    <t>Uses of Cash (Initial Investments)</t>
  </si>
  <si>
    <t>Startup Expenses</t>
  </si>
  <si>
    <t>Working Capital</t>
  </si>
  <si>
    <t>Total Uses</t>
  </si>
  <si>
    <t>Sourches of Cash</t>
  </si>
  <si>
    <t>Equity</t>
  </si>
  <si>
    <t>CHIPS Grant</t>
  </si>
  <si>
    <t>Debt</t>
  </si>
  <si>
    <t>Total Sources</t>
  </si>
  <si>
    <t>Debt Financing</t>
  </si>
  <si>
    <t>Loan 1</t>
  </si>
  <si>
    <t>Assumptions</t>
  </si>
  <si>
    <t>Loan to Development Costs</t>
  </si>
  <si>
    <t>Annual Interest Rate</t>
  </si>
  <si>
    <t>Loan Term</t>
  </si>
  <si>
    <t>Interest Only Years</t>
  </si>
  <si>
    <t>%</t>
  </si>
  <si>
    <t>years</t>
  </si>
  <si>
    <t>Loan Amount</t>
  </si>
  <si>
    <t>Annual Payment</t>
  </si>
  <si>
    <t>$</t>
  </si>
  <si>
    <t>Loan 2</t>
  </si>
  <si>
    <t>Factory Operating Assumptions</t>
  </si>
  <si>
    <t>Operating Days</t>
  </si>
  <si>
    <t>Weekly Operating Days</t>
  </si>
  <si>
    <t>days / week</t>
  </si>
  <si>
    <t># of days</t>
  </si>
  <si>
    <t>Annual Holdings</t>
  </si>
  <si>
    <t>Annual Operating Days</t>
  </si>
  <si>
    <t>Divisions &amp; Production Maximum Capacity</t>
  </si>
  <si>
    <t>Memory Chips</t>
  </si>
  <si>
    <t>Microprocessors</t>
  </si>
  <si>
    <t>Standard Chips</t>
  </si>
  <si>
    <t>Systems-on-a-Chip (SoCs)</t>
  </si>
  <si>
    <t>units / day</t>
  </si>
  <si>
    <t>Revenue Assumotions</t>
  </si>
  <si>
    <t>Avg.Sale Prices</t>
  </si>
  <si>
    <t>Standard Chips (CICs)</t>
  </si>
  <si>
    <t>$ / unit</t>
  </si>
  <si>
    <t>Cost of Sales</t>
  </si>
  <si>
    <t>Raw Materials</t>
  </si>
  <si>
    <t>Silicon Wafers</t>
  </si>
  <si>
    <t>Metals</t>
  </si>
  <si>
    <t>Chemicals</t>
  </si>
  <si>
    <t>Other</t>
  </si>
  <si>
    <t>$ / year</t>
  </si>
  <si>
    <t>Electricity Cost</t>
  </si>
  <si>
    <t>power Requirement</t>
  </si>
  <si>
    <t>Power Price</t>
  </si>
  <si>
    <t>Utilities</t>
  </si>
  <si>
    <t>MWH / Year</t>
  </si>
  <si>
    <t>$ / MWH</t>
  </si>
  <si>
    <t>Grant to Development Cost</t>
  </si>
  <si>
    <t>% of Dev. Costs</t>
  </si>
  <si>
    <t>CHIPS Financing Contribution</t>
  </si>
  <si>
    <t>Fuel Cost</t>
  </si>
  <si>
    <t>Fuel Requirement</t>
  </si>
  <si>
    <t>Fuel Price</t>
  </si>
  <si>
    <t>MMBTU / Year</t>
  </si>
  <si>
    <t>$ / MMBTU</t>
  </si>
  <si>
    <t>Water Cost</t>
  </si>
  <si>
    <t>Water Requirement</t>
  </si>
  <si>
    <t>Water Price</t>
  </si>
  <si>
    <t>000 gallons / year</t>
  </si>
  <si>
    <t>$ / '000 gallons</t>
  </si>
  <si>
    <t>Logistics</t>
  </si>
  <si>
    <t>Packaging</t>
  </si>
  <si>
    <t>Shipping</t>
  </si>
  <si>
    <t>$ of revenue</t>
  </si>
  <si>
    <t>Taxes Assumption</t>
  </si>
  <si>
    <t>Taxes</t>
  </si>
  <si>
    <t>Income Tax Rate</t>
  </si>
  <si>
    <t>payroll Taxes &amp; Benefits</t>
  </si>
  <si>
    <t>Tax Incentives</t>
  </si>
  <si>
    <t>Investment Tax Credit (ITC)</t>
  </si>
  <si>
    <t>Production Tax Credit (PTC)</t>
  </si>
  <si>
    <t>Tax Credits</t>
  </si>
  <si>
    <t>% of Production</t>
  </si>
  <si>
    <t>Startup CapEx</t>
  </si>
  <si>
    <t>Select Development or Acquisition</t>
  </si>
  <si>
    <t>select</t>
  </si>
  <si>
    <t>Acquisition</t>
  </si>
  <si>
    <t>Development</t>
  </si>
  <si>
    <t>Factory Investment method</t>
  </si>
  <si>
    <t>Initial capital Expenditures</t>
  </si>
  <si>
    <t>Land Costs</t>
  </si>
  <si>
    <t>Buildings</t>
  </si>
  <si>
    <t>Plant &amp; Machinery</t>
  </si>
  <si>
    <t>Factory Equipment</t>
  </si>
  <si>
    <t>Furniture &amp; Fitings</t>
  </si>
  <si>
    <t>Computers &amp; IT Equipment</t>
  </si>
  <si>
    <t>Total Startup CapEx</t>
  </si>
  <si>
    <t>select &gt;</t>
  </si>
  <si>
    <t>land lease Fees</t>
  </si>
  <si>
    <t>Website Development</t>
  </si>
  <si>
    <t>Hydrogeological Investigations</t>
  </si>
  <si>
    <t>Lithographical Research and producrement</t>
  </si>
  <si>
    <t>Licenses &amp; permits</t>
  </si>
  <si>
    <t xml:space="preserve">Other </t>
  </si>
  <si>
    <t>Total Startup OpEx</t>
  </si>
  <si>
    <t>Valuation Metrics</t>
  </si>
  <si>
    <t>WACC Calculation</t>
  </si>
  <si>
    <t>Debt to Capital</t>
  </si>
  <si>
    <t>Equity to Capital</t>
  </si>
  <si>
    <t>Risk Free Rate</t>
  </si>
  <si>
    <t>Equity Risk Premium</t>
  </si>
  <si>
    <t>Beta</t>
  </si>
  <si>
    <t>#</t>
  </si>
  <si>
    <t>Cost of Equity</t>
  </si>
  <si>
    <t>Cost of Debt</t>
  </si>
  <si>
    <t>Tax Rate</t>
  </si>
  <si>
    <t>After Tax Cost of Debt</t>
  </si>
  <si>
    <t>WACC (Discount Rate)</t>
  </si>
  <si>
    <t>Terminal value Assumptions</t>
  </si>
  <si>
    <t>EV/EBITDA (exit Multiple)</t>
  </si>
  <si>
    <t>Equity Investors</t>
  </si>
  <si>
    <t>Equity Contributors</t>
  </si>
  <si>
    <t>Limited partners</t>
  </si>
  <si>
    <t>General Partners</t>
  </si>
  <si>
    <t xml:space="preserve">Limited Partners </t>
  </si>
  <si>
    <t xml:space="preserve">$ </t>
  </si>
  <si>
    <t>Accounts Receivable</t>
  </si>
  <si>
    <t>Inventory</t>
  </si>
  <si>
    <t>Accounts Payable</t>
  </si>
  <si>
    <t>Days</t>
  </si>
  <si>
    <t>Cinema Development / Acquisition Assumptions</t>
  </si>
  <si>
    <t>Development Assumptions</t>
  </si>
  <si>
    <t>Land Assumptions</t>
  </si>
  <si>
    <t>Land Acquisitions Assumptions</t>
  </si>
  <si>
    <t>Land Area</t>
  </si>
  <si>
    <t>Prince</t>
  </si>
  <si>
    <t>Land Purchase price</t>
  </si>
  <si>
    <t>Land Ownership Status</t>
  </si>
  <si>
    <t>Acres</t>
  </si>
  <si>
    <t>USD / Acre</t>
  </si>
  <si>
    <t>Acquisition Costs</t>
  </si>
  <si>
    <t>% of asking Price</t>
  </si>
  <si>
    <t>Total Land Acquisition Costs</t>
  </si>
  <si>
    <t>Lease Assumptions</t>
  </si>
  <si>
    <t>Starting Land Lease</t>
  </si>
  <si>
    <t>Admin &amp; Legal Fees</t>
  </si>
  <si>
    <t>Broker / Finder Fee</t>
  </si>
  <si>
    <t>Other Fees</t>
  </si>
  <si>
    <t>Total Admin &amp; Legal Fees</t>
  </si>
  <si>
    <t>% of lease</t>
  </si>
  <si>
    <t>USD / year</t>
  </si>
  <si>
    <t>Development Summary</t>
  </si>
  <si>
    <t>Initial capital Expenditure</t>
  </si>
  <si>
    <t>Furniture &amp; Fittings</t>
  </si>
  <si>
    <t>Computer &amp; IT Equipment</t>
  </si>
  <si>
    <t>Total Development Costs</t>
  </si>
  <si>
    <t>Acquisition Assumptions</t>
  </si>
  <si>
    <t>Building Acquisition Assumptions</t>
  </si>
  <si>
    <t>Purchase Price</t>
  </si>
  <si>
    <t>Total Building Acquisition Costs</t>
  </si>
  <si>
    <t>Acquisition Summary</t>
  </si>
  <si>
    <t>Initial Capital Expenditures</t>
  </si>
  <si>
    <t>Amount</t>
  </si>
  <si>
    <t>Building Improvements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</si>
  <si>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</si>
  <si>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</si>
  <si>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</si>
  <si>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</si>
  <si>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</si>
  <si>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</si>
  <si>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</si>
  <si>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</si>
  <si>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</si>
  <si>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</si>
  <si>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Production Unit</t>
  </si>
  <si>
    <t>Position</t>
  </si>
  <si>
    <t>Starting Salary</t>
  </si>
  <si>
    <t>($ / FTE)</t>
  </si>
  <si>
    <t>Production Manager</t>
  </si>
  <si>
    <t>Production Supervisor</t>
  </si>
  <si>
    <t>Testing Engineers</t>
  </si>
  <si>
    <t>Electronics Engineer</t>
  </si>
  <si>
    <t>Safety Staff</t>
  </si>
  <si>
    <t>Sorting and Packaging</t>
  </si>
  <si>
    <t>R&amp;D head</t>
  </si>
  <si>
    <t>R&amp;D Scientist</t>
  </si>
  <si>
    <t>Quality Control</t>
  </si>
  <si>
    <t>(Add Position)</t>
  </si>
  <si>
    <t>FTE's Hired (#)</t>
  </si>
  <si>
    <t>Calculation</t>
  </si>
  <si>
    <t>Salaries</t>
  </si>
  <si>
    <t>Total Salaries</t>
  </si>
  <si>
    <t>Total Headcount</t>
  </si>
  <si>
    <t>Total payroll Cost</t>
  </si>
  <si>
    <t>Tax &amp; Benefits</t>
  </si>
  <si>
    <t>Total Offices Payroll</t>
  </si>
  <si>
    <t>Payroll</t>
  </si>
  <si>
    <t>Indirect Payroll (offices)</t>
  </si>
  <si>
    <t>General manager</t>
  </si>
  <si>
    <t>CFO</t>
  </si>
  <si>
    <t>Accounting Assistants</t>
  </si>
  <si>
    <t>Sales Director</t>
  </si>
  <si>
    <t>Sales Assistants</t>
  </si>
  <si>
    <t>Marketing Specialist</t>
  </si>
  <si>
    <t>HR Director</t>
  </si>
  <si>
    <t>HR Assistants</t>
  </si>
  <si>
    <t>Sales Supervisor</t>
  </si>
  <si>
    <t>Admin Assistants</t>
  </si>
  <si>
    <t>Operating Expenses</t>
  </si>
  <si>
    <t>Year Beginning</t>
  </si>
  <si>
    <t>Year Ending</t>
  </si>
  <si>
    <t>year period</t>
  </si>
  <si>
    <t>Days in Year</t>
  </si>
  <si>
    <t>Accounting Treatment</t>
  </si>
  <si>
    <t>OpEx</t>
  </si>
  <si>
    <t>Total Operating Expenses</t>
  </si>
  <si>
    <t>R&amp;D</t>
  </si>
  <si>
    <t>Software</t>
  </si>
  <si>
    <t>IP Qualification</t>
  </si>
  <si>
    <t>Design</t>
  </si>
  <si>
    <t>Verification</t>
  </si>
  <si>
    <t>Studies and Consulting</t>
  </si>
  <si>
    <t>(Add item)</t>
  </si>
  <si>
    <t>Annual Expenses</t>
  </si>
  <si>
    <t>Cost Inflation</t>
  </si>
  <si>
    <t>Starting year</t>
  </si>
  <si>
    <t>Total R&amp;D</t>
  </si>
  <si>
    <t>Marketing</t>
  </si>
  <si>
    <t>marketing (Digital)</t>
  </si>
  <si>
    <t>Promotional Expenses</t>
  </si>
  <si>
    <t>other expenses</t>
  </si>
  <si>
    <t>Total Marketing</t>
  </si>
  <si>
    <t>Offices Building Expenses</t>
  </si>
  <si>
    <t>Utilities (Electrical, Heating, Water)</t>
  </si>
  <si>
    <t>Phone/ Internet/ TV</t>
  </si>
  <si>
    <t>I.T.</t>
  </si>
  <si>
    <t>Website</t>
  </si>
  <si>
    <t>CRM Software</t>
  </si>
  <si>
    <t>Accounting Software</t>
  </si>
  <si>
    <t>HR Software</t>
  </si>
  <si>
    <t>Other IT Expenses</t>
  </si>
  <si>
    <t>Repairs &amp; Maintenance</t>
  </si>
  <si>
    <t>Facilities</t>
  </si>
  <si>
    <t>Office Building</t>
  </si>
  <si>
    <t>Total Offices Building Expenses</t>
  </si>
  <si>
    <t>Total I.T.</t>
  </si>
  <si>
    <t>Total Repairs &amp; Maintenance</t>
  </si>
  <si>
    <t>Supplies</t>
  </si>
  <si>
    <t>Insurance</t>
  </si>
  <si>
    <t>Facilities Insurance</t>
  </si>
  <si>
    <t>General insurance</t>
  </si>
  <si>
    <t>Total Supplies</t>
  </si>
  <si>
    <t>Total Insurance</t>
  </si>
  <si>
    <t>Directors &amp; Officers Liability</t>
  </si>
  <si>
    <t>Miscellaneous</t>
  </si>
  <si>
    <t>Leases (land)</t>
  </si>
  <si>
    <t>Licenses</t>
  </si>
  <si>
    <t>Legal</t>
  </si>
  <si>
    <t>Professional Services</t>
  </si>
  <si>
    <t>Other Expenses</t>
  </si>
  <si>
    <t>Total Miscellaneous</t>
  </si>
  <si>
    <t>payments &amp; processing Fees</t>
  </si>
  <si>
    <t>% of Revenue</t>
  </si>
  <si>
    <t>Total OpEx</t>
  </si>
  <si>
    <t>&lt; will flow from Income statement</t>
  </si>
  <si>
    <t>CapEx</t>
  </si>
  <si>
    <t>Property, Plant &amp; Equipment</t>
  </si>
  <si>
    <t>PP&amp;E Opening</t>
  </si>
  <si>
    <t>Pplant &amp; Machinery</t>
  </si>
  <si>
    <t>Computers &amp; IT Equipments</t>
  </si>
  <si>
    <t>Total PP&amp;E Opening</t>
  </si>
  <si>
    <t>Additions</t>
  </si>
  <si>
    <t>Total CapEx Additions</t>
  </si>
  <si>
    <t xml:space="preserve">Total PP&amp;E </t>
  </si>
  <si>
    <t>Total PP&amp;E</t>
  </si>
  <si>
    <t>Depreciation</t>
  </si>
  <si>
    <t>Depreciation Years</t>
  </si>
  <si>
    <t xml:space="preserve">Depreciation </t>
  </si>
  <si>
    <t>Purchase Schedule</t>
  </si>
  <si>
    <t>Land</t>
  </si>
  <si>
    <t>Useful Life</t>
  </si>
  <si>
    <t>Building:</t>
  </si>
  <si>
    <t>Total - Building Deprecitation</t>
  </si>
  <si>
    <t>Total - Plant &amp; Machinery</t>
  </si>
  <si>
    <t>Total - Land</t>
  </si>
  <si>
    <t>Total - Factory Equipment</t>
  </si>
  <si>
    <t>Total - Computers &amp; IT Equipment</t>
  </si>
  <si>
    <t>Total - Furniture &amp; Fittings</t>
  </si>
  <si>
    <t>Total Depreciation</t>
  </si>
  <si>
    <t>Monthly Depreciation</t>
  </si>
  <si>
    <t>Scenarios</t>
  </si>
  <si>
    <t>Forecast Assumptions</t>
  </si>
  <si>
    <t>Capacity Utilisation</t>
  </si>
  <si>
    <t>Base Case</t>
  </si>
  <si>
    <t>Upside Case</t>
  </si>
  <si>
    <t>Down Side Case</t>
  </si>
  <si>
    <t>Select Scenario</t>
  </si>
  <si>
    <t>Live Scenario</t>
  </si>
  <si>
    <t>Microprocessor</t>
  </si>
  <si>
    <t>Systems-on-a-chips(SoCs)</t>
  </si>
  <si>
    <t>Standard Chips (CiCs)</t>
  </si>
  <si>
    <t>Revenue</t>
  </si>
  <si>
    <t>New Product Sales</t>
  </si>
  <si>
    <t>Inventory Stock Sales</t>
  </si>
  <si>
    <t>% of Inventory Balance</t>
  </si>
  <si>
    <t>Sale Prices Annual Increase/(Decrease)</t>
  </si>
  <si>
    <t>% Increase</t>
  </si>
  <si>
    <t>Direct Costs</t>
  </si>
  <si>
    <t>Fuels &amp; utilities</t>
  </si>
  <si>
    <t>G&amp;A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</si>
  <si>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</si>
  <si>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</si>
  <si>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</si>
  <si>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</si>
  <si>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</si>
  <si>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</si>
  <si>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</si>
  <si>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</si>
  <si>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</si>
  <si>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</si>
  <si>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</si>
  <si>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</si>
  <si>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</si>
  <si>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BOM</t>
  </si>
  <si>
    <t>EOM</t>
  </si>
  <si>
    <t>Days in Month</t>
  </si>
  <si>
    <t>Total Year</t>
  </si>
  <si>
    <t>Income Statement</t>
  </si>
  <si>
    <t>COGS</t>
  </si>
  <si>
    <t>Direct Payroll</t>
  </si>
  <si>
    <t>Indirect Payroll</t>
  </si>
  <si>
    <t>Payments &amp; Processing Fees</t>
  </si>
  <si>
    <t>Capital Expenditures</t>
  </si>
  <si>
    <t>Other Budget Items</t>
  </si>
  <si>
    <t>Debt Issued</t>
  </si>
  <si>
    <t>interest</t>
  </si>
  <si>
    <t>Principal</t>
  </si>
  <si>
    <t>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</si>
</sst>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d\-mmm\-yy;@"/>
    <numFmt numFmtId="165" formatCode="_(* #,##0_);_(* \(#,##0\);_(* &quot;-&quot;??_);_(@_)"/>
    <numFmt numFmtId="166" formatCode="0.0%"/>
    <numFmt numFmtId="167" formatCode="0.00\x"/>
    <numFmt numFmtId="168" formatCode="[$-409]d\-mmm\-yy;@"/>
    <numFmt numFmtId="169" formatCode="&quot;$&quot;#,##0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scheme val="minor"/>
    </font>
    <font>
      <b/>
      <u/>
      <sz val="11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164" fontId="5" fillId="2" borderId="6" xfId="0" applyNumberFormat="1" applyFont="1" applyFill="1" applyBorder="1" applyAlignment="1">
      <alignment horizontal="center"/>
    </xf>
    <xf numFmtId="0" fontId="0" fillId="0" borderId="7" xfId="0" applyBorder="1"/>
    <xf numFmtId="0" fontId="5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165" fontId="0" fillId="0" borderId="6" xfId="1" applyNumberFormat="1" applyFont="1" applyBorder="1" applyAlignment="1">
      <alignment horizontal="center"/>
    </xf>
    <xf numFmtId="165" fontId="5" fillId="0" borderId="6" xfId="1" applyNumberFormat="1" applyFont="1" applyBorder="1" applyAlignment="1">
      <alignment horizontal="center"/>
    </xf>
    <xf numFmtId="165" fontId="5" fillId="2" borderId="6" xfId="1" applyNumberFormat="1" applyFont="1" applyFill="1" applyBorder="1" applyAlignment="1">
      <alignment horizontal="center"/>
    </xf>
    <xf numFmtId="0" fontId="3" fillId="0" borderId="3" xfId="0" applyFont="1" applyBorder="1"/>
    <xf numFmtId="165" fontId="3" fillId="0" borderId="4" xfId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5" xfId="0" applyFont="1" applyBorder="1"/>
    <xf numFmtId="165" fontId="3" fillId="0" borderId="11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0" xfId="0" applyFont="1" applyAlignment="1">
      <alignment horizontal="center"/>
    </xf>
    <xf numFmtId="9" fontId="5" fillId="2" borderId="6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5" fillId="2" borderId="0" xfId="0" applyFont="1" applyFill="1"/>
    <xf numFmtId="0" fontId="0" fillId="0" borderId="0" xfId="0" applyAlignment="1">
      <alignment horizontal="right"/>
    </xf>
    <xf numFmtId="0" fontId="5" fillId="2" borderId="0" xfId="0" applyFont="1" applyFill="1" applyAlignment="1">
      <alignment horizontal="right"/>
    </xf>
    <xf numFmtId="43" fontId="5" fillId="2" borderId="6" xfId="1" applyFont="1" applyFill="1" applyBorder="1" applyAlignment="1">
      <alignment horizontal="right"/>
    </xf>
    <xf numFmtId="165" fontId="0" fillId="0" borderId="6" xfId="1" applyNumberFormat="1" applyFont="1" applyBorder="1" applyAlignment="1">
      <alignment horizontal="right"/>
    </xf>
    <xf numFmtId="165" fontId="5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0" fillId="0" borderId="0" xfId="1" applyNumberFormat="1" applyFont="1" applyAlignment="1">
      <alignment horizontal="right"/>
    </xf>
    <xf numFmtId="165" fontId="5" fillId="2" borderId="0" xfId="1" applyNumberFormat="1" applyFont="1" applyFill="1" applyAlignment="1">
      <alignment horizontal="right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5" fillId="2" borderId="8" xfId="1" applyNumberFormat="1" applyFont="1" applyFill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0" fillId="0" borderId="8" xfId="1" applyNumberFormat="1" applyFont="1" applyBorder="1" applyAlignment="1">
      <alignment horizontal="right"/>
    </xf>
    <xf numFmtId="0" fontId="3" fillId="0" borderId="10" xfId="0" applyFont="1" applyBorder="1"/>
    <xf numFmtId="0" fontId="3" fillId="0" borderId="9" xfId="0" applyFont="1" applyBorder="1"/>
    <xf numFmtId="165" fontId="3" fillId="0" borderId="0" xfId="1" applyNumberFormat="1" applyFont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/>
    <xf numFmtId="9" fontId="5" fillId="2" borderId="6" xfId="2" applyFont="1" applyFill="1" applyBorder="1" applyAlignment="1">
      <alignment horizontal="center"/>
    </xf>
    <xf numFmtId="0" fontId="0" fillId="0" borderId="7" xfId="0" applyFill="1" applyBorder="1"/>
    <xf numFmtId="0" fontId="0" fillId="0" borderId="5" xfId="0" applyFill="1" applyBorder="1"/>
    <xf numFmtId="43" fontId="0" fillId="0" borderId="0" xfId="1" applyFont="1"/>
    <xf numFmtId="165" fontId="0" fillId="0" borderId="0" xfId="1" applyNumberFormat="1" applyFont="1"/>
    <xf numFmtId="0" fontId="0" fillId="0" borderId="0" xfId="0" quotePrefix="1" applyBorder="1" applyAlignment="1">
      <alignment horizontal="center"/>
    </xf>
    <xf numFmtId="166" fontId="5" fillId="2" borderId="6" xfId="2" applyNumberFormat="1" applyFont="1" applyFill="1" applyBorder="1" applyAlignment="1">
      <alignment horizontal="right"/>
    </xf>
    <xf numFmtId="166" fontId="5" fillId="2" borderId="8" xfId="2" applyNumberFormat="1" applyFont="1" applyFill="1" applyBorder="1" applyAlignment="1">
      <alignment horizontal="right"/>
    </xf>
    <xf numFmtId="9" fontId="5" fillId="2" borderId="6" xfId="2" applyFont="1" applyFill="1" applyBorder="1" applyAlignment="1">
      <alignment horizontal="right"/>
    </xf>
    <xf numFmtId="9" fontId="0" fillId="0" borderId="6" xfId="2" applyFont="1" applyBorder="1" applyAlignment="1">
      <alignment horizontal="center"/>
    </xf>
    <xf numFmtId="165" fontId="5" fillId="2" borderId="8" xfId="1" applyNumberFormat="1" applyFont="1" applyFill="1" applyBorder="1" applyAlignment="1">
      <alignment horizontal="center"/>
    </xf>
    <xf numFmtId="0" fontId="5" fillId="0" borderId="0" xfId="0" applyFont="1"/>
    <xf numFmtId="0" fontId="0" fillId="0" borderId="4" xfId="0" applyBorder="1"/>
    <xf numFmtId="0" fontId="0" fillId="0" borderId="8" xfId="0" applyBorder="1"/>
    <xf numFmtId="0" fontId="6" fillId="2" borderId="6" xfId="0" applyFont="1" applyFill="1" applyBorder="1"/>
    <xf numFmtId="0" fontId="0" fillId="0" borderId="6" xfId="0" applyBorder="1"/>
    <xf numFmtId="0" fontId="3" fillId="0" borderId="10" xfId="0" applyFont="1" applyFill="1" applyBorder="1"/>
    <xf numFmtId="165" fontId="3" fillId="0" borderId="11" xfId="0" applyNumberFormat="1" applyFont="1" applyBorder="1"/>
    <xf numFmtId="0" fontId="3" fillId="0" borderId="9" xfId="0" applyFont="1" applyBorder="1" applyAlignment="1">
      <alignment horizontal="center"/>
    </xf>
    <xf numFmtId="0" fontId="5" fillId="2" borderId="8" xfId="0" applyFont="1" applyFill="1" applyBorder="1"/>
    <xf numFmtId="0" fontId="5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3" xfId="0" applyFont="1" applyFill="1" applyBorder="1"/>
    <xf numFmtId="0" fontId="3" fillId="0" borderId="1" xfId="0" applyFont="1" applyFill="1" applyBorder="1" applyAlignment="1">
      <alignment horizontal="center"/>
    </xf>
    <xf numFmtId="10" fontId="0" fillId="0" borderId="0" xfId="0" applyNumberFormat="1"/>
    <xf numFmtId="0" fontId="0" fillId="0" borderId="0" xfId="0" applyFill="1"/>
    <xf numFmtId="0" fontId="0" fillId="2" borderId="2" xfId="0" applyFill="1" applyBorder="1"/>
    <xf numFmtId="9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4" xfId="0" applyFont="1" applyBorder="1"/>
    <xf numFmtId="10" fontId="0" fillId="0" borderId="6" xfId="0" applyNumberFormat="1" applyBorder="1"/>
    <xf numFmtId="9" fontId="0" fillId="0" borderId="6" xfId="0" applyNumberFormat="1" applyBorder="1"/>
    <xf numFmtId="0" fontId="3" fillId="0" borderId="4" xfId="0" applyFont="1" applyBorder="1"/>
    <xf numFmtId="167" fontId="6" fillId="2" borderId="8" xfId="0" applyNumberFormat="1" applyFont="1" applyFill="1" applyBorder="1"/>
    <xf numFmtId="9" fontId="5" fillId="2" borderId="0" xfId="0" applyNumberFormat="1" applyFont="1" applyFill="1"/>
    <xf numFmtId="0" fontId="0" fillId="0" borderId="0" xfId="0" applyAlignment="1">
      <alignment horizontal="left" indent="1"/>
    </xf>
    <xf numFmtId="0" fontId="0" fillId="0" borderId="0" xfId="0" applyFont="1"/>
    <xf numFmtId="43" fontId="3" fillId="0" borderId="1" xfId="1" applyFont="1" applyBorder="1"/>
    <xf numFmtId="165" fontId="3" fillId="0" borderId="1" xfId="1" applyNumberFormat="1" applyFont="1" applyBorder="1"/>
    <xf numFmtId="10" fontId="5" fillId="2" borderId="0" xfId="0" applyNumberFormat="1" applyFont="1" applyFill="1"/>
    <xf numFmtId="165" fontId="3" fillId="0" borderId="9" xfId="1" applyNumberFormat="1" applyFont="1" applyBorder="1"/>
    <xf numFmtId="165" fontId="5" fillId="2" borderId="0" xfId="1" applyNumberFormat="1" applyFont="1" applyFill="1"/>
    <xf numFmtId="165" fontId="5" fillId="2" borderId="0" xfId="1" applyNumberFormat="1" applyFont="1" applyFill="1" applyAlignment="1"/>
    <xf numFmtId="0" fontId="3" fillId="2" borderId="0" xfId="0" applyFont="1" applyFill="1"/>
    <xf numFmtId="43" fontId="0" fillId="2" borderId="0" xfId="1" applyFont="1" applyFill="1"/>
    <xf numFmtId="165" fontId="0" fillId="2" borderId="0" xfId="1" applyNumberFormat="1" applyFont="1" applyFill="1"/>
    <xf numFmtId="0" fontId="3" fillId="2" borderId="9" xfId="0" applyFont="1" applyFill="1" applyBorder="1"/>
    <xf numFmtId="165" fontId="3" fillId="2" borderId="9" xfId="1" applyNumberFormat="1" applyFont="1" applyFill="1" applyBorder="1"/>
    <xf numFmtId="165" fontId="0" fillId="0" borderId="0" xfId="0" applyNumberFormat="1"/>
    <xf numFmtId="165" fontId="3" fillId="0" borderId="0" xfId="0" applyNumberFormat="1" applyFont="1"/>
    <xf numFmtId="0" fontId="3" fillId="0" borderId="0" xfId="0" applyFont="1" applyAlignment="1">
      <alignment horizontal="right"/>
    </xf>
    <xf numFmtId="0" fontId="0" fillId="2" borderId="0" xfId="0" applyFill="1" applyAlignment="1">
      <alignment horizontal="left" indent="1"/>
    </xf>
    <xf numFmtId="165" fontId="0" fillId="2" borderId="0" xfId="0" applyNumberFormat="1" applyFill="1"/>
    <xf numFmtId="9" fontId="0" fillId="2" borderId="0" xfId="0" applyNumberFormat="1" applyFill="1"/>
    <xf numFmtId="165" fontId="3" fillId="2" borderId="0" xfId="1" applyNumberFormat="1" applyFont="1" applyFill="1"/>
    <xf numFmtId="0" fontId="3" fillId="2" borderId="0" xfId="0" applyFont="1" applyFill="1" applyAlignment="1">
      <alignment horizontal="right"/>
    </xf>
    <xf numFmtId="0" fontId="0" fillId="2" borderId="9" xfId="0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horizontal="left" indent="1"/>
    </xf>
    <xf numFmtId="0" fontId="0" fillId="0" borderId="0" xfId="0" applyAlignment="1">
      <alignment horizontal="left" indent="2"/>
    </xf>
    <xf numFmtId="0" fontId="3" fillId="0" borderId="9" xfId="0" applyFont="1" applyBorder="1" applyAlignment="1">
      <alignment horizontal="left" indent="1"/>
    </xf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165" fontId="0" fillId="2" borderId="6" xfId="1" applyNumberFormat="1" applyFont="1" applyFill="1" applyBorder="1"/>
    <xf numFmtId="0" fontId="0" fillId="2" borderId="6" xfId="0" applyFill="1" applyBorder="1"/>
    <xf numFmtId="0" fontId="7" fillId="2" borderId="5" xfId="0" applyFont="1" applyFill="1" applyBorder="1"/>
    <xf numFmtId="0" fontId="0" fillId="2" borderId="5" xfId="0" applyFill="1" applyBorder="1" applyAlignment="1">
      <alignment horizontal="left" indent="1"/>
    </xf>
    <xf numFmtId="10" fontId="0" fillId="2" borderId="6" xfId="0" applyNumberFormat="1" applyFill="1" applyBorder="1"/>
    <xf numFmtId="0" fontId="3" fillId="2" borderId="10" xfId="0" applyFont="1" applyFill="1" applyBorder="1"/>
    <xf numFmtId="165" fontId="3" fillId="2" borderId="11" xfId="1" applyNumberFormat="1" applyFont="1" applyFill="1" applyBorder="1"/>
    <xf numFmtId="0" fontId="4" fillId="0" borderId="0" xfId="0" applyFont="1"/>
    <xf numFmtId="165" fontId="0" fillId="0" borderId="6" xfId="1" applyNumberFormat="1" applyFont="1" applyBorder="1"/>
    <xf numFmtId="165" fontId="3" fillId="0" borderId="11" xfId="1" applyNumberFormat="1" applyFont="1" applyBorder="1"/>
    <xf numFmtId="0" fontId="7" fillId="0" borderId="0" xfId="0" applyFont="1" applyAlignment="1">
      <alignment horizontal="left" indent="2"/>
    </xf>
    <xf numFmtId="165" fontId="5" fillId="0" borderId="0" xfId="1" applyNumberFormat="1" applyFont="1" applyFill="1"/>
    <xf numFmtId="0" fontId="7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3" fillId="0" borderId="14" xfId="0" applyFont="1" applyBorder="1"/>
    <xf numFmtId="165" fontId="3" fillId="0" borderId="14" xfId="0" applyNumberFormat="1" applyFont="1" applyBorder="1"/>
    <xf numFmtId="168" fontId="0" fillId="0" borderId="0" xfId="0" applyNumberFormat="1" applyAlignment="1">
      <alignment horizontal="right"/>
    </xf>
    <xf numFmtId="2" fontId="0" fillId="0" borderId="0" xfId="0" applyNumberFormat="1"/>
    <xf numFmtId="0" fontId="6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 indent="1"/>
    </xf>
    <xf numFmtId="0" fontId="4" fillId="6" borderId="0" xfId="0" applyFont="1" applyFill="1"/>
    <xf numFmtId="0" fontId="2" fillId="6" borderId="0" xfId="0" applyFont="1" applyFill="1"/>
    <xf numFmtId="165" fontId="5" fillId="2" borderId="2" xfId="1" applyNumberFormat="1" applyFont="1" applyFill="1" applyBorder="1"/>
    <xf numFmtId="10" fontId="5" fillId="2" borderId="2" xfId="0" applyNumberFormat="1" applyFont="1" applyFill="1" applyBorder="1"/>
    <xf numFmtId="0" fontId="5" fillId="2" borderId="2" xfId="0" applyFont="1" applyFill="1" applyBorder="1"/>
    <xf numFmtId="43" fontId="5" fillId="2" borderId="2" xfId="1" applyFont="1" applyFill="1" applyBorder="1"/>
    <xf numFmtId="0" fontId="5" fillId="2" borderId="13" xfId="0" applyFont="1" applyFill="1" applyBorder="1"/>
    <xf numFmtId="43" fontId="3" fillId="0" borderId="1" xfId="1" applyFont="1" applyBorder="1" applyAlignment="1">
      <alignment horizontal="left" indent="1"/>
    </xf>
    <xf numFmtId="165" fontId="3" fillId="0" borderId="1" xfId="0" applyNumberFormat="1" applyFont="1" applyBorder="1"/>
    <xf numFmtId="165" fontId="5" fillId="2" borderId="13" xfId="1" applyNumberFormat="1" applyFont="1" applyFill="1" applyBorder="1"/>
    <xf numFmtId="165" fontId="0" fillId="0" borderId="9" xfId="1" applyNumberFormat="1" applyFont="1" applyBorder="1"/>
    <xf numFmtId="1" fontId="0" fillId="0" borderId="0" xfId="0" applyNumberFormat="1"/>
    <xf numFmtId="9" fontId="0" fillId="0" borderId="0" xfId="2" applyFont="1"/>
    <xf numFmtId="0" fontId="2" fillId="5" borderId="0" xfId="0" applyFont="1" applyFill="1" applyAlignment="1">
      <alignment horizontal="right"/>
    </xf>
    <xf numFmtId="168" fontId="3" fillId="0" borderId="0" xfId="0" applyNumberFormat="1" applyFont="1" applyAlignment="1">
      <alignment horizontal="right"/>
    </xf>
    <xf numFmtId="165" fontId="0" fillId="0" borderId="0" xfId="1" applyNumberFormat="1" applyFont="1" applyFill="1"/>
    <xf numFmtId="0" fontId="3" fillId="0" borderId="0" xfId="0" applyFont="1" applyFill="1"/>
    <xf numFmtId="0" fontId="2" fillId="4" borderId="0" xfId="0" applyFont="1" applyFill="1" applyAlignment="1">
      <alignment horizontal="left" indent="1"/>
    </xf>
    <xf numFmtId="0" fontId="2" fillId="0" borderId="0" xfId="0" applyFont="1" applyFill="1"/>
    <xf numFmtId="0" fontId="3" fillId="0" borderId="0" xfId="0" applyFont="1" applyFill="1" applyAlignment="1">
      <alignment horizontal="left" indent="1"/>
    </xf>
    <xf numFmtId="0" fontId="0" fillId="0" borderId="2" xfId="0" applyBorder="1"/>
    <xf numFmtId="0" fontId="3" fillId="0" borderId="0" xfId="0" applyFont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center"/>
    </xf>
    <xf numFmtId="0" fontId="2" fillId="5" borderId="0" xfId="0" applyFont="1" applyFill="1" applyAlignment="1">
      <alignment horizontal="right"/>
    </xf>
    <xf numFmtId="169" fontId="0" fillId="0" borderId="0" xfId="0" applyNumberFormat="1" applyBorder="1"/>
    <xf numFmtId="0" fontId="10" fillId="0" borderId="9" xfId="0" applyFont="1" applyFill="1" applyBorder="1"/>
    <xf numFmtId="0" fontId="10" fillId="0" borderId="0" xfId="0" applyFont="1"/>
    <xf numFmtId="0" fontId="10" fillId="0" borderId="2" xfId="0" applyFont="1" applyBorder="1"/>
    <xf numFmtId="0" fontId="0" fillId="0" borderId="1" xfId="0" applyFill="1" applyBorder="1"/>
    <xf numFmtId="165" fontId="9" fillId="0" borderId="9" xfId="1" applyNumberFormat="1" applyFont="1" applyBorder="1"/>
    <xf numFmtId="0" fontId="10" fillId="0" borderId="14" xfId="0" applyFont="1" applyBorder="1"/>
    <xf numFmtId="165" fontId="10" fillId="0" borderId="14" xfId="0" applyNumberFormat="1" applyFont="1" applyBorder="1"/>
    <xf numFmtId="0" fontId="0" fillId="0" borderId="2" xfId="0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/>
    <xf numFmtId="165" fontId="10" fillId="0" borderId="1" xfId="1" applyNumberFormat="1" applyFont="1" applyBorder="1"/>
    <xf numFmtId="0" fontId="10" fillId="0" borderId="1" xfId="0" applyFont="1" applyFill="1" applyBorder="1"/>
    <xf numFmtId="0" fontId="10" fillId="0" borderId="0" xfId="0" applyFont="1" applyBorder="1"/>
    <xf numFmtId="0" fontId="10" fillId="0" borderId="0" xfId="0" applyFont="1" applyFill="1" applyBorder="1"/>
    <xf numFmtId="169" fontId="0" fillId="0" borderId="0" xfId="0" applyNumberFormat="1" applyFill="1" applyBorder="1"/>
    <xf numFmtId="0" fontId="10" fillId="0" borderId="12" xfId="0" applyFont="1" applyBorder="1"/>
    <xf numFmtId="0" fontId="10" fillId="0" borderId="12" xfId="0" applyFont="1" applyBorder="1" applyAlignment="1">
      <alignment horizontal="center"/>
    </xf>
    <xf numFmtId="9" fontId="0" fillId="0" borderId="0" xfId="0" applyNumberFormat="1"/>
    <xf numFmtId="9" fontId="10" fillId="0" borderId="12" xfId="2" applyFont="1" applyBorder="1"/>
    <xf numFmtId="9" fontId="5" fillId="0" borderId="0" xfId="2" applyFont="1"/>
    <xf numFmtId="9" fontId="5" fillId="7" borderId="0" xfId="2" applyFont="1" applyFill="1"/>
    <xf numFmtId="0" fontId="0" fillId="7" borderId="0" xfId="0" applyFill="1"/>
    <xf numFmtId="9" fontId="5" fillId="0" borderId="0" xfId="0" applyNumberFormat="1" applyFont="1"/>
    <xf numFmtId="9" fontId="5" fillId="0" borderId="0" xfId="0" applyNumberFormat="1" applyFont="1" applyAlignment="1">
      <alignment horizontal="center"/>
    </xf>
    <xf numFmtId="9" fontId="5" fillId="0" borderId="0" xfId="2" applyFont="1" applyAlignment="1">
      <alignment horizontal="center"/>
    </xf>
    <xf numFmtId="0" fontId="11" fillId="4" borderId="0" xfId="0" applyFont="1" applyFill="1"/>
    <xf numFmtId="0" fontId="12" fillId="8" borderId="0" xfId="0" applyFont="1" applyFill="1"/>
    <xf numFmtId="0" fontId="11" fillId="8" borderId="0" xfId="0" applyFont="1" applyFill="1"/>
    <xf numFmtId="9" fontId="1" fillId="0" borderId="0" xfId="2" applyFont="1" applyFill="1"/>
    <xf numFmtId="0" fontId="11" fillId="0" borderId="0" xfId="0" applyFont="1" applyFill="1" applyBorder="1"/>
    <xf numFmtId="0" fontId="12" fillId="0" borderId="0" xfId="0" applyFont="1" applyFill="1" applyBorder="1"/>
    <xf numFmtId="168" fontId="0" fillId="0" borderId="0" xfId="0" applyNumberFormat="1" applyFill="1" applyBorder="1"/>
    <xf numFmtId="0" fontId="13" fillId="0" borderId="0" xfId="0" applyFont="1"/>
    <xf numFmtId="0" fontId="0" fillId="0" borderId="15" xfId="0" applyFill="1" applyBorder="1"/>
    <xf numFmtId="168" fontId="3" fillId="0" borderId="15" xfId="0" applyNumberFormat="1" applyFont="1" applyFill="1" applyBorder="1" applyAlignment="1">
      <alignment horizontal="right"/>
    </xf>
    <xf numFmtId="168" fontId="0" fillId="0" borderId="15" xfId="0" applyNumberFormat="1" applyFill="1" applyBorder="1"/>
    <xf numFmtId="0" fontId="3" fillId="0" borderId="15" xfId="0" applyFont="1" applyFill="1" applyBorder="1" applyAlignment="1">
      <alignment horizontal="right"/>
    </xf>
    <xf numFmtId="0" fontId="0" fillId="0" borderId="15" xfId="0" applyBorder="1"/>
    <xf numFmtId="9" fontId="0" fillId="0" borderId="15" xfId="2" applyFont="1" applyBorder="1"/>
    <xf numFmtId="10" fontId="0" fillId="0" borderId="0" xfId="2" applyNumberFormat="1" applyFont="1"/>
    <xf numFmtId="10" fontId="5" fillId="0" borderId="0" xfId="2" applyNumberFormat="1" applyFont="1"/>
    <xf numFmtId="9" fontId="5" fillId="0" borderId="15" xfId="2" applyFont="1" applyBorder="1"/>
    <xf numFmtId="9" fontId="1" fillId="0" borderId="15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3BAF-0EAF-4F72-9471-18BA9606D005}">
  <dimension ref="B2:N56"/>
  <sheetViews>
    <sheetView showGridLines="0" zoomScale="80" zoomScaleNormal="115" workbookViewId="0">
      <selection activeCell="D24" sqref="D24"/>
    </sheetView>
  </sheetViews>
  <sheetFormatPr defaultRowHeight="13.8"/>
  <cols>
    <col min="1" max="1" width="2.8984375" customWidth="1"/>
    <col min="2" max="2" width="30" bestFit="1" customWidth="1"/>
    <col min="3" max="3" width="30" customWidth="1"/>
    <col min="4" max="4" width="19.09765625" style="1" customWidth="1"/>
    <col min="5" max="5" width="2.19921875" customWidth="1"/>
    <col min="6" max="6" width="28.8984375" customWidth="1"/>
    <col min="7" max="7" width="16" style="1" bestFit="1" customWidth="1"/>
    <col min="8" max="8" width="13.296875" style="46" customWidth="1"/>
    <col min="9" max="9" width="2.19921875" customWidth="1"/>
    <col min="10" max="10" width="30.59765625" bestFit="1" customWidth="1"/>
    <col min="11" max="11" width="11.796875" customWidth="1"/>
    <col min="12" max="12" width="18.3984375" bestFit="1" customWidth="1"/>
    <col min="13" max="13" width="12.09765625" hidden="1" customWidth="1"/>
    <col min="14" max="14" width="15.8984375" bestFit="1" customWidth="1"/>
  </cols>
  <sheetData>
    <row r="2" spans="2:13">
      <c r="B2" s="176" t="s">
        <v>5</v>
      </c>
      <c r="C2" s="177"/>
      <c r="D2" s="178"/>
      <c r="F2" s="176" t="s">
        <v>37</v>
      </c>
      <c r="G2" s="177"/>
      <c r="H2" s="178"/>
      <c r="J2" s="21" t="s">
        <v>93</v>
      </c>
      <c r="K2" s="38"/>
      <c r="L2" s="70"/>
    </row>
    <row r="3" spans="2:13">
      <c r="B3" s="9"/>
      <c r="C3" s="16"/>
      <c r="D3" s="8"/>
      <c r="F3" s="9"/>
      <c r="G3" s="15"/>
      <c r="H3" s="43"/>
      <c r="J3" s="34" t="s">
        <v>98</v>
      </c>
      <c r="K3" s="28"/>
      <c r="L3" s="71"/>
      <c r="M3" s="28"/>
    </row>
    <row r="4" spans="2:13">
      <c r="B4" s="9" t="s">
        <v>0</v>
      </c>
      <c r="C4" s="16"/>
      <c r="D4" s="13" t="s">
        <v>1</v>
      </c>
      <c r="F4" s="182" t="s">
        <v>38</v>
      </c>
      <c r="G4" s="183"/>
      <c r="H4" s="184"/>
      <c r="J4" s="9" t="s">
        <v>94</v>
      </c>
      <c r="K4" s="15" t="s">
        <v>107</v>
      </c>
      <c r="L4" s="72" t="s">
        <v>97</v>
      </c>
      <c r="M4" t="s">
        <v>96</v>
      </c>
    </row>
    <row r="5" spans="2:13">
      <c r="B5" s="9" t="s">
        <v>2</v>
      </c>
      <c r="C5" s="16"/>
      <c r="D5" s="8" t="s">
        <v>1</v>
      </c>
      <c r="F5" s="9" t="s">
        <v>39</v>
      </c>
      <c r="G5" s="48" t="s">
        <v>40</v>
      </c>
      <c r="H5" s="44">
        <v>5</v>
      </c>
      <c r="J5" s="9"/>
      <c r="K5" s="16"/>
      <c r="L5" s="73"/>
      <c r="M5" t="s">
        <v>97</v>
      </c>
    </row>
    <row r="6" spans="2:13">
      <c r="B6" s="9"/>
      <c r="C6" s="16"/>
      <c r="D6" s="8"/>
      <c r="F6" s="9" t="s">
        <v>42</v>
      </c>
      <c r="G6" s="15" t="s">
        <v>41</v>
      </c>
      <c r="H6" s="44">
        <v>10</v>
      </c>
      <c r="J6" s="34" t="s">
        <v>99</v>
      </c>
      <c r="K6" s="28"/>
      <c r="L6" s="71"/>
    </row>
    <row r="7" spans="2:13">
      <c r="B7" s="9" t="s">
        <v>3</v>
      </c>
      <c r="C7" s="16"/>
      <c r="D7" s="13" t="s">
        <v>1</v>
      </c>
      <c r="F7" s="21" t="s">
        <v>43</v>
      </c>
      <c r="G7" s="49" t="s">
        <v>41</v>
      </c>
      <c r="H7" s="45">
        <f>(365-H6)-(7-H5)*52</f>
        <v>251</v>
      </c>
      <c r="J7" s="9" t="s">
        <v>100</v>
      </c>
      <c r="K7" s="15" t="s">
        <v>35</v>
      </c>
      <c r="L7" s="134">
        <f>+'Development Assumptions'!D25</f>
        <v>54250000</v>
      </c>
    </row>
    <row r="8" spans="2:13">
      <c r="B8" s="11" t="s">
        <v>4</v>
      </c>
      <c r="C8" s="28"/>
      <c r="D8" s="12" t="s">
        <v>1</v>
      </c>
      <c r="F8" s="9"/>
      <c r="G8" s="15"/>
      <c r="H8" s="43"/>
      <c r="J8" s="9" t="s">
        <v>101</v>
      </c>
      <c r="K8" s="15" t="s">
        <v>35</v>
      </c>
      <c r="L8" s="134">
        <f>+'Development Assumptions'!D26</f>
        <v>3000000000</v>
      </c>
    </row>
    <row r="9" spans="2:13">
      <c r="F9" s="179" t="s">
        <v>44</v>
      </c>
      <c r="G9" s="180"/>
      <c r="H9" s="181"/>
      <c r="J9" s="9" t="s">
        <v>102</v>
      </c>
      <c r="K9" s="15" t="s">
        <v>35</v>
      </c>
      <c r="L9" s="134">
        <f>+'Development Assumptions'!D27</f>
        <v>5000000000</v>
      </c>
    </row>
    <row r="10" spans="2:13">
      <c r="B10" s="176" t="s">
        <v>6</v>
      </c>
      <c r="C10" s="177"/>
      <c r="D10" s="178"/>
      <c r="F10" s="9" t="s">
        <v>45</v>
      </c>
      <c r="G10" s="15" t="s">
        <v>49</v>
      </c>
      <c r="H10" s="44">
        <v>900</v>
      </c>
      <c r="J10" s="9" t="s">
        <v>103</v>
      </c>
      <c r="K10" s="15" t="s">
        <v>35</v>
      </c>
      <c r="L10" s="134">
        <f>+'Development Assumptions'!D28</f>
        <v>2000000000</v>
      </c>
    </row>
    <row r="11" spans="2:13">
      <c r="B11" s="7"/>
      <c r="C11" s="15"/>
      <c r="D11" s="8"/>
      <c r="F11" s="9" t="s">
        <v>46</v>
      </c>
      <c r="G11" s="15" t="s">
        <v>49</v>
      </c>
      <c r="H11" s="44">
        <v>650</v>
      </c>
      <c r="J11" s="9" t="s">
        <v>104</v>
      </c>
      <c r="K11" s="15" t="s">
        <v>35</v>
      </c>
      <c r="L11" s="134">
        <f>+'Development Assumptions'!D29</f>
        <v>500000</v>
      </c>
    </row>
    <row r="12" spans="2:13">
      <c r="B12" s="9" t="s">
        <v>7</v>
      </c>
      <c r="C12" s="16"/>
      <c r="D12" s="8">
        <v>2025</v>
      </c>
      <c r="F12" s="9" t="s">
        <v>47</v>
      </c>
      <c r="G12" s="15" t="s">
        <v>49</v>
      </c>
      <c r="H12" s="44">
        <v>2000</v>
      </c>
      <c r="J12" s="9" t="s">
        <v>105</v>
      </c>
      <c r="K12" s="15" t="s">
        <v>35</v>
      </c>
      <c r="L12" s="134">
        <f>+'Development Assumptions'!D30</f>
        <v>50000000</v>
      </c>
    </row>
    <row r="13" spans="2:13">
      <c r="B13" s="9" t="s">
        <v>8</v>
      </c>
      <c r="C13" s="16"/>
      <c r="D13" s="10">
        <v>45658</v>
      </c>
      <c r="F13" s="11" t="s">
        <v>48</v>
      </c>
      <c r="G13" s="29" t="s">
        <v>49</v>
      </c>
      <c r="H13" s="50">
        <v>300</v>
      </c>
      <c r="J13" s="53" t="s">
        <v>106</v>
      </c>
      <c r="K13" s="76" t="s">
        <v>35</v>
      </c>
      <c r="L13" s="135">
        <f>SUM(L8:L12)</f>
        <v>10050500000</v>
      </c>
    </row>
    <row r="14" spans="2:13">
      <c r="B14" s="9" t="s">
        <v>9</v>
      </c>
      <c r="C14" s="16"/>
      <c r="D14" s="8" t="s">
        <v>11</v>
      </c>
    </row>
    <row r="15" spans="2:13">
      <c r="B15" s="9"/>
      <c r="C15" s="16"/>
      <c r="D15" s="8"/>
      <c r="F15" s="176" t="s">
        <v>50</v>
      </c>
      <c r="G15" s="177"/>
      <c r="H15" s="178"/>
      <c r="J15" s="176" t="s">
        <v>16</v>
      </c>
      <c r="K15" s="177"/>
      <c r="L15" s="178"/>
    </row>
    <row r="16" spans="2:13">
      <c r="B16" s="11" t="s">
        <v>10</v>
      </c>
      <c r="C16" s="28"/>
      <c r="D16" s="12" t="s">
        <v>12</v>
      </c>
      <c r="F16" s="9" t="s">
        <v>51</v>
      </c>
      <c r="G16" s="15"/>
      <c r="H16" s="43"/>
      <c r="J16" s="9" t="s">
        <v>108</v>
      </c>
      <c r="K16" s="15" t="s">
        <v>35</v>
      </c>
      <c r="L16" s="43">
        <v>0</v>
      </c>
    </row>
    <row r="17" spans="2:12">
      <c r="F17" s="9" t="s">
        <v>45</v>
      </c>
      <c r="G17" s="15" t="s">
        <v>53</v>
      </c>
      <c r="H17" s="44">
        <v>6000</v>
      </c>
      <c r="J17" s="9" t="s">
        <v>109</v>
      </c>
      <c r="K17" s="15" t="s">
        <v>35</v>
      </c>
      <c r="L17" s="44">
        <v>20000</v>
      </c>
    </row>
    <row r="18" spans="2:12">
      <c r="B18" s="176" t="s">
        <v>13</v>
      </c>
      <c r="C18" s="177"/>
      <c r="D18" s="178"/>
      <c r="F18" s="9" t="s">
        <v>46</v>
      </c>
      <c r="G18" s="15" t="s">
        <v>53</v>
      </c>
      <c r="H18" s="44">
        <v>12000</v>
      </c>
      <c r="J18" s="9" t="s">
        <v>110</v>
      </c>
      <c r="K18" s="15" t="s">
        <v>35</v>
      </c>
      <c r="L18" s="44">
        <v>2000000</v>
      </c>
    </row>
    <row r="19" spans="2:12">
      <c r="B19" s="7" t="s">
        <v>15</v>
      </c>
      <c r="C19" s="15"/>
      <c r="D19" s="8"/>
      <c r="F19" s="9" t="s">
        <v>52</v>
      </c>
      <c r="G19" s="15" t="s">
        <v>53</v>
      </c>
      <c r="H19" s="44">
        <v>1000</v>
      </c>
      <c r="J19" s="9" t="s">
        <v>111</v>
      </c>
      <c r="K19" s="15" t="s">
        <v>35</v>
      </c>
      <c r="L19" s="44">
        <v>30000000</v>
      </c>
    </row>
    <row r="20" spans="2:12">
      <c r="B20" s="9" t="s">
        <v>14</v>
      </c>
      <c r="C20" s="16"/>
      <c r="D20" s="18">
        <v>10050500000</v>
      </c>
      <c r="F20" s="11" t="s">
        <v>48</v>
      </c>
      <c r="G20" s="29" t="s">
        <v>53</v>
      </c>
      <c r="H20" s="50">
        <v>18000</v>
      </c>
      <c r="J20" s="9" t="s">
        <v>112</v>
      </c>
      <c r="K20" s="15" t="s">
        <v>35</v>
      </c>
      <c r="L20" s="44">
        <v>100000</v>
      </c>
    </row>
    <row r="21" spans="2:12">
      <c r="B21" s="9" t="s">
        <v>16</v>
      </c>
      <c r="C21" s="16"/>
      <c r="D21" s="19">
        <v>32620000</v>
      </c>
      <c r="J21" s="59" t="s">
        <v>113</v>
      </c>
      <c r="K21" s="15" t="s">
        <v>35</v>
      </c>
      <c r="L21" s="77">
        <v>500000</v>
      </c>
    </row>
    <row r="22" spans="2:12">
      <c r="B22" s="9" t="s">
        <v>17</v>
      </c>
      <c r="C22" s="16"/>
      <c r="D22" s="20">
        <v>50000000</v>
      </c>
      <c r="F22" s="176" t="s">
        <v>54</v>
      </c>
      <c r="G22" s="177"/>
      <c r="H22" s="178"/>
      <c r="J22" s="74" t="s">
        <v>114</v>
      </c>
      <c r="K22" s="76" t="s">
        <v>35</v>
      </c>
      <c r="L22" s="75">
        <f>SUM(L16:L21)</f>
        <v>32620000</v>
      </c>
    </row>
    <row r="23" spans="2:12">
      <c r="B23" s="21" t="s">
        <v>18</v>
      </c>
      <c r="C23" s="6"/>
      <c r="D23" s="22">
        <f>SUM(D20:D22)</f>
        <v>10133120000</v>
      </c>
      <c r="F23" s="9" t="s">
        <v>55</v>
      </c>
      <c r="G23" s="15"/>
      <c r="H23" s="43"/>
    </row>
    <row r="24" spans="2:12">
      <c r="B24" s="9"/>
      <c r="C24" s="16"/>
      <c r="D24" s="23"/>
      <c r="F24" s="9" t="s">
        <v>56</v>
      </c>
      <c r="G24" s="15" t="s">
        <v>60</v>
      </c>
      <c r="H24" s="44">
        <v>600000000</v>
      </c>
      <c r="J24" s="176" t="s">
        <v>115</v>
      </c>
      <c r="K24" s="177"/>
      <c r="L24" s="178"/>
    </row>
    <row r="25" spans="2:12">
      <c r="B25" s="24" t="s">
        <v>19</v>
      </c>
      <c r="C25" s="17"/>
      <c r="D25" s="8"/>
      <c r="F25" s="9" t="s">
        <v>57</v>
      </c>
      <c r="G25" s="15" t="s">
        <v>60</v>
      </c>
      <c r="H25" s="44">
        <v>300000000</v>
      </c>
      <c r="J25" s="9" t="s">
        <v>116</v>
      </c>
      <c r="K25" s="16"/>
      <c r="L25" s="8"/>
    </row>
    <row r="26" spans="2:12">
      <c r="B26" s="9" t="s">
        <v>20</v>
      </c>
      <c r="C26" s="16"/>
      <c r="D26" s="8"/>
      <c r="F26" s="9" t="s">
        <v>58</v>
      </c>
      <c r="G26" s="15" t="s">
        <v>60</v>
      </c>
      <c r="H26" s="44">
        <v>100000000</v>
      </c>
      <c r="J26" s="9" t="s">
        <v>117</v>
      </c>
      <c r="K26" s="48" t="s">
        <v>31</v>
      </c>
      <c r="L26" s="78"/>
    </row>
    <row r="27" spans="2:12">
      <c r="B27" s="9" t="s">
        <v>21</v>
      </c>
      <c r="C27" s="16"/>
      <c r="D27" s="8"/>
      <c r="F27" s="11" t="s">
        <v>59</v>
      </c>
      <c r="G27" s="29" t="s">
        <v>60</v>
      </c>
      <c r="H27" s="50">
        <v>50000000</v>
      </c>
      <c r="J27" s="9" t="s">
        <v>118</v>
      </c>
      <c r="K27" s="48" t="s">
        <v>31</v>
      </c>
      <c r="L27" s="79"/>
    </row>
    <row r="28" spans="2:12">
      <c r="B28" s="9" t="s">
        <v>22</v>
      </c>
      <c r="C28" s="16"/>
      <c r="D28" s="8"/>
      <c r="J28" s="9"/>
      <c r="K28" s="15"/>
      <c r="L28" s="8"/>
    </row>
    <row r="29" spans="2:12">
      <c r="B29" s="53" t="s">
        <v>23</v>
      </c>
      <c r="C29" s="54"/>
      <c r="D29" s="25">
        <f>SUM(D26:D28)</f>
        <v>0</v>
      </c>
      <c r="F29" s="176" t="s">
        <v>64</v>
      </c>
      <c r="G29" s="177"/>
      <c r="H29" s="178"/>
      <c r="J29" s="9" t="s">
        <v>119</v>
      </c>
      <c r="K29" s="15" t="s">
        <v>31</v>
      </c>
      <c r="L29" s="85">
        <v>0.05</v>
      </c>
    </row>
    <row r="30" spans="2:12">
      <c r="B30" s="17"/>
      <c r="C30" s="17"/>
      <c r="D30" s="55"/>
      <c r="F30" s="173" t="s">
        <v>61</v>
      </c>
      <c r="G30" s="174"/>
      <c r="H30" s="175"/>
      <c r="J30" s="9" t="s">
        <v>120</v>
      </c>
      <c r="K30" s="15" t="s">
        <v>31</v>
      </c>
      <c r="L30" s="85">
        <v>0.09</v>
      </c>
    </row>
    <row r="31" spans="2:12">
      <c r="B31" s="21" t="s">
        <v>21</v>
      </c>
      <c r="C31" s="6"/>
      <c r="D31" s="22"/>
      <c r="F31" s="9" t="s">
        <v>62</v>
      </c>
      <c r="G31" s="15" t="s">
        <v>65</v>
      </c>
      <c r="H31" s="44">
        <v>2500000</v>
      </c>
      <c r="J31" s="11" t="s">
        <v>121</v>
      </c>
      <c r="K31" s="29" t="s">
        <v>122</v>
      </c>
      <c r="L31" s="86">
        <v>1.3</v>
      </c>
    </row>
    <row r="32" spans="2:12">
      <c r="B32" s="56" t="s">
        <v>67</v>
      </c>
      <c r="C32" s="57" t="s">
        <v>68</v>
      </c>
      <c r="D32" s="58">
        <v>0.15</v>
      </c>
      <c r="F32" s="9" t="s">
        <v>63</v>
      </c>
      <c r="G32" s="15" t="s">
        <v>66</v>
      </c>
      <c r="H32" s="42">
        <v>32</v>
      </c>
      <c r="J32" s="80" t="s">
        <v>123</v>
      </c>
      <c r="K32" s="81" t="s">
        <v>31</v>
      </c>
      <c r="L32" s="87"/>
    </row>
    <row r="33" spans="2:14">
      <c r="B33" s="53" t="s">
        <v>69</v>
      </c>
      <c r="C33" s="54" t="s">
        <v>35</v>
      </c>
      <c r="D33" s="25"/>
      <c r="F33" s="9"/>
      <c r="G33" s="15"/>
      <c r="H33" s="44"/>
      <c r="J33" s="9"/>
      <c r="K33" s="15"/>
      <c r="L33" s="73"/>
    </row>
    <row r="34" spans="2:14">
      <c r="B34" s="17"/>
      <c r="C34" s="17"/>
      <c r="D34" s="55"/>
      <c r="F34" s="170" t="s">
        <v>70</v>
      </c>
      <c r="G34" s="171"/>
      <c r="H34" s="172"/>
      <c r="J34" s="9" t="s">
        <v>124</v>
      </c>
      <c r="K34" s="15" t="s">
        <v>31</v>
      </c>
      <c r="L34" s="88"/>
    </row>
    <row r="35" spans="2:14">
      <c r="B35" s="176" t="s">
        <v>24</v>
      </c>
      <c r="C35" s="177"/>
      <c r="D35" s="178"/>
      <c r="F35" s="60" t="s">
        <v>71</v>
      </c>
      <c r="G35" s="15" t="s">
        <v>73</v>
      </c>
      <c r="H35" s="44">
        <v>1250000</v>
      </c>
      <c r="J35" s="9" t="s">
        <v>125</v>
      </c>
      <c r="K35" s="15" t="s">
        <v>31</v>
      </c>
      <c r="L35" s="89"/>
    </row>
    <row r="36" spans="2:14">
      <c r="B36" s="179" t="s">
        <v>25</v>
      </c>
      <c r="C36" s="180"/>
      <c r="D36" s="181"/>
      <c r="F36" s="60" t="s">
        <v>72</v>
      </c>
      <c r="G36" s="15" t="s">
        <v>74</v>
      </c>
      <c r="H36" s="44">
        <v>8</v>
      </c>
      <c r="J36" s="21" t="s">
        <v>126</v>
      </c>
      <c r="K36" s="49" t="s">
        <v>31</v>
      </c>
      <c r="L36" s="90"/>
    </row>
    <row r="37" spans="2:14">
      <c r="B37" s="11" t="s">
        <v>26</v>
      </c>
      <c r="C37" s="28"/>
      <c r="D37" s="26"/>
      <c r="F37" s="9"/>
      <c r="G37" s="15"/>
      <c r="H37" s="43"/>
      <c r="J37" s="9"/>
      <c r="K37" s="16"/>
      <c r="L37" s="73"/>
      <c r="N37" s="62"/>
    </row>
    <row r="38" spans="2:14">
      <c r="B38" s="9" t="s">
        <v>27</v>
      </c>
      <c r="C38" s="15" t="s">
        <v>31</v>
      </c>
      <c r="D38" s="31">
        <v>0.4</v>
      </c>
      <c r="F38" s="170" t="s">
        <v>75</v>
      </c>
      <c r="G38" s="171"/>
      <c r="H38" s="172"/>
      <c r="J38" s="9" t="s">
        <v>127</v>
      </c>
      <c r="K38" s="15" t="s">
        <v>31</v>
      </c>
      <c r="L38" s="84"/>
    </row>
    <row r="39" spans="2:14">
      <c r="B39" s="9" t="s">
        <v>28</v>
      </c>
      <c r="C39" s="15" t="s">
        <v>31</v>
      </c>
      <c r="D39" s="31">
        <v>0.05</v>
      </c>
      <c r="F39" s="60" t="s">
        <v>76</v>
      </c>
      <c r="G39" s="63" t="s">
        <v>78</v>
      </c>
      <c r="H39" s="44">
        <v>2000000</v>
      </c>
      <c r="J39" s="9"/>
      <c r="K39" s="16"/>
      <c r="L39" s="73"/>
    </row>
    <row r="40" spans="2:14">
      <c r="B40" s="9"/>
      <c r="C40" s="16"/>
      <c r="D40" s="8"/>
      <c r="F40" s="60" t="s">
        <v>77</v>
      </c>
      <c r="G40" s="15" t="s">
        <v>79</v>
      </c>
      <c r="H40" s="44">
        <v>5</v>
      </c>
      <c r="J40" s="179" t="s">
        <v>128</v>
      </c>
      <c r="K40" s="180"/>
      <c r="L40" s="181"/>
    </row>
    <row r="41" spans="2:14">
      <c r="B41" s="9" t="s">
        <v>29</v>
      </c>
      <c r="C41" s="15" t="s">
        <v>32</v>
      </c>
      <c r="D41" s="13">
        <v>15</v>
      </c>
      <c r="F41" s="9"/>
      <c r="G41" s="15"/>
      <c r="H41" s="43"/>
      <c r="J41" s="11" t="s">
        <v>129</v>
      </c>
      <c r="K41" s="28" t="s">
        <v>1</v>
      </c>
      <c r="L41" s="91">
        <v>8</v>
      </c>
    </row>
    <row r="42" spans="2:14">
      <c r="B42" s="9" t="s">
        <v>30</v>
      </c>
      <c r="C42" s="15" t="s">
        <v>32</v>
      </c>
      <c r="D42" s="13">
        <v>1</v>
      </c>
      <c r="F42" s="170" t="s">
        <v>80</v>
      </c>
      <c r="G42" s="171"/>
      <c r="H42" s="172"/>
    </row>
    <row r="43" spans="2:14">
      <c r="B43" s="9"/>
      <c r="C43" s="16"/>
      <c r="D43" s="8"/>
      <c r="F43" s="60" t="s">
        <v>81</v>
      </c>
      <c r="G43" s="15" t="s">
        <v>83</v>
      </c>
      <c r="H43" s="64">
        <v>0.02</v>
      </c>
      <c r="J43" s="169" t="s">
        <v>130</v>
      </c>
      <c r="K43" s="169"/>
      <c r="L43" s="169"/>
    </row>
    <row r="44" spans="2:14">
      <c r="B44" s="24" t="s">
        <v>33</v>
      </c>
      <c r="C44" s="32" t="s">
        <v>35</v>
      </c>
      <c r="D44" s="33"/>
      <c r="F44" s="59" t="s">
        <v>82</v>
      </c>
      <c r="G44" s="29" t="s">
        <v>83</v>
      </c>
      <c r="H44" s="65">
        <v>3.5000000000000003E-2</v>
      </c>
      <c r="J44" s="5" t="s">
        <v>131</v>
      </c>
    </row>
    <row r="45" spans="2:14">
      <c r="B45" s="34" t="s">
        <v>34</v>
      </c>
      <c r="C45" s="35" t="s">
        <v>35</v>
      </c>
      <c r="D45" s="36"/>
      <c r="J45" t="s">
        <v>132</v>
      </c>
      <c r="L45" s="92">
        <v>0.9</v>
      </c>
    </row>
    <row r="46" spans="2:14">
      <c r="B46" s="9"/>
      <c r="C46" s="16"/>
      <c r="D46" s="8"/>
      <c r="F46" s="176" t="s">
        <v>84</v>
      </c>
      <c r="G46" s="177"/>
      <c r="H46" s="178"/>
      <c r="J46" t="s">
        <v>133</v>
      </c>
    </row>
    <row r="47" spans="2:14">
      <c r="B47" s="179" t="s">
        <v>36</v>
      </c>
      <c r="C47" s="180"/>
      <c r="D47" s="181"/>
      <c r="F47" s="34" t="s">
        <v>85</v>
      </c>
      <c r="G47" s="29"/>
      <c r="H47" s="52"/>
      <c r="N47">
        <v>3240265500</v>
      </c>
    </row>
    <row r="48" spans="2:14">
      <c r="B48" s="34" t="s">
        <v>26</v>
      </c>
      <c r="C48" s="28"/>
      <c r="D48" s="26"/>
      <c r="F48" s="9" t="s">
        <v>86</v>
      </c>
      <c r="G48" s="15" t="s">
        <v>31</v>
      </c>
      <c r="H48" s="66">
        <v>0.25</v>
      </c>
      <c r="J48" t="s">
        <v>134</v>
      </c>
      <c r="K48" t="s">
        <v>35</v>
      </c>
      <c r="N48">
        <v>360029500</v>
      </c>
    </row>
    <row r="49" spans="2:14">
      <c r="B49" s="9" t="s">
        <v>27</v>
      </c>
      <c r="C49" s="15" t="s">
        <v>31</v>
      </c>
      <c r="D49" s="31">
        <v>0.1</v>
      </c>
      <c r="F49" s="9" t="s">
        <v>87</v>
      </c>
      <c r="G49" s="15" t="s">
        <v>31</v>
      </c>
      <c r="H49" s="66">
        <v>0.2</v>
      </c>
      <c r="J49" t="s">
        <v>133</v>
      </c>
      <c r="K49" t="s">
        <v>135</v>
      </c>
      <c r="N49">
        <f>SUM(N47:N48)</f>
        <v>3600295000</v>
      </c>
    </row>
    <row r="50" spans="2:14">
      <c r="B50" s="9" t="s">
        <v>28</v>
      </c>
      <c r="C50" s="15" t="s">
        <v>31</v>
      </c>
      <c r="D50" s="31">
        <v>0.05</v>
      </c>
      <c r="F50" s="9"/>
      <c r="G50" s="15"/>
      <c r="H50" s="43"/>
    </row>
    <row r="51" spans="2:14">
      <c r="B51" s="9"/>
      <c r="C51" s="16"/>
      <c r="D51" s="8"/>
      <c r="F51" s="34" t="s">
        <v>88</v>
      </c>
      <c r="G51" s="29"/>
      <c r="H51" s="52"/>
      <c r="J51" s="169" t="s">
        <v>17</v>
      </c>
      <c r="K51" s="169"/>
      <c r="L51" s="169"/>
    </row>
    <row r="52" spans="2:14">
      <c r="B52" s="9" t="s">
        <v>29</v>
      </c>
      <c r="C52" s="15" t="s">
        <v>32</v>
      </c>
      <c r="D52" s="13">
        <v>8</v>
      </c>
      <c r="F52" s="9" t="s">
        <v>89</v>
      </c>
      <c r="G52" s="15" t="s">
        <v>68</v>
      </c>
      <c r="H52" s="66">
        <v>0.15</v>
      </c>
      <c r="J52" t="s">
        <v>136</v>
      </c>
      <c r="K52" t="s">
        <v>139</v>
      </c>
      <c r="L52" s="39">
        <v>35</v>
      </c>
      <c r="N52">
        <v>10104750000</v>
      </c>
    </row>
    <row r="53" spans="2:14">
      <c r="B53" s="9" t="s">
        <v>30</v>
      </c>
      <c r="C53" s="15" t="s">
        <v>32</v>
      </c>
      <c r="D53" s="13"/>
      <c r="F53" s="9"/>
      <c r="G53" s="15"/>
      <c r="H53" s="67"/>
      <c r="J53" t="s">
        <v>137</v>
      </c>
      <c r="K53" t="s">
        <v>139</v>
      </c>
      <c r="L53" s="39">
        <v>25</v>
      </c>
      <c r="N53">
        <f>+N52*0.4</f>
        <v>4041900000</v>
      </c>
    </row>
    <row r="54" spans="2:14">
      <c r="B54" s="9"/>
      <c r="C54" s="16"/>
      <c r="D54" s="8"/>
      <c r="F54" s="9" t="s">
        <v>90</v>
      </c>
      <c r="G54" s="15" t="s">
        <v>92</v>
      </c>
      <c r="H54" s="66">
        <v>0.4</v>
      </c>
      <c r="J54" t="s">
        <v>138</v>
      </c>
      <c r="K54" t="s">
        <v>139</v>
      </c>
      <c r="L54" s="39">
        <v>50</v>
      </c>
      <c r="N54">
        <f>+N52*0.1</f>
        <v>1010475000</v>
      </c>
    </row>
    <row r="55" spans="2:14">
      <c r="B55" s="24" t="s">
        <v>33</v>
      </c>
      <c r="C55" s="32" t="s">
        <v>35</v>
      </c>
      <c r="D55" s="33"/>
      <c r="F55" s="11" t="s">
        <v>91</v>
      </c>
      <c r="G55" s="29" t="s">
        <v>53</v>
      </c>
      <c r="H55" s="68">
        <v>20</v>
      </c>
      <c r="N55">
        <v>5052375000</v>
      </c>
    </row>
    <row r="56" spans="2:14">
      <c r="B56" s="34" t="s">
        <v>34</v>
      </c>
      <c r="C56" s="35" t="s">
        <v>35</v>
      </c>
      <c r="D56" s="36"/>
    </row>
  </sheetData>
  <mergeCells count="22">
    <mergeCell ref="B47:D47"/>
    <mergeCell ref="B10:D10"/>
    <mergeCell ref="B2:D2"/>
    <mergeCell ref="B18:D18"/>
    <mergeCell ref="B35:D35"/>
    <mergeCell ref="B36:D36"/>
    <mergeCell ref="F2:H2"/>
    <mergeCell ref="F4:H4"/>
    <mergeCell ref="F9:H9"/>
    <mergeCell ref="F15:H15"/>
    <mergeCell ref="F22:H22"/>
    <mergeCell ref="F30:H30"/>
    <mergeCell ref="F46:H46"/>
    <mergeCell ref="J15:L15"/>
    <mergeCell ref="J24:L24"/>
    <mergeCell ref="J40:L40"/>
    <mergeCell ref="F29:H29"/>
    <mergeCell ref="J51:L51"/>
    <mergeCell ref="J43:L43"/>
    <mergeCell ref="F42:H42"/>
    <mergeCell ref="F38:H38"/>
    <mergeCell ref="F34:H34"/>
  </mergeCells>
  <dataValidations count="1">
    <dataValidation type="list" allowBlank="1" showInputMessage="1" showErrorMessage="1" sqref="L4" xr:uid="{D3A8BED2-8ECD-4931-B6AE-E0998AE598C5}">
      <formula1>$M$4:$M$5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32B5-40A0-4BE7-B88B-9F87490D5DDB}">
  <dimension ref="B2:H31"/>
  <sheetViews>
    <sheetView showGridLines="0" workbookViewId="0">
      <selection activeCell="H18" sqref="H18"/>
    </sheetView>
  </sheetViews>
  <sheetFormatPr defaultRowHeight="13.8"/>
  <cols>
    <col min="1" max="1" width="2.09765625" customWidth="1"/>
    <col min="2" max="2" width="43" bestFit="1" customWidth="1"/>
    <col min="3" max="3" width="16.19921875" customWidth="1"/>
    <col min="4" max="4" width="17.796875" bestFit="1" customWidth="1"/>
    <col min="6" max="6" width="30.59765625" bestFit="1" customWidth="1"/>
    <col min="7" max="7" width="15.59765625" bestFit="1" customWidth="1"/>
    <col min="8" max="8" width="14.09765625" customWidth="1"/>
  </cols>
  <sheetData>
    <row r="2" spans="2:8">
      <c r="B2" s="187" t="s">
        <v>140</v>
      </c>
      <c r="C2" s="187"/>
      <c r="D2" s="187"/>
      <c r="E2" s="187"/>
      <c r="F2" s="187"/>
      <c r="G2" s="187"/>
      <c r="H2" s="187"/>
    </row>
    <row r="3" spans="2:8">
      <c r="B3" s="186" t="s">
        <v>141</v>
      </c>
      <c r="C3" s="186"/>
      <c r="D3" s="186"/>
      <c r="F3" s="186" t="s">
        <v>166</v>
      </c>
      <c r="G3" s="186"/>
      <c r="H3" s="186"/>
    </row>
    <row r="4" spans="2:8">
      <c r="B4" s="185" t="s">
        <v>142</v>
      </c>
      <c r="C4" s="185"/>
      <c r="D4" s="185"/>
      <c r="F4" s="115" t="s">
        <v>167</v>
      </c>
      <c r="G4" s="115"/>
      <c r="H4" s="115"/>
    </row>
    <row r="5" spans="2:8">
      <c r="B5" s="94" t="s">
        <v>147</v>
      </c>
      <c r="C5" t="s">
        <v>95</v>
      </c>
      <c r="D5" s="4" t="s">
        <v>96</v>
      </c>
      <c r="E5" s="133" t="s">
        <v>97</v>
      </c>
      <c r="F5" s="109" t="s">
        <v>168</v>
      </c>
      <c r="G5" s="3" t="s">
        <v>12</v>
      </c>
      <c r="H5" s="110">
        <v>500000000</v>
      </c>
    </row>
    <row r="6" spans="2:8">
      <c r="B6" t="s">
        <v>143</v>
      </c>
      <c r="E6" s="133" t="s">
        <v>96</v>
      </c>
      <c r="F6" s="109" t="s">
        <v>150</v>
      </c>
      <c r="G6" s="2" t="s">
        <v>151</v>
      </c>
      <c r="H6" s="111">
        <v>0.1</v>
      </c>
    </row>
    <row r="7" spans="2:8">
      <c r="B7" s="93" t="s">
        <v>144</v>
      </c>
      <c r="C7" t="s">
        <v>148</v>
      </c>
      <c r="D7" s="41">
        <v>100</v>
      </c>
      <c r="F7" s="101" t="s">
        <v>169</v>
      </c>
      <c r="G7" s="101"/>
      <c r="H7" s="112">
        <f>+H5*(1+H6)</f>
        <v>550000000</v>
      </c>
    </row>
    <row r="8" spans="2:8">
      <c r="B8" s="93" t="s">
        <v>145</v>
      </c>
      <c r="C8" t="s">
        <v>149</v>
      </c>
      <c r="D8" s="47">
        <v>500000</v>
      </c>
      <c r="F8" s="2"/>
      <c r="G8" s="2"/>
      <c r="H8" s="2"/>
    </row>
    <row r="9" spans="2:8">
      <c r="B9" s="6" t="s">
        <v>146</v>
      </c>
      <c r="C9" s="6"/>
      <c r="D9" s="96">
        <f>+D8*D7</f>
        <v>50000000</v>
      </c>
      <c r="F9" s="101" t="s">
        <v>170</v>
      </c>
      <c r="G9" s="2"/>
      <c r="H9" s="2"/>
    </row>
    <row r="10" spans="2:8">
      <c r="F10" s="101" t="s">
        <v>171</v>
      </c>
      <c r="G10" s="101"/>
      <c r="H10" s="113" t="s">
        <v>172</v>
      </c>
    </row>
    <row r="11" spans="2:8">
      <c r="B11" t="s">
        <v>150</v>
      </c>
      <c r="C11" t="s">
        <v>151</v>
      </c>
      <c r="D11" s="97">
        <v>8.5000000000000006E-2</v>
      </c>
      <c r="F11" s="109" t="s">
        <v>100</v>
      </c>
      <c r="G11" s="3" t="s">
        <v>12</v>
      </c>
      <c r="H11" s="102">
        <v>0</v>
      </c>
    </row>
    <row r="12" spans="2:8">
      <c r="B12" s="54" t="s">
        <v>152</v>
      </c>
      <c r="C12" s="54"/>
      <c r="D12" s="98">
        <f>+D9*(1+D11)</f>
        <v>54250000</v>
      </c>
      <c r="F12" s="109" t="s">
        <v>101</v>
      </c>
      <c r="G12" s="3" t="s">
        <v>12</v>
      </c>
      <c r="H12" s="103">
        <f>+H7</f>
        <v>550000000</v>
      </c>
    </row>
    <row r="13" spans="2:8">
      <c r="F13" s="109" t="s">
        <v>173</v>
      </c>
      <c r="G13" s="3" t="s">
        <v>12</v>
      </c>
      <c r="H13" s="103">
        <v>20000000</v>
      </c>
    </row>
    <row r="14" spans="2:8">
      <c r="B14" s="121" t="s">
        <v>153</v>
      </c>
      <c r="C14" s="122"/>
      <c r="D14" s="123"/>
      <c r="F14" s="109" t="s">
        <v>102</v>
      </c>
      <c r="G14" s="3" t="s">
        <v>12</v>
      </c>
      <c r="H14" s="103">
        <v>700000000</v>
      </c>
    </row>
    <row r="15" spans="2:8">
      <c r="B15" s="124" t="s">
        <v>154</v>
      </c>
      <c r="C15" s="125" t="s">
        <v>160</v>
      </c>
      <c r="D15" s="126">
        <v>350000</v>
      </c>
      <c r="F15" s="109" t="s">
        <v>103</v>
      </c>
      <c r="G15" s="3" t="s">
        <v>12</v>
      </c>
      <c r="H15" s="103">
        <v>400000000</v>
      </c>
    </row>
    <row r="16" spans="2:8">
      <c r="B16" s="124"/>
      <c r="C16" s="125"/>
      <c r="D16" s="127"/>
      <c r="F16" s="109" t="s">
        <v>163</v>
      </c>
      <c r="G16" s="3" t="s">
        <v>12</v>
      </c>
      <c r="H16" s="103">
        <v>300000</v>
      </c>
    </row>
    <row r="17" spans="2:8">
      <c r="B17" s="124"/>
      <c r="C17" s="125"/>
      <c r="D17" s="127"/>
      <c r="F17" s="109" t="s">
        <v>105</v>
      </c>
      <c r="G17" s="3" t="s">
        <v>12</v>
      </c>
      <c r="H17" s="103">
        <v>10000000</v>
      </c>
    </row>
    <row r="18" spans="2:8">
      <c r="B18" s="128" t="s">
        <v>155</v>
      </c>
      <c r="C18" s="125"/>
      <c r="D18" s="127"/>
      <c r="F18" s="104" t="s">
        <v>165</v>
      </c>
      <c r="G18" s="114" t="s">
        <v>12</v>
      </c>
      <c r="H18" s="105">
        <f>SUM(H11:H17)</f>
        <v>1680300000</v>
      </c>
    </row>
    <row r="19" spans="2:8">
      <c r="B19" s="129" t="s">
        <v>156</v>
      </c>
      <c r="C19" s="125" t="s">
        <v>159</v>
      </c>
      <c r="D19" s="130">
        <v>0.08</v>
      </c>
    </row>
    <row r="20" spans="2:8">
      <c r="B20" s="129" t="s">
        <v>157</v>
      </c>
      <c r="C20" s="125" t="s">
        <v>159</v>
      </c>
      <c r="D20" s="130">
        <v>0.04</v>
      </c>
    </row>
    <row r="21" spans="2:8">
      <c r="B21" s="131" t="s">
        <v>158</v>
      </c>
      <c r="C21" s="104" t="s">
        <v>160</v>
      </c>
      <c r="D21" s="132">
        <f>+(D15*D19)+(D15*D20)</f>
        <v>42000</v>
      </c>
    </row>
    <row r="23" spans="2:8">
      <c r="B23" s="185" t="s">
        <v>161</v>
      </c>
      <c r="C23" s="185"/>
      <c r="D23" s="185"/>
    </row>
    <row r="24" spans="2:8">
      <c r="B24" s="118" t="s">
        <v>162</v>
      </c>
      <c r="C24" s="117"/>
      <c r="D24" s="117" t="s">
        <v>172</v>
      </c>
    </row>
    <row r="25" spans="2:8">
      <c r="B25" s="119" t="s">
        <v>100</v>
      </c>
      <c r="C25" t="s">
        <v>12</v>
      </c>
      <c r="D25" s="106">
        <f>+D12</f>
        <v>54250000</v>
      </c>
    </row>
    <row r="26" spans="2:8">
      <c r="B26" s="119" t="s">
        <v>101</v>
      </c>
      <c r="C26" t="s">
        <v>12</v>
      </c>
      <c r="D26" s="99">
        <v>3000000000</v>
      </c>
    </row>
    <row r="27" spans="2:8">
      <c r="B27" s="119" t="s">
        <v>102</v>
      </c>
      <c r="C27" t="s">
        <v>12</v>
      </c>
      <c r="D27" s="99">
        <v>5000000000</v>
      </c>
    </row>
    <row r="28" spans="2:8">
      <c r="B28" s="119" t="s">
        <v>103</v>
      </c>
      <c r="C28" t="s">
        <v>12</v>
      </c>
      <c r="D28" s="99">
        <v>2000000000</v>
      </c>
    </row>
    <row r="29" spans="2:8">
      <c r="B29" s="119" t="s">
        <v>163</v>
      </c>
      <c r="C29" t="s">
        <v>12</v>
      </c>
      <c r="D29" s="99">
        <v>500000</v>
      </c>
    </row>
    <row r="30" spans="2:8">
      <c r="B30" s="119" t="s">
        <v>164</v>
      </c>
      <c r="C30" t="s">
        <v>12</v>
      </c>
      <c r="D30" s="99">
        <v>50000000</v>
      </c>
    </row>
    <row r="31" spans="2:8">
      <c r="B31" s="120" t="s">
        <v>165</v>
      </c>
      <c r="C31" s="54" t="s">
        <v>12</v>
      </c>
      <c r="D31" s="98">
        <f>SUM(D25:D30)</f>
        <v>10104750000</v>
      </c>
    </row>
  </sheetData>
  <mergeCells count="5">
    <mergeCell ref="B23:D23"/>
    <mergeCell ref="F3:H3"/>
    <mergeCell ref="B2:H2"/>
    <mergeCell ref="B3:D3"/>
    <mergeCell ref="B4:D4"/>
  </mergeCells>
  <dataValidations count="1">
    <dataValidation type="list" allowBlank="1" showInputMessage="1" showErrorMessage="1" sqref="D5" xr:uid="{6F4F39F3-C0F9-44DA-BCDA-3551DB51F5E4}">
      <formula1>$E$5:$E$6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FCE1-D5A5-49FE-8AB4-CF93C5CD38D6}">
  <dimension ref="A2:R53"/>
  <sheetViews>
    <sheetView showGridLines="0" topLeftCell="A5" zoomScale="93" workbookViewId="0">
      <selection activeCell="I24" sqref="I24"/>
    </sheetView>
  </sheetViews>
  <sheetFormatPr defaultRowHeight="13.8"/>
  <cols>
    <col min="2" max="2" width="22.296875" customWidth="1"/>
    <col min="3" max="3" width="13.796875" customWidth="1"/>
    <col min="4" max="4" width="4.8984375" customWidth="1"/>
    <col min="15" max="15" width="4.09765625" customWidth="1"/>
    <col min="16" max="16" width="20.19921875" bestFit="1" customWidth="1"/>
    <col min="18" max="18" width="12.8984375" bestFit="1" customWidth="1"/>
  </cols>
  <sheetData>
    <row r="2" spans="1:18">
      <c r="A2" s="117"/>
      <c r="B2" s="117" t="s">
        <v>206</v>
      </c>
      <c r="C2" s="117"/>
      <c r="D2" s="117"/>
      <c r="E2" s="139">
        <v>2025</v>
      </c>
      <c r="F2" s="139">
        <v>2026</v>
      </c>
      <c r="G2" s="139">
        <v>2027</v>
      </c>
      <c r="H2" s="139">
        <v>2028</v>
      </c>
      <c r="I2" s="139">
        <v>2029</v>
      </c>
      <c r="J2" s="139">
        <v>2030</v>
      </c>
      <c r="K2" s="139">
        <v>2031</v>
      </c>
      <c r="L2" s="139">
        <v>2032</v>
      </c>
      <c r="M2" s="139">
        <v>2033</v>
      </c>
      <c r="N2" s="139">
        <v>2034</v>
      </c>
      <c r="O2" s="117"/>
      <c r="P2" s="189">
        <v>2025</v>
      </c>
      <c r="Q2" s="189"/>
      <c r="R2" s="189"/>
    </row>
    <row r="3" spans="1:18"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1" t="s">
        <v>180</v>
      </c>
      <c r="L3" s="1" t="s">
        <v>181</v>
      </c>
      <c r="M3" s="1" t="s">
        <v>182</v>
      </c>
      <c r="N3" s="1" t="s">
        <v>183</v>
      </c>
      <c r="R3" s="40" t="s">
        <v>174</v>
      </c>
    </row>
    <row r="4" spans="1:18">
      <c r="C4" s="186" t="s">
        <v>26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P4" s="186" t="s">
        <v>199</v>
      </c>
      <c r="Q4" s="186"/>
      <c r="R4" s="186"/>
    </row>
    <row r="5" spans="1:18">
      <c r="A5" s="140"/>
      <c r="B5" s="141" t="s">
        <v>206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83"/>
      <c r="P5" s="140"/>
      <c r="Q5" s="140"/>
      <c r="R5" s="140"/>
    </row>
    <row r="6" spans="1:18">
      <c r="A6" s="116"/>
      <c r="B6" s="118" t="s">
        <v>184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83"/>
      <c r="P6" s="116"/>
      <c r="Q6" s="116"/>
      <c r="R6" s="116"/>
    </row>
    <row r="7" spans="1:18">
      <c r="B7" s="136" t="s">
        <v>185</v>
      </c>
      <c r="C7" s="138" t="s">
        <v>186</v>
      </c>
      <c r="D7" s="138"/>
      <c r="E7" s="188" t="s">
        <v>198</v>
      </c>
      <c r="F7" s="188"/>
      <c r="G7" s="188"/>
      <c r="H7" s="188"/>
      <c r="I7" s="188"/>
      <c r="J7" s="188"/>
      <c r="K7" s="188"/>
      <c r="L7" s="188"/>
      <c r="M7" s="188"/>
      <c r="N7" s="188"/>
      <c r="P7" s="5" t="s">
        <v>200</v>
      </c>
    </row>
    <row r="8" spans="1:18">
      <c r="C8" s="27" t="s">
        <v>187</v>
      </c>
      <c r="D8" s="1"/>
    </row>
    <row r="9" spans="1:18">
      <c r="B9" s="69" t="s">
        <v>188</v>
      </c>
      <c r="C9" s="99">
        <v>150000</v>
      </c>
      <c r="D9" s="137"/>
      <c r="E9" s="100">
        <v>4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K9" s="100">
        <v>0</v>
      </c>
      <c r="L9" s="100">
        <v>0</v>
      </c>
      <c r="M9" s="100">
        <v>0</v>
      </c>
      <c r="N9" s="100">
        <v>0</v>
      </c>
      <c r="P9" t="str">
        <f>+B9</f>
        <v>Production Manager</v>
      </c>
      <c r="R9" s="62">
        <f>+C9*E9</f>
        <v>600000</v>
      </c>
    </row>
    <row r="10" spans="1:18">
      <c r="B10" s="69" t="s">
        <v>189</v>
      </c>
      <c r="C10" s="99">
        <v>90000</v>
      </c>
      <c r="D10" s="137"/>
      <c r="E10" s="100">
        <v>6</v>
      </c>
      <c r="F10" s="100">
        <v>0</v>
      </c>
      <c r="G10" s="100">
        <v>1</v>
      </c>
      <c r="H10" s="100">
        <v>0</v>
      </c>
      <c r="I10" s="100">
        <v>1</v>
      </c>
      <c r="J10" s="100">
        <v>0</v>
      </c>
      <c r="K10" s="100">
        <v>0</v>
      </c>
      <c r="L10" s="100">
        <v>0</v>
      </c>
      <c r="M10" s="100">
        <v>0</v>
      </c>
      <c r="N10" s="100">
        <v>0</v>
      </c>
      <c r="P10" t="str">
        <f t="shared" ref="P10:P19" si="0">+B10</f>
        <v>Production Supervisor</v>
      </c>
      <c r="R10" s="62">
        <f t="shared" ref="R10:R19" si="1">+C10*E10</f>
        <v>540000</v>
      </c>
    </row>
    <row r="11" spans="1:18">
      <c r="B11" s="69" t="s">
        <v>190</v>
      </c>
      <c r="C11" s="99">
        <v>60000</v>
      </c>
      <c r="D11" s="137"/>
      <c r="E11" s="100">
        <v>15</v>
      </c>
      <c r="F11" s="100">
        <v>0</v>
      </c>
      <c r="G11" s="100">
        <v>0</v>
      </c>
      <c r="H11" s="100">
        <v>1</v>
      </c>
      <c r="I11" s="100">
        <v>0</v>
      </c>
      <c r="J11" s="100">
        <v>0</v>
      </c>
      <c r="K11" s="100">
        <v>1</v>
      </c>
      <c r="L11" s="100">
        <v>0</v>
      </c>
      <c r="M11" s="100">
        <v>0</v>
      </c>
      <c r="N11" s="100">
        <v>0</v>
      </c>
      <c r="P11" t="str">
        <f t="shared" si="0"/>
        <v>Testing Engineers</v>
      </c>
      <c r="R11" s="62">
        <f t="shared" si="1"/>
        <v>900000</v>
      </c>
    </row>
    <row r="12" spans="1:18">
      <c r="B12" s="69" t="s">
        <v>191</v>
      </c>
      <c r="C12" s="99">
        <v>70000</v>
      </c>
      <c r="D12" s="137"/>
      <c r="E12" s="100">
        <v>5</v>
      </c>
      <c r="F12" s="100">
        <v>0</v>
      </c>
      <c r="G12" s="100">
        <v>2</v>
      </c>
      <c r="H12" s="100">
        <v>0</v>
      </c>
      <c r="I12" s="100">
        <v>2</v>
      </c>
      <c r="J12" s="100">
        <v>0</v>
      </c>
      <c r="K12" s="100">
        <v>0</v>
      </c>
      <c r="L12" s="100">
        <v>1</v>
      </c>
      <c r="M12" s="100">
        <v>0</v>
      </c>
      <c r="N12" s="100">
        <v>0</v>
      </c>
      <c r="P12" t="str">
        <f t="shared" si="0"/>
        <v>Electronics Engineer</v>
      </c>
      <c r="R12" s="62">
        <f t="shared" si="1"/>
        <v>350000</v>
      </c>
    </row>
    <row r="13" spans="1:18">
      <c r="B13" s="69" t="s">
        <v>192</v>
      </c>
      <c r="C13" s="99">
        <v>50000</v>
      </c>
      <c r="D13" s="137"/>
      <c r="E13" s="100">
        <v>20</v>
      </c>
      <c r="F13" s="100">
        <v>0</v>
      </c>
      <c r="G13" s="100">
        <v>0</v>
      </c>
      <c r="H13" s="100">
        <v>3</v>
      </c>
      <c r="I13" s="100">
        <v>0</v>
      </c>
      <c r="J13" s="100">
        <v>0</v>
      </c>
      <c r="K13" s="100">
        <v>2</v>
      </c>
      <c r="L13" s="100">
        <v>0</v>
      </c>
      <c r="M13" s="100">
        <v>0</v>
      </c>
      <c r="N13" s="100">
        <v>0</v>
      </c>
      <c r="P13" t="str">
        <f t="shared" si="0"/>
        <v>Safety Staff</v>
      </c>
      <c r="R13" s="62">
        <f t="shared" si="1"/>
        <v>1000000</v>
      </c>
    </row>
    <row r="14" spans="1:18">
      <c r="B14" s="69" t="s">
        <v>193</v>
      </c>
      <c r="C14" s="99">
        <v>35000</v>
      </c>
      <c r="D14" s="137"/>
      <c r="E14" s="100">
        <v>50</v>
      </c>
      <c r="F14" s="100">
        <v>0</v>
      </c>
      <c r="G14" s="100">
        <v>5</v>
      </c>
      <c r="H14" s="100">
        <v>0</v>
      </c>
      <c r="I14" s="100">
        <v>5</v>
      </c>
      <c r="J14" s="100">
        <v>0</v>
      </c>
      <c r="K14" s="100">
        <v>5</v>
      </c>
      <c r="L14" s="100">
        <v>0</v>
      </c>
      <c r="M14" s="100">
        <v>5</v>
      </c>
      <c r="N14" s="100">
        <v>0</v>
      </c>
      <c r="P14" t="str">
        <f t="shared" si="0"/>
        <v>Sorting and Packaging</v>
      </c>
      <c r="R14" s="62">
        <f t="shared" si="1"/>
        <v>1750000</v>
      </c>
    </row>
    <row r="15" spans="1:18">
      <c r="B15" s="69" t="s">
        <v>194</v>
      </c>
      <c r="C15" s="99">
        <v>120000</v>
      </c>
      <c r="D15" s="137"/>
      <c r="E15" s="100">
        <v>1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  <c r="M15" s="100">
        <v>0</v>
      </c>
      <c r="N15" s="100">
        <v>0</v>
      </c>
      <c r="P15" t="str">
        <f t="shared" si="0"/>
        <v>R&amp;D head</v>
      </c>
      <c r="R15" s="62">
        <f t="shared" si="1"/>
        <v>120000</v>
      </c>
    </row>
    <row r="16" spans="1:18">
      <c r="B16" s="69" t="s">
        <v>195</v>
      </c>
      <c r="C16" s="99">
        <v>80000</v>
      </c>
      <c r="D16" s="137"/>
      <c r="E16" s="100">
        <v>10</v>
      </c>
      <c r="F16" s="100">
        <v>0</v>
      </c>
      <c r="G16" s="100">
        <v>0</v>
      </c>
      <c r="H16" s="100">
        <v>1</v>
      </c>
      <c r="I16" s="100">
        <v>0</v>
      </c>
      <c r="J16" s="100">
        <v>0</v>
      </c>
      <c r="K16" s="100">
        <v>1</v>
      </c>
      <c r="L16" s="100">
        <v>0</v>
      </c>
      <c r="M16" s="100">
        <v>1</v>
      </c>
      <c r="N16" s="100">
        <v>0</v>
      </c>
      <c r="P16" t="str">
        <f t="shared" si="0"/>
        <v>R&amp;D Scientist</v>
      </c>
      <c r="R16" s="62">
        <f t="shared" si="1"/>
        <v>800000</v>
      </c>
    </row>
    <row r="17" spans="1:18">
      <c r="B17" s="69" t="s">
        <v>196</v>
      </c>
      <c r="C17" s="99">
        <v>60000</v>
      </c>
      <c r="D17" s="137"/>
      <c r="E17" s="100">
        <v>15</v>
      </c>
      <c r="F17" s="100">
        <v>0</v>
      </c>
      <c r="G17" s="100">
        <v>0</v>
      </c>
      <c r="H17" s="100">
        <v>0</v>
      </c>
      <c r="I17" s="100">
        <v>1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P17" t="str">
        <f t="shared" si="0"/>
        <v>Quality Control</v>
      </c>
      <c r="R17" s="62">
        <f t="shared" si="1"/>
        <v>900000</v>
      </c>
    </row>
    <row r="18" spans="1:18">
      <c r="B18" s="69" t="s">
        <v>197</v>
      </c>
      <c r="C18" s="99"/>
      <c r="D18" s="137"/>
      <c r="E18" s="39"/>
      <c r="F18" s="39"/>
      <c r="G18" s="39"/>
      <c r="H18" s="39"/>
      <c r="I18" s="39"/>
      <c r="J18" s="39"/>
      <c r="K18" s="39"/>
      <c r="L18" s="39"/>
      <c r="M18" s="39"/>
      <c r="N18" s="39"/>
      <c r="P18" t="str">
        <f t="shared" si="0"/>
        <v>(Add Position)</v>
      </c>
      <c r="R18" s="62">
        <f t="shared" si="1"/>
        <v>0</v>
      </c>
    </row>
    <row r="19" spans="1:18">
      <c r="B19" s="69" t="s">
        <v>197</v>
      </c>
      <c r="C19" s="99"/>
      <c r="D19" s="137"/>
      <c r="E19" s="39"/>
      <c r="F19" s="39"/>
      <c r="G19" s="39"/>
      <c r="H19" s="39"/>
      <c r="I19" s="39"/>
      <c r="J19" s="39"/>
      <c r="K19" s="39"/>
      <c r="L19" s="39"/>
      <c r="M19" s="39"/>
      <c r="N19" s="39"/>
      <c r="P19" t="str">
        <f t="shared" si="0"/>
        <v>(Add Position)</v>
      </c>
      <c r="R19" s="62">
        <f t="shared" si="1"/>
        <v>0</v>
      </c>
    </row>
    <row r="21" spans="1:18" ht="14.4" thickBot="1">
      <c r="P21" s="142" t="s">
        <v>201</v>
      </c>
      <c r="Q21" s="142"/>
      <c r="R21" s="143">
        <f>SUM(R9:R20)</f>
        <v>6960000</v>
      </c>
    </row>
    <row r="22" spans="1:18" ht="14.4" thickTop="1"/>
    <row r="23" spans="1:18">
      <c r="P23" s="5" t="s">
        <v>202</v>
      </c>
      <c r="Q23" s="5"/>
      <c r="R23" s="107">
        <f>+SUM(E9:E19)</f>
        <v>126</v>
      </c>
    </row>
    <row r="25" spans="1:18">
      <c r="P25" s="5" t="s">
        <v>203</v>
      </c>
    </row>
    <row r="26" spans="1:18">
      <c r="P26" s="93" t="s">
        <v>200</v>
      </c>
      <c r="R26" s="106">
        <f>+R21</f>
        <v>6960000</v>
      </c>
    </row>
    <row r="27" spans="1:18">
      <c r="P27" s="93" t="s">
        <v>204</v>
      </c>
      <c r="R27" s="62">
        <f>+R26*'Set Up Assumptions'!H49</f>
        <v>1392000</v>
      </c>
    </row>
    <row r="28" spans="1:18" ht="14.4" thickBot="1">
      <c r="P28" s="142" t="s">
        <v>205</v>
      </c>
      <c r="Q28" s="142"/>
      <c r="R28" s="143">
        <f>SUM(R26:R27)</f>
        <v>8352000</v>
      </c>
    </row>
    <row r="29" spans="1:18" ht="14.4" thickTop="1"/>
    <row r="30" spans="1:18">
      <c r="A30" s="116"/>
      <c r="B30" s="118" t="s">
        <v>207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83"/>
      <c r="P30" s="116"/>
      <c r="Q30" s="116"/>
      <c r="R30" s="116"/>
    </row>
    <row r="31" spans="1:18">
      <c r="B31" s="136" t="s">
        <v>185</v>
      </c>
      <c r="C31" s="138" t="s">
        <v>186</v>
      </c>
      <c r="D31" s="138"/>
      <c r="E31" s="188" t="s">
        <v>198</v>
      </c>
      <c r="F31" s="188"/>
      <c r="G31" s="188"/>
      <c r="H31" s="188"/>
      <c r="I31" s="188"/>
      <c r="J31" s="188"/>
      <c r="K31" s="188"/>
      <c r="L31" s="188"/>
      <c r="M31" s="188"/>
      <c r="N31" s="188"/>
      <c r="P31" s="5" t="s">
        <v>200</v>
      </c>
    </row>
    <row r="33" spans="2:18">
      <c r="B33" s="69" t="s">
        <v>208</v>
      </c>
      <c r="C33" s="99">
        <v>400000</v>
      </c>
      <c r="E33" s="100">
        <v>1</v>
      </c>
      <c r="F33" s="100">
        <v>0</v>
      </c>
      <c r="G33" s="100">
        <v>0</v>
      </c>
      <c r="H33" s="100">
        <v>0</v>
      </c>
      <c r="I33" s="100">
        <v>0</v>
      </c>
      <c r="J33" s="100">
        <v>0</v>
      </c>
      <c r="K33" s="100">
        <v>0</v>
      </c>
      <c r="L33" s="100">
        <v>0</v>
      </c>
      <c r="M33" s="100">
        <v>0</v>
      </c>
      <c r="N33" s="100">
        <v>0</v>
      </c>
      <c r="P33" t="str">
        <f>+B33</f>
        <v>General manager</v>
      </c>
      <c r="R33" s="106">
        <f>+C33*E33</f>
        <v>400000</v>
      </c>
    </row>
    <row r="34" spans="2:18">
      <c r="B34" s="69" t="s">
        <v>209</v>
      </c>
      <c r="C34" s="99">
        <v>200000</v>
      </c>
      <c r="E34" s="100">
        <v>1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P34" t="str">
        <f t="shared" ref="P34:P44" si="2">+B34</f>
        <v>CFO</v>
      </c>
      <c r="R34" s="106">
        <f t="shared" ref="R34:R44" si="3">+C34*E34</f>
        <v>200000</v>
      </c>
    </row>
    <row r="35" spans="2:18">
      <c r="B35" s="69" t="s">
        <v>210</v>
      </c>
      <c r="C35" s="99">
        <v>60000</v>
      </c>
      <c r="E35" s="100">
        <v>2</v>
      </c>
      <c r="F35" s="100">
        <v>0</v>
      </c>
      <c r="G35" s="100">
        <v>0</v>
      </c>
      <c r="H35" s="100">
        <v>1</v>
      </c>
      <c r="I35" s="100">
        <v>0</v>
      </c>
      <c r="J35" s="100">
        <v>0</v>
      </c>
      <c r="K35" s="100">
        <v>0</v>
      </c>
      <c r="L35" s="100">
        <v>1</v>
      </c>
      <c r="M35" s="100">
        <v>0</v>
      </c>
      <c r="N35" s="100">
        <v>0</v>
      </c>
      <c r="P35" t="str">
        <f t="shared" si="2"/>
        <v>Accounting Assistants</v>
      </c>
      <c r="R35" s="106">
        <f t="shared" si="3"/>
        <v>120000</v>
      </c>
    </row>
    <row r="36" spans="2:18">
      <c r="B36" s="69" t="s">
        <v>211</v>
      </c>
      <c r="C36" s="99">
        <v>200000</v>
      </c>
      <c r="E36" s="100">
        <v>1</v>
      </c>
      <c r="F36" s="100">
        <v>0</v>
      </c>
      <c r="G36" s="100">
        <v>0</v>
      </c>
      <c r="H36" s="100">
        <v>0</v>
      </c>
      <c r="I36" s="100">
        <v>0</v>
      </c>
      <c r="J36" s="100">
        <v>0</v>
      </c>
      <c r="K36" s="100">
        <v>0</v>
      </c>
      <c r="L36" s="100">
        <v>0</v>
      </c>
      <c r="M36" s="100">
        <v>0</v>
      </c>
      <c r="N36" s="100">
        <v>0</v>
      </c>
      <c r="P36" t="str">
        <f t="shared" si="2"/>
        <v>Sales Director</v>
      </c>
      <c r="R36" s="106">
        <f t="shared" si="3"/>
        <v>200000</v>
      </c>
    </row>
    <row r="37" spans="2:18">
      <c r="B37" s="69" t="s">
        <v>216</v>
      </c>
      <c r="C37" s="99">
        <v>90000</v>
      </c>
      <c r="E37" s="100">
        <v>2</v>
      </c>
      <c r="F37" s="100">
        <v>0</v>
      </c>
      <c r="G37" s="100">
        <v>2</v>
      </c>
      <c r="H37" s="100">
        <v>0</v>
      </c>
      <c r="I37" s="100">
        <v>0</v>
      </c>
      <c r="J37" s="100">
        <v>0</v>
      </c>
      <c r="K37" s="100">
        <v>2</v>
      </c>
      <c r="L37" s="100">
        <v>0</v>
      </c>
      <c r="M37" s="100">
        <v>0</v>
      </c>
      <c r="N37" s="100">
        <v>0</v>
      </c>
      <c r="P37" t="str">
        <f t="shared" si="2"/>
        <v>Sales Supervisor</v>
      </c>
      <c r="R37" s="106">
        <f t="shared" si="3"/>
        <v>180000</v>
      </c>
    </row>
    <row r="38" spans="2:18">
      <c r="B38" s="69" t="s">
        <v>212</v>
      </c>
      <c r="C38" s="99">
        <v>60000</v>
      </c>
      <c r="E38" s="100">
        <v>5</v>
      </c>
      <c r="F38" s="100">
        <v>0</v>
      </c>
      <c r="G38" s="100">
        <v>0</v>
      </c>
      <c r="H38" s="100">
        <v>3</v>
      </c>
      <c r="I38" s="100">
        <v>0</v>
      </c>
      <c r="J38" s="100">
        <v>1</v>
      </c>
      <c r="K38" s="100">
        <v>0</v>
      </c>
      <c r="L38" s="100">
        <v>1</v>
      </c>
      <c r="M38" s="100">
        <v>5</v>
      </c>
      <c r="N38" s="100">
        <v>0</v>
      </c>
      <c r="P38" t="str">
        <f t="shared" si="2"/>
        <v>Sales Assistants</v>
      </c>
      <c r="R38" s="106">
        <f t="shared" si="3"/>
        <v>300000</v>
      </c>
    </row>
    <row r="39" spans="2:18">
      <c r="B39" s="69" t="s">
        <v>213</v>
      </c>
      <c r="C39" s="99">
        <v>50000</v>
      </c>
      <c r="E39" s="100">
        <v>3</v>
      </c>
      <c r="F39" s="100">
        <v>0</v>
      </c>
      <c r="G39" s="100">
        <v>0</v>
      </c>
      <c r="H39" s="100">
        <v>0</v>
      </c>
      <c r="I39" s="100">
        <v>1</v>
      </c>
      <c r="J39" s="100">
        <v>0</v>
      </c>
      <c r="K39" s="100">
        <v>0</v>
      </c>
      <c r="L39" s="100">
        <v>0</v>
      </c>
      <c r="M39" s="100">
        <v>0</v>
      </c>
      <c r="N39" s="100">
        <v>0</v>
      </c>
      <c r="P39" t="str">
        <f t="shared" si="2"/>
        <v>Marketing Specialist</v>
      </c>
      <c r="R39" s="106">
        <f t="shared" si="3"/>
        <v>150000</v>
      </c>
    </row>
    <row r="40" spans="2:18">
      <c r="B40" s="69" t="s">
        <v>214</v>
      </c>
      <c r="C40" s="99">
        <v>140000</v>
      </c>
      <c r="E40" s="100">
        <v>1</v>
      </c>
      <c r="F40" s="100">
        <v>0</v>
      </c>
      <c r="G40" s="100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0</v>
      </c>
      <c r="P40" t="str">
        <f t="shared" si="2"/>
        <v>HR Director</v>
      </c>
      <c r="R40" s="106">
        <f t="shared" si="3"/>
        <v>140000</v>
      </c>
    </row>
    <row r="41" spans="2:18">
      <c r="B41" s="69" t="s">
        <v>215</v>
      </c>
      <c r="C41" s="99">
        <v>50000</v>
      </c>
      <c r="E41" s="100">
        <v>2</v>
      </c>
      <c r="F41" s="100">
        <v>0</v>
      </c>
      <c r="G41" s="100">
        <v>1</v>
      </c>
      <c r="H41" s="100">
        <v>0</v>
      </c>
      <c r="I41" s="100">
        <v>0</v>
      </c>
      <c r="J41" s="100">
        <v>0</v>
      </c>
      <c r="K41" s="100">
        <v>1</v>
      </c>
      <c r="L41" s="100">
        <v>0</v>
      </c>
      <c r="M41" s="100">
        <v>0</v>
      </c>
      <c r="N41" s="100">
        <v>0</v>
      </c>
      <c r="P41" t="str">
        <f t="shared" si="2"/>
        <v>HR Assistants</v>
      </c>
      <c r="R41" s="106">
        <f t="shared" si="3"/>
        <v>100000</v>
      </c>
    </row>
    <row r="42" spans="2:18">
      <c r="B42" s="69" t="s">
        <v>217</v>
      </c>
      <c r="C42" s="99">
        <v>40000</v>
      </c>
      <c r="E42" s="100">
        <v>2</v>
      </c>
      <c r="F42" s="99">
        <v>0</v>
      </c>
      <c r="G42" s="99">
        <v>0</v>
      </c>
      <c r="H42" s="99">
        <v>0</v>
      </c>
      <c r="I42" s="99">
        <v>0</v>
      </c>
      <c r="J42" s="99">
        <v>1</v>
      </c>
      <c r="K42" s="99">
        <v>0</v>
      </c>
      <c r="L42" s="99">
        <v>0</v>
      </c>
      <c r="M42" s="99">
        <v>0</v>
      </c>
      <c r="N42" s="99">
        <v>0</v>
      </c>
      <c r="P42" t="str">
        <f t="shared" si="2"/>
        <v>Admin Assistants</v>
      </c>
      <c r="R42" s="106">
        <f t="shared" si="3"/>
        <v>80000</v>
      </c>
    </row>
    <row r="43" spans="2:18">
      <c r="B43" s="69" t="s">
        <v>197</v>
      </c>
      <c r="C43" s="99"/>
      <c r="E43" s="39"/>
      <c r="F43" s="39"/>
      <c r="G43" s="39"/>
      <c r="H43" s="39"/>
      <c r="I43" s="39"/>
      <c r="J43" s="39"/>
      <c r="K43" s="39"/>
      <c r="L43" s="39"/>
      <c r="M43" s="39"/>
      <c r="N43" s="39"/>
      <c r="P43" t="str">
        <f t="shared" si="2"/>
        <v>(Add Position)</v>
      </c>
      <c r="R43" s="106">
        <f t="shared" si="3"/>
        <v>0</v>
      </c>
    </row>
    <row r="44" spans="2:18">
      <c r="B44" s="69" t="s">
        <v>197</v>
      </c>
      <c r="C44" s="99"/>
      <c r="E44" s="39"/>
      <c r="F44" s="39"/>
      <c r="G44" s="39"/>
      <c r="H44" s="39"/>
      <c r="I44" s="39"/>
      <c r="J44" s="39"/>
      <c r="K44" s="39"/>
      <c r="L44" s="39"/>
      <c r="M44" s="39"/>
      <c r="N44" s="39"/>
      <c r="P44" t="str">
        <f t="shared" si="2"/>
        <v>(Add Position)</v>
      </c>
      <c r="R44" s="106">
        <f t="shared" si="3"/>
        <v>0</v>
      </c>
    </row>
    <row r="45" spans="2:18" ht="14.4" thickBot="1">
      <c r="P45" s="142" t="s">
        <v>201</v>
      </c>
      <c r="Q45" s="142"/>
      <c r="R45" s="143">
        <f>SUM(R33:R44)</f>
        <v>1870000</v>
      </c>
    </row>
    <row r="46" spans="2:18" ht="14.4" thickTop="1"/>
    <row r="47" spans="2:18">
      <c r="P47" s="5" t="s">
        <v>202</v>
      </c>
      <c r="Q47" s="5"/>
      <c r="R47" s="107">
        <f>+SUM(E33:E44)</f>
        <v>20</v>
      </c>
    </row>
    <row r="49" spans="16:18">
      <c r="P49" s="5" t="s">
        <v>203</v>
      </c>
    </row>
    <row r="50" spans="16:18">
      <c r="P50" s="93" t="s">
        <v>200</v>
      </c>
      <c r="R50" s="106">
        <f>+R45</f>
        <v>1870000</v>
      </c>
    </row>
    <row r="51" spans="16:18">
      <c r="P51" s="93" t="s">
        <v>204</v>
      </c>
      <c r="R51" s="62">
        <f>+R50*'Set Up Assumptions'!H49</f>
        <v>374000</v>
      </c>
    </row>
    <row r="52" spans="16:18" ht="14.4" thickBot="1">
      <c r="P52" s="142" t="s">
        <v>205</v>
      </c>
      <c r="Q52" s="142"/>
      <c r="R52" s="143">
        <f>SUM(R50:R51)</f>
        <v>2244000</v>
      </c>
    </row>
    <row r="53" spans="16:18" ht="14.4" thickTop="1"/>
  </sheetData>
  <mergeCells count="5">
    <mergeCell ref="C4:N4"/>
    <mergeCell ref="E7:N7"/>
    <mergeCell ref="P2:R2"/>
    <mergeCell ref="P4:R4"/>
    <mergeCell ref="E31:N3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840-C72D-41FC-ACB8-AA622F4789AC}">
  <dimension ref="A2:U87"/>
  <sheetViews>
    <sheetView showGridLines="0" workbookViewId="0">
      <pane xSplit="1" ySplit="6" topLeftCell="B45" activePane="bottomRight" state="frozen"/>
      <selection pane="topRight" activeCell="B1" sqref="B1"/>
      <selection pane="bottomLeft" activeCell="A7" sqref="A7"/>
      <selection pane="bottomRight" activeCell="H2" sqref="H2:R6"/>
    </sheetView>
  </sheetViews>
  <sheetFormatPr defaultRowHeight="13.8"/>
  <cols>
    <col min="2" max="2" width="30.3984375" bestFit="1" customWidth="1"/>
    <col min="3" max="3" width="19.8984375" bestFit="1" customWidth="1"/>
    <col min="4" max="4" width="13" bestFit="1" customWidth="1"/>
    <col min="5" max="5" width="11.8984375" bestFit="1" customWidth="1"/>
    <col min="8" max="8" width="14" bestFit="1" customWidth="1"/>
    <col min="9" max="9" width="14.09765625" bestFit="1" customWidth="1"/>
    <col min="10" max="13" width="14.8984375" bestFit="1" customWidth="1"/>
    <col min="14" max="18" width="15" bestFit="1" customWidth="1"/>
    <col min="20" max="20" width="11" bestFit="1" customWidth="1"/>
  </cols>
  <sheetData>
    <row r="2" spans="1:18">
      <c r="B2" s="169" t="s">
        <v>218</v>
      </c>
      <c r="C2" s="169"/>
      <c r="D2" s="169"/>
      <c r="E2" s="169"/>
      <c r="F2" s="169"/>
      <c r="G2" s="169"/>
      <c r="I2" s="40">
        <v>2025</v>
      </c>
      <c r="J2" s="40">
        <v>2026</v>
      </c>
      <c r="K2" s="40">
        <v>2027</v>
      </c>
      <c r="L2" s="40">
        <v>2028</v>
      </c>
      <c r="M2" s="40">
        <v>2029</v>
      </c>
      <c r="N2" s="40">
        <v>2030</v>
      </c>
      <c r="O2" s="40">
        <v>2031</v>
      </c>
      <c r="P2" s="40">
        <v>2032</v>
      </c>
      <c r="Q2" s="40">
        <v>2033</v>
      </c>
      <c r="R2" s="40">
        <v>2034</v>
      </c>
    </row>
    <row r="3" spans="1:18">
      <c r="H3" s="27" t="s">
        <v>219</v>
      </c>
      <c r="I3" s="144">
        <v>45658</v>
      </c>
      <c r="J3" s="144">
        <v>46023</v>
      </c>
      <c r="K3" s="144">
        <v>46388</v>
      </c>
      <c r="L3" s="144">
        <v>46753</v>
      </c>
      <c r="M3" s="144">
        <v>47119</v>
      </c>
      <c r="N3" s="144">
        <v>47484</v>
      </c>
      <c r="O3" s="144">
        <v>47849</v>
      </c>
      <c r="P3" s="144">
        <v>48214</v>
      </c>
      <c r="Q3" s="144">
        <v>48580</v>
      </c>
      <c r="R3" s="144">
        <v>48945</v>
      </c>
    </row>
    <row r="4" spans="1:18">
      <c r="H4" s="27" t="s">
        <v>220</v>
      </c>
      <c r="I4" s="144">
        <v>46022</v>
      </c>
      <c r="J4" s="144">
        <v>46387</v>
      </c>
      <c r="K4" s="144">
        <v>46752</v>
      </c>
      <c r="L4" s="144">
        <v>47118</v>
      </c>
      <c r="M4" s="144">
        <v>47483</v>
      </c>
      <c r="N4" s="144">
        <v>47848</v>
      </c>
      <c r="O4" s="144">
        <v>48213</v>
      </c>
      <c r="P4" s="144">
        <v>48579</v>
      </c>
      <c r="Q4" s="144">
        <v>48944</v>
      </c>
      <c r="R4" s="144">
        <v>49309</v>
      </c>
    </row>
    <row r="5" spans="1:18">
      <c r="H5" s="27" t="s">
        <v>222</v>
      </c>
      <c r="I5" s="46">
        <f>+I4-I3+1</f>
        <v>365</v>
      </c>
      <c r="J5" s="46">
        <f t="shared" ref="J5:R5" si="0">+J4-J3+1</f>
        <v>365</v>
      </c>
      <c r="K5" s="46">
        <f t="shared" si="0"/>
        <v>365</v>
      </c>
      <c r="L5" s="46">
        <f t="shared" si="0"/>
        <v>366</v>
      </c>
      <c r="M5" s="46">
        <f t="shared" si="0"/>
        <v>365</v>
      </c>
      <c r="N5" s="46">
        <f t="shared" si="0"/>
        <v>365</v>
      </c>
      <c r="O5" s="46">
        <f t="shared" si="0"/>
        <v>365</v>
      </c>
      <c r="P5" s="46">
        <f t="shared" si="0"/>
        <v>366</v>
      </c>
      <c r="Q5" s="46">
        <f t="shared" si="0"/>
        <v>365</v>
      </c>
      <c r="R5" s="46">
        <f t="shared" si="0"/>
        <v>365</v>
      </c>
    </row>
    <row r="6" spans="1:18" s="5" customFormat="1">
      <c r="H6" s="27" t="s">
        <v>221</v>
      </c>
      <c r="I6" s="108" t="s">
        <v>174</v>
      </c>
      <c r="J6" s="108" t="s">
        <v>175</v>
      </c>
      <c r="K6" s="108" t="s">
        <v>176</v>
      </c>
      <c r="L6" s="108" t="s">
        <v>177</v>
      </c>
      <c r="M6" s="108" t="s">
        <v>178</v>
      </c>
      <c r="N6" s="108" t="s">
        <v>179</v>
      </c>
      <c r="O6" s="108" t="s">
        <v>180</v>
      </c>
      <c r="P6" s="108" t="s">
        <v>181</v>
      </c>
      <c r="Q6" s="108" t="s">
        <v>182</v>
      </c>
      <c r="R6" s="108" t="s">
        <v>183</v>
      </c>
    </row>
    <row r="7" spans="1:18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</row>
    <row r="8" spans="1:18">
      <c r="B8" s="5" t="s">
        <v>273</v>
      </c>
      <c r="C8" t="s">
        <v>223</v>
      </c>
      <c r="D8" s="146" t="s">
        <v>224</v>
      </c>
      <c r="H8" s="30"/>
    </row>
    <row r="9" spans="1:18">
      <c r="B9" t="str">
        <f>+B22</f>
        <v>R&amp;D</v>
      </c>
      <c r="H9" s="30" t="s">
        <v>35</v>
      </c>
      <c r="I9" s="62">
        <f>+I30</f>
        <v>88000000</v>
      </c>
      <c r="J9" s="62">
        <f t="shared" ref="J9:R9" si="1">+J30</f>
        <v>90640000</v>
      </c>
      <c r="K9" s="62">
        <f t="shared" si="1"/>
        <v>93359200</v>
      </c>
      <c r="L9" s="62">
        <f t="shared" si="1"/>
        <v>96159976</v>
      </c>
      <c r="M9" s="62">
        <f t="shared" si="1"/>
        <v>99044775.280000001</v>
      </c>
      <c r="N9" s="62">
        <f t="shared" si="1"/>
        <v>102016118.53840001</v>
      </c>
      <c r="O9" s="62">
        <f t="shared" si="1"/>
        <v>105076602.09455201</v>
      </c>
      <c r="P9" s="62">
        <f t="shared" si="1"/>
        <v>108228900.15738857</v>
      </c>
      <c r="Q9" s="62">
        <f t="shared" si="1"/>
        <v>111475767.16211024</v>
      </c>
      <c r="R9" s="62">
        <f t="shared" si="1"/>
        <v>114820040.17697355</v>
      </c>
    </row>
    <row r="10" spans="1:18">
      <c r="B10" t="str">
        <f>+B32</f>
        <v>Marketing</v>
      </c>
      <c r="H10" s="30" t="s">
        <v>35</v>
      </c>
      <c r="I10" s="62">
        <f>+I38</f>
        <v>2800000</v>
      </c>
      <c r="J10" s="62">
        <f t="shared" ref="J10:R10" si="2">+J38</f>
        <v>2884000</v>
      </c>
      <c r="K10" s="62">
        <f t="shared" si="2"/>
        <v>2970520</v>
      </c>
      <c r="L10" s="62">
        <f t="shared" si="2"/>
        <v>3059635.6</v>
      </c>
      <c r="M10" s="62">
        <f t="shared" si="2"/>
        <v>3151424.6680000005</v>
      </c>
      <c r="N10" s="62">
        <f t="shared" si="2"/>
        <v>3245967.4080400001</v>
      </c>
      <c r="O10" s="62">
        <f t="shared" si="2"/>
        <v>3343346.4302812</v>
      </c>
      <c r="P10" s="62">
        <f t="shared" si="2"/>
        <v>3443646.8231896358</v>
      </c>
      <c r="Q10" s="62">
        <f t="shared" si="2"/>
        <v>3546956.2278853254</v>
      </c>
      <c r="R10" s="62">
        <f t="shared" si="2"/>
        <v>3653364.9147218848</v>
      </c>
    </row>
    <row r="11" spans="1:18">
      <c r="B11" t="str">
        <f>+B40</f>
        <v>Offices Building Expenses</v>
      </c>
      <c r="H11" s="30" t="s">
        <v>35</v>
      </c>
      <c r="I11" s="62">
        <f>+I45</f>
        <v>60000</v>
      </c>
      <c r="J11" s="62">
        <f t="shared" ref="J11:R11" si="3">+J45</f>
        <v>61800</v>
      </c>
      <c r="K11" s="62">
        <f t="shared" si="3"/>
        <v>63654</v>
      </c>
      <c r="L11" s="62">
        <f t="shared" si="3"/>
        <v>65563.62</v>
      </c>
      <c r="M11" s="62">
        <f t="shared" si="3"/>
        <v>67530.528599999991</v>
      </c>
      <c r="N11" s="62">
        <f t="shared" si="3"/>
        <v>69556.444457999998</v>
      </c>
      <c r="O11" s="62">
        <f t="shared" si="3"/>
        <v>71643.137791739995</v>
      </c>
      <c r="P11" s="62">
        <f t="shared" si="3"/>
        <v>73792.431925492201</v>
      </c>
      <c r="Q11" s="62">
        <f t="shared" si="3"/>
        <v>76006.204883256971</v>
      </c>
      <c r="R11" s="62">
        <f t="shared" si="3"/>
        <v>78286.391029754683</v>
      </c>
    </row>
    <row r="12" spans="1:18">
      <c r="B12" t="str">
        <f>+B47</f>
        <v>I.T.</v>
      </c>
      <c r="H12" s="30" t="s">
        <v>35</v>
      </c>
      <c r="I12" s="62">
        <f>+I55</f>
        <v>100000</v>
      </c>
      <c r="J12" s="62">
        <f t="shared" ref="J12:R12" si="4">+J55</f>
        <v>103000</v>
      </c>
      <c r="K12" s="62">
        <f t="shared" si="4"/>
        <v>106090</v>
      </c>
      <c r="L12" s="62">
        <f t="shared" si="4"/>
        <v>109272.69999999998</v>
      </c>
      <c r="M12" s="62">
        <f t="shared" si="4"/>
        <v>112550.88099999998</v>
      </c>
      <c r="N12" s="62">
        <f t="shared" si="4"/>
        <v>115927.40742999999</v>
      </c>
      <c r="O12" s="62">
        <f t="shared" si="4"/>
        <v>119405.22965289999</v>
      </c>
      <c r="P12" s="62">
        <f t="shared" si="4"/>
        <v>122987.38654248702</v>
      </c>
      <c r="Q12" s="62">
        <f t="shared" si="4"/>
        <v>126677.00813876162</v>
      </c>
      <c r="R12" s="62">
        <f t="shared" si="4"/>
        <v>130477.31838292447</v>
      </c>
    </row>
    <row r="13" spans="1:18">
      <c r="B13" t="str">
        <f>+B57</f>
        <v>Repairs &amp; Maintenance</v>
      </c>
      <c r="H13" s="30" t="s">
        <v>35</v>
      </c>
      <c r="I13" s="62">
        <f>+I62</f>
        <v>0</v>
      </c>
      <c r="J13" s="62">
        <f t="shared" ref="J13:R13" si="5">+J62</f>
        <v>10000000</v>
      </c>
      <c r="K13" s="62">
        <f t="shared" si="5"/>
        <v>10320000</v>
      </c>
      <c r="L13" s="62">
        <f t="shared" si="5"/>
        <v>10629600</v>
      </c>
      <c r="M13" s="62">
        <f t="shared" si="5"/>
        <v>10948488</v>
      </c>
      <c r="N13" s="62">
        <f t="shared" si="5"/>
        <v>11276942.639999999</v>
      </c>
      <c r="O13" s="62">
        <f t="shared" si="5"/>
        <v>11615250.919200001</v>
      </c>
      <c r="P13" s="62">
        <f t="shared" si="5"/>
        <v>11963708.446776001</v>
      </c>
      <c r="Q13" s="62">
        <f t="shared" si="5"/>
        <v>12322619.700179281</v>
      </c>
      <c r="R13" s="62">
        <f t="shared" si="5"/>
        <v>12692298.29118466</v>
      </c>
    </row>
    <row r="14" spans="1:18">
      <c r="B14" t="str">
        <f>+B64</f>
        <v>Supplies</v>
      </c>
      <c r="H14" s="30" t="s">
        <v>35</v>
      </c>
      <c r="I14" s="62">
        <f>+I69</f>
        <v>30000</v>
      </c>
      <c r="J14" s="62">
        <f t="shared" ref="J14:R14" si="6">+J69</f>
        <v>30900</v>
      </c>
      <c r="K14" s="62">
        <f t="shared" si="6"/>
        <v>31827</v>
      </c>
      <c r="L14" s="62">
        <f t="shared" si="6"/>
        <v>32781.81</v>
      </c>
      <c r="M14" s="62">
        <f t="shared" si="6"/>
        <v>33765.264300000003</v>
      </c>
      <c r="N14" s="62">
        <f t="shared" si="6"/>
        <v>34778.222228999999</v>
      </c>
      <c r="O14" s="62">
        <f t="shared" si="6"/>
        <v>35821.568895869998</v>
      </c>
      <c r="P14" s="62">
        <f t="shared" si="6"/>
        <v>36896.215962746101</v>
      </c>
      <c r="Q14" s="62">
        <f t="shared" si="6"/>
        <v>38003.102441628485</v>
      </c>
      <c r="R14" s="62">
        <f t="shared" si="6"/>
        <v>39143.195514877341</v>
      </c>
    </row>
    <row r="15" spans="1:18">
      <c r="B15" t="str">
        <f>+B71</f>
        <v>Insurance</v>
      </c>
      <c r="H15" s="30" t="s">
        <v>35</v>
      </c>
      <c r="I15" s="62">
        <f>+I77</f>
        <v>320000</v>
      </c>
      <c r="J15" s="62">
        <f t="shared" ref="J15:R15" si="7">+J77</f>
        <v>329600</v>
      </c>
      <c r="K15" s="62">
        <f t="shared" si="7"/>
        <v>339488</v>
      </c>
      <c r="L15" s="62">
        <f t="shared" si="7"/>
        <v>349672.63999999996</v>
      </c>
      <c r="M15" s="62">
        <f t="shared" si="7"/>
        <v>360162.81919999997</v>
      </c>
      <c r="N15" s="62">
        <f t="shared" si="7"/>
        <v>370967.70377599995</v>
      </c>
      <c r="O15" s="62">
        <f t="shared" si="7"/>
        <v>382096.73488927999</v>
      </c>
      <c r="P15" s="62">
        <f t="shared" si="7"/>
        <v>393559.63693595841</v>
      </c>
      <c r="Q15" s="62">
        <f t="shared" si="7"/>
        <v>405366.42604403716</v>
      </c>
      <c r="R15" s="62">
        <f t="shared" si="7"/>
        <v>417527.41882535827</v>
      </c>
    </row>
    <row r="16" spans="1:18">
      <c r="B16" t="str">
        <f>+B79</f>
        <v>Miscellaneous</v>
      </c>
      <c r="H16" s="30" t="s">
        <v>35</v>
      </c>
      <c r="I16" s="62">
        <f>+I87</f>
        <v>3900000</v>
      </c>
      <c r="J16" s="62">
        <f t="shared" ref="J16:R16" si="8">+J87</f>
        <v>4017000</v>
      </c>
      <c r="K16" s="62">
        <f t="shared" si="8"/>
        <v>4137510</v>
      </c>
      <c r="L16" s="62">
        <f t="shared" si="8"/>
        <v>4261635.3000000007</v>
      </c>
      <c r="M16" s="62">
        <f t="shared" si="8"/>
        <v>4389484.3590000002</v>
      </c>
      <c r="N16" s="62">
        <f t="shared" si="8"/>
        <v>4521168.8897700002</v>
      </c>
      <c r="O16" s="62">
        <f t="shared" si="8"/>
        <v>4656803.9564631004</v>
      </c>
      <c r="P16" s="62">
        <f t="shared" si="8"/>
        <v>4796508.0751569932</v>
      </c>
      <c r="Q16" s="62">
        <f t="shared" si="8"/>
        <v>4940403.317411704</v>
      </c>
      <c r="R16" s="62">
        <f t="shared" si="8"/>
        <v>5088615.4169340543</v>
      </c>
    </row>
    <row r="17" spans="1:21">
      <c r="B17" t="s">
        <v>271</v>
      </c>
      <c r="C17" t="s">
        <v>272</v>
      </c>
      <c r="D17" s="82">
        <v>1E-4</v>
      </c>
      <c r="H17" s="30" t="s">
        <v>35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t="s">
        <v>274</v>
      </c>
    </row>
    <row r="18" spans="1:21">
      <c r="B18" s="14" t="s">
        <v>225</v>
      </c>
      <c r="C18" s="14"/>
      <c r="D18" s="14"/>
      <c r="E18" s="14"/>
      <c r="F18" s="14"/>
      <c r="G18" s="14"/>
      <c r="H18" s="76" t="s">
        <v>35</v>
      </c>
      <c r="I18" s="158">
        <f>SUM(I9:I17)</f>
        <v>95210000</v>
      </c>
      <c r="J18" s="158">
        <f t="shared" ref="J18:R18" si="9">SUM(J8:J17)</f>
        <v>108066300</v>
      </c>
      <c r="K18" s="158">
        <f t="shared" si="9"/>
        <v>111328289</v>
      </c>
      <c r="L18" s="158">
        <f t="shared" si="9"/>
        <v>114668137.67</v>
      </c>
      <c r="M18" s="158">
        <f t="shared" si="9"/>
        <v>118108181.8001</v>
      </c>
      <c r="N18" s="158">
        <f t="shared" si="9"/>
        <v>121651427.254103</v>
      </c>
      <c r="O18" s="158">
        <f t="shared" si="9"/>
        <v>125300970.07172611</v>
      </c>
      <c r="P18" s="158">
        <f t="shared" si="9"/>
        <v>129059999.17387788</v>
      </c>
      <c r="Q18" s="158">
        <f t="shared" si="9"/>
        <v>132931799.14909422</v>
      </c>
      <c r="R18" s="158">
        <f t="shared" si="9"/>
        <v>136919753.12356707</v>
      </c>
    </row>
    <row r="20" spans="1:21">
      <c r="T20">
        <f>216954360*0.01</f>
        <v>2169543.6</v>
      </c>
    </row>
    <row r="21" spans="1:21">
      <c r="B21" t="s">
        <v>26</v>
      </c>
      <c r="T21">
        <v>271457</v>
      </c>
      <c r="U21" s="145">
        <v>0.01</v>
      </c>
    </row>
    <row r="22" spans="1:21">
      <c r="A22" s="148" t="s">
        <v>1</v>
      </c>
      <c r="B22" s="149" t="s">
        <v>226</v>
      </c>
      <c r="C22" s="149" t="s">
        <v>233</v>
      </c>
      <c r="D22" s="149" t="s">
        <v>234</v>
      </c>
      <c r="E22" s="149" t="s">
        <v>235</v>
      </c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T22" s="159">
        <f>+(T21*U22)/U21</f>
        <v>2714570000</v>
      </c>
      <c r="U22" s="145">
        <v>100</v>
      </c>
    </row>
    <row r="23" spans="1:21">
      <c r="B23" s="93" t="s">
        <v>227</v>
      </c>
      <c r="C23" s="150">
        <v>40000000</v>
      </c>
      <c r="D23" s="151">
        <v>0.03</v>
      </c>
      <c r="E23" s="152">
        <v>2025</v>
      </c>
      <c r="I23" s="62">
        <f>+C23</f>
        <v>40000000</v>
      </c>
      <c r="J23" s="62">
        <f>+I23*(1+$D23)</f>
        <v>41200000</v>
      </c>
      <c r="K23" s="62">
        <f t="shared" ref="K23:R23" si="10">+J23*(1+$D$23)</f>
        <v>42436000</v>
      </c>
      <c r="L23" s="62">
        <f t="shared" si="10"/>
        <v>43709080</v>
      </c>
      <c r="M23" s="62">
        <f t="shared" si="10"/>
        <v>45020352.399999999</v>
      </c>
      <c r="N23" s="62">
        <f t="shared" si="10"/>
        <v>46370962.972000003</v>
      </c>
      <c r="O23" s="62">
        <f t="shared" si="10"/>
        <v>47762091.861160003</v>
      </c>
      <c r="P23" s="62">
        <f t="shared" si="10"/>
        <v>49194954.616994806</v>
      </c>
      <c r="Q23" s="62">
        <f t="shared" si="10"/>
        <v>50670803.255504653</v>
      </c>
      <c r="R23" s="62">
        <f t="shared" si="10"/>
        <v>52190927.353169791</v>
      </c>
    </row>
    <row r="24" spans="1:21">
      <c r="B24" s="93" t="s">
        <v>228</v>
      </c>
      <c r="C24" s="150">
        <v>8000000</v>
      </c>
      <c r="D24" s="151">
        <v>0.03</v>
      </c>
      <c r="E24" s="152">
        <v>2025</v>
      </c>
      <c r="I24" s="62">
        <f t="shared" ref="I24:I27" si="11">+C24</f>
        <v>8000000</v>
      </c>
      <c r="J24" s="62">
        <f>+I24*(1+$D24)</f>
        <v>8240000</v>
      </c>
      <c r="K24" s="62">
        <f t="shared" ref="K24:R24" si="12">+J24*(1+$D24)</f>
        <v>8487200</v>
      </c>
      <c r="L24" s="62">
        <f t="shared" si="12"/>
        <v>8741816</v>
      </c>
      <c r="M24" s="62">
        <f t="shared" si="12"/>
        <v>9004070.4800000004</v>
      </c>
      <c r="N24" s="62">
        <f t="shared" si="12"/>
        <v>9274192.5943999998</v>
      </c>
      <c r="O24" s="62">
        <f t="shared" si="12"/>
        <v>9552418.3722319994</v>
      </c>
      <c r="P24" s="62">
        <f t="shared" si="12"/>
        <v>9838990.9233989604</v>
      </c>
      <c r="Q24" s="62">
        <f t="shared" si="12"/>
        <v>10134160.65110093</v>
      </c>
      <c r="R24" s="62">
        <f t="shared" si="12"/>
        <v>10438185.470633958</v>
      </c>
      <c r="T24" s="61">
        <f>271193/2711929.5</f>
        <v>0.10000001843705746</v>
      </c>
    </row>
    <row r="25" spans="1:21">
      <c r="B25" s="93" t="s">
        <v>229</v>
      </c>
      <c r="C25" s="150">
        <v>15000000</v>
      </c>
      <c r="D25" s="151">
        <v>0.03</v>
      </c>
      <c r="E25" s="152">
        <v>2025</v>
      </c>
      <c r="I25" s="62">
        <f t="shared" si="11"/>
        <v>15000000</v>
      </c>
      <c r="J25" s="62">
        <f t="shared" ref="J25:R25" si="13">+I25*(1+$D25)</f>
        <v>15450000</v>
      </c>
      <c r="K25" s="62">
        <f t="shared" si="13"/>
        <v>15913500</v>
      </c>
      <c r="L25" s="62">
        <f t="shared" si="13"/>
        <v>16390905</v>
      </c>
      <c r="M25" s="62">
        <f t="shared" si="13"/>
        <v>16882632.150000002</v>
      </c>
      <c r="N25" s="62">
        <f t="shared" si="13"/>
        <v>17389111.114500001</v>
      </c>
      <c r="O25" s="62">
        <f t="shared" si="13"/>
        <v>17910784.447935</v>
      </c>
      <c r="P25" s="62">
        <f t="shared" si="13"/>
        <v>18448107.981373049</v>
      </c>
      <c r="Q25" s="62">
        <f t="shared" si="13"/>
        <v>19001551.220814243</v>
      </c>
      <c r="R25" s="62">
        <f t="shared" si="13"/>
        <v>19571597.757438671</v>
      </c>
    </row>
    <row r="26" spans="1:21">
      <c r="B26" s="93" t="s">
        <v>230</v>
      </c>
      <c r="C26" s="150">
        <v>20000000</v>
      </c>
      <c r="D26" s="151">
        <v>0.03</v>
      </c>
      <c r="E26" s="152">
        <v>2025</v>
      </c>
      <c r="I26" s="62">
        <f t="shared" si="11"/>
        <v>20000000</v>
      </c>
      <c r="J26" s="62">
        <f t="shared" ref="J26:R26" si="14">+I26*(1+$D26)</f>
        <v>20600000</v>
      </c>
      <c r="K26" s="62">
        <f t="shared" si="14"/>
        <v>21218000</v>
      </c>
      <c r="L26" s="62">
        <f t="shared" si="14"/>
        <v>21854540</v>
      </c>
      <c r="M26" s="62">
        <f t="shared" si="14"/>
        <v>22510176.199999999</v>
      </c>
      <c r="N26" s="62">
        <f t="shared" si="14"/>
        <v>23185481.486000001</v>
      </c>
      <c r="O26" s="62">
        <f t="shared" si="14"/>
        <v>23881045.930580001</v>
      </c>
      <c r="P26" s="62">
        <f t="shared" si="14"/>
        <v>24597477.308497403</v>
      </c>
      <c r="Q26" s="62">
        <f t="shared" si="14"/>
        <v>25335401.627752326</v>
      </c>
      <c r="R26" s="62">
        <f t="shared" si="14"/>
        <v>26095463.676584896</v>
      </c>
      <c r="T26">
        <v>2711929.5</v>
      </c>
    </row>
    <row r="27" spans="1:21">
      <c r="B27" s="93" t="s">
        <v>231</v>
      </c>
      <c r="C27" s="150">
        <v>5000000</v>
      </c>
      <c r="D27" s="151">
        <v>0.03</v>
      </c>
      <c r="E27" s="152">
        <v>2025</v>
      </c>
      <c r="I27" s="62">
        <f t="shared" si="11"/>
        <v>5000000</v>
      </c>
      <c r="J27" s="62">
        <f t="shared" ref="J27:R27" si="15">+I27*(1+$D27)</f>
        <v>5150000</v>
      </c>
      <c r="K27" s="62">
        <f t="shared" si="15"/>
        <v>5304500</v>
      </c>
      <c r="L27" s="62">
        <f t="shared" si="15"/>
        <v>5463635</v>
      </c>
      <c r="M27" s="62">
        <f t="shared" si="15"/>
        <v>5627544.0499999998</v>
      </c>
      <c r="N27" s="62">
        <f t="shared" si="15"/>
        <v>5796370.3715000004</v>
      </c>
      <c r="O27" s="62">
        <f t="shared" si="15"/>
        <v>5970261.4826450003</v>
      </c>
      <c r="P27" s="62">
        <f t="shared" si="15"/>
        <v>6149369.3271243507</v>
      </c>
      <c r="Q27" s="62">
        <f t="shared" si="15"/>
        <v>6333850.4069380816</v>
      </c>
      <c r="R27" s="62">
        <f t="shared" si="15"/>
        <v>6523865.9191462239</v>
      </c>
      <c r="T27">
        <v>271193</v>
      </c>
    </row>
    <row r="28" spans="1:21">
      <c r="B28" s="93" t="s">
        <v>232</v>
      </c>
      <c r="C28" s="153"/>
      <c r="D28" s="152"/>
      <c r="E28" s="152"/>
      <c r="I28" s="62">
        <f t="shared" ref="I28:I29" si="16">+C28</f>
        <v>0</v>
      </c>
      <c r="J28" s="62">
        <f t="shared" ref="J28:R28" si="17">+I28*(1+$D28)</f>
        <v>0</v>
      </c>
      <c r="K28" s="62">
        <f t="shared" si="17"/>
        <v>0</v>
      </c>
      <c r="L28" s="62">
        <f t="shared" si="17"/>
        <v>0</v>
      </c>
      <c r="M28" s="62">
        <f t="shared" si="17"/>
        <v>0</v>
      </c>
      <c r="N28" s="62">
        <f t="shared" si="17"/>
        <v>0</v>
      </c>
      <c r="O28" s="62">
        <f t="shared" si="17"/>
        <v>0</v>
      </c>
      <c r="P28" s="62">
        <f t="shared" si="17"/>
        <v>0</v>
      </c>
      <c r="Q28" s="62">
        <f t="shared" si="17"/>
        <v>0</v>
      </c>
      <c r="R28" s="62">
        <f t="shared" si="17"/>
        <v>0</v>
      </c>
      <c r="T28" s="160">
        <f>+T27/T26</f>
        <v>0.10000001843705746</v>
      </c>
    </row>
    <row r="29" spans="1:21">
      <c r="B29" s="93" t="s">
        <v>232</v>
      </c>
      <c r="C29" s="154"/>
      <c r="D29" s="154"/>
      <c r="E29" s="154"/>
      <c r="I29" s="62">
        <f t="shared" si="16"/>
        <v>0</v>
      </c>
      <c r="J29" s="62">
        <f t="shared" ref="J29:R29" si="18">+I29*(1+$D29)</f>
        <v>0</v>
      </c>
      <c r="K29" s="62">
        <f t="shared" si="18"/>
        <v>0</v>
      </c>
      <c r="L29" s="62">
        <f t="shared" si="18"/>
        <v>0</v>
      </c>
      <c r="M29" s="62">
        <f t="shared" si="18"/>
        <v>0</v>
      </c>
      <c r="N29" s="62">
        <f t="shared" si="18"/>
        <v>0</v>
      </c>
      <c r="O29" s="62">
        <f t="shared" si="18"/>
        <v>0</v>
      </c>
      <c r="P29" s="62">
        <f t="shared" si="18"/>
        <v>0</v>
      </c>
      <c r="Q29" s="62">
        <f t="shared" si="18"/>
        <v>0</v>
      </c>
      <c r="R29" s="62">
        <f t="shared" si="18"/>
        <v>0</v>
      </c>
    </row>
    <row r="30" spans="1:21" s="5" customFormat="1">
      <c r="B30" s="155" t="s">
        <v>236</v>
      </c>
      <c r="C30" s="95"/>
      <c r="D30" s="95"/>
      <c r="E30" s="95"/>
      <c r="F30" s="95"/>
      <c r="G30" s="95"/>
      <c r="H30" s="95"/>
      <c r="I30" s="96">
        <f>SUM(I23:I29)</f>
        <v>88000000</v>
      </c>
      <c r="J30" s="96">
        <f t="shared" ref="J30:R30" si="19">SUM(J23:J29)</f>
        <v>90640000</v>
      </c>
      <c r="K30" s="96">
        <f t="shared" si="19"/>
        <v>93359200</v>
      </c>
      <c r="L30" s="96">
        <f t="shared" si="19"/>
        <v>96159976</v>
      </c>
      <c r="M30" s="96">
        <f t="shared" si="19"/>
        <v>99044775.280000001</v>
      </c>
      <c r="N30" s="96">
        <f t="shared" si="19"/>
        <v>102016118.53840001</v>
      </c>
      <c r="O30" s="96">
        <f t="shared" si="19"/>
        <v>105076602.09455201</v>
      </c>
      <c r="P30" s="96">
        <f t="shared" si="19"/>
        <v>108228900.15738857</v>
      </c>
      <c r="Q30" s="96">
        <f t="shared" si="19"/>
        <v>111475767.16211024</v>
      </c>
      <c r="R30" s="96">
        <f t="shared" si="19"/>
        <v>114820040.17697355</v>
      </c>
    </row>
    <row r="32" spans="1:21">
      <c r="A32" s="148" t="s">
        <v>1</v>
      </c>
      <c r="B32" s="149" t="s">
        <v>237</v>
      </c>
      <c r="C32" s="149" t="s">
        <v>233</v>
      </c>
      <c r="D32" s="149" t="s">
        <v>234</v>
      </c>
      <c r="E32" s="149" t="s">
        <v>235</v>
      </c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</row>
    <row r="33" spans="1:18">
      <c r="B33" s="93" t="s">
        <v>238</v>
      </c>
      <c r="C33" s="150">
        <v>2000000</v>
      </c>
      <c r="D33" s="151">
        <v>0.03</v>
      </c>
      <c r="E33" s="152">
        <v>2025</v>
      </c>
      <c r="I33" s="62">
        <f>+C33</f>
        <v>2000000</v>
      </c>
      <c r="J33" s="62">
        <f>+I33*(1+$D33)</f>
        <v>2060000</v>
      </c>
      <c r="K33" s="62">
        <f t="shared" ref="K33:R33" si="20">+J33*(1+$D$23)</f>
        <v>2121800</v>
      </c>
      <c r="L33" s="62">
        <f t="shared" si="20"/>
        <v>2185454</v>
      </c>
      <c r="M33" s="62">
        <f t="shared" si="20"/>
        <v>2251017.62</v>
      </c>
      <c r="N33" s="62">
        <f t="shared" si="20"/>
        <v>2318548.1486</v>
      </c>
      <c r="O33" s="62">
        <f t="shared" si="20"/>
        <v>2388104.5930579999</v>
      </c>
      <c r="P33" s="62">
        <f t="shared" si="20"/>
        <v>2459747.7308497401</v>
      </c>
      <c r="Q33" s="62">
        <f t="shared" si="20"/>
        <v>2533540.1627752325</v>
      </c>
      <c r="R33" s="62">
        <f t="shared" si="20"/>
        <v>2609546.3676584894</v>
      </c>
    </row>
    <row r="34" spans="1:18">
      <c r="B34" s="93" t="s">
        <v>239</v>
      </c>
      <c r="C34" s="150">
        <v>300000</v>
      </c>
      <c r="D34" s="151">
        <v>0.03</v>
      </c>
      <c r="E34" s="152">
        <v>2025</v>
      </c>
      <c r="I34" s="62">
        <f t="shared" ref="I34:I35" si="21">+C34</f>
        <v>300000</v>
      </c>
      <c r="J34" s="62">
        <f>+I34*(1+$D34)</f>
        <v>309000</v>
      </c>
      <c r="K34" s="62">
        <f t="shared" ref="K34:R34" si="22">+J34*(1+$D34)</f>
        <v>318270</v>
      </c>
      <c r="L34" s="62">
        <f t="shared" si="22"/>
        <v>327818.10000000003</v>
      </c>
      <c r="M34" s="62">
        <f t="shared" si="22"/>
        <v>337652.64300000004</v>
      </c>
      <c r="N34" s="62">
        <f t="shared" si="22"/>
        <v>347782.22229000006</v>
      </c>
      <c r="O34" s="62">
        <f t="shared" si="22"/>
        <v>358215.68895870005</v>
      </c>
      <c r="P34" s="62">
        <f t="shared" si="22"/>
        <v>368962.15962746105</v>
      </c>
      <c r="Q34" s="62">
        <f t="shared" si="22"/>
        <v>380031.02441628487</v>
      </c>
      <c r="R34" s="62">
        <f t="shared" si="22"/>
        <v>391431.95514877344</v>
      </c>
    </row>
    <row r="35" spans="1:18">
      <c r="B35" s="93" t="s">
        <v>240</v>
      </c>
      <c r="C35" s="150">
        <v>500000</v>
      </c>
      <c r="D35" s="151">
        <v>0.03</v>
      </c>
      <c r="E35" s="152">
        <v>2025</v>
      </c>
      <c r="I35" s="62">
        <f t="shared" si="21"/>
        <v>500000</v>
      </c>
      <c r="J35" s="62">
        <f t="shared" ref="J35:R37" si="23">+I35*(1+$D35)</f>
        <v>515000</v>
      </c>
      <c r="K35" s="62">
        <f t="shared" si="23"/>
        <v>530450</v>
      </c>
      <c r="L35" s="62">
        <f t="shared" si="23"/>
        <v>546363.5</v>
      </c>
      <c r="M35" s="62">
        <f t="shared" si="23"/>
        <v>562754.40500000003</v>
      </c>
      <c r="N35" s="62">
        <f t="shared" si="23"/>
        <v>579637.03714999999</v>
      </c>
      <c r="O35" s="62">
        <f t="shared" si="23"/>
        <v>597026.14826449996</v>
      </c>
      <c r="P35" s="62">
        <f t="shared" si="23"/>
        <v>614936.93271243502</v>
      </c>
      <c r="Q35" s="62">
        <f t="shared" si="23"/>
        <v>633385.04069380811</v>
      </c>
      <c r="R35" s="62">
        <f t="shared" si="23"/>
        <v>652386.59191462235</v>
      </c>
    </row>
    <row r="36" spans="1:18">
      <c r="B36" s="93" t="s">
        <v>232</v>
      </c>
      <c r="C36" s="153"/>
      <c r="D36" s="152"/>
      <c r="E36" s="152"/>
      <c r="I36" s="62">
        <f t="shared" ref="I36:I37" si="24">+C36</f>
        <v>0</v>
      </c>
      <c r="J36" s="62">
        <f t="shared" si="23"/>
        <v>0</v>
      </c>
      <c r="K36" s="62">
        <f t="shared" si="23"/>
        <v>0</v>
      </c>
      <c r="L36" s="62">
        <f t="shared" si="23"/>
        <v>0</v>
      </c>
      <c r="M36" s="62">
        <f t="shared" si="23"/>
        <v>0</v>
      </c>
      <c r="N36" s="62">
        <f t="shared" si="23"/>
        <v>0</v>
      </c>
      <c r="O36" s="62">
        <f t="shared" si="23"/>
        <v>0</v>
      </c>
      <c r="P36" s="62">
        <f t="shared" si="23"/>
        <v>0</v>
      </c>
      <c r="Q36" s="62">
        <f t="shared" si="23"/>
        <v>0</v>
      </c>
      <c r="R36" s="62">
        <f t="shared" si="23"/>
        <v>0</v>
      </c>
    </row>
    <row r="37" spans="1:18">
      <c r="B37" s="93" t="s">
        <v>232</v>
      </c>
      <c r="C37" s="154"/>
      <c r="D37" s="154"/>
      <c r="E37" s="154"/>
      <c r="I37" s="62">
        <f t="shared" si="24"/>
        <v>0</v>
      </c>
      <c r="J37" s="62">
        <f t="shared" si="23"/>
        <v>0</v>
      </c>
      <c r="K37" s="62">
        <f t="shared" si="23"/>
        <v>0</v>
      </c>
      <c r="L37" s="62">
        <f t="shared" si="23"/>
        <v>0</v>
      </c>
      <c r="M37" s="62">
        <f t="shared" si="23"/>
        <v>0</v>
      </c>
      <c r="N37" s="62">
        <f t="shared" si="23"/>
        <v>0</v>
      </c>
      <c r="O37" s="62">
        <f t="shared" si="23"/>
        <v>0</v>
      </c>
      <c r="P37" s="62">
        <f t="shared" si="23"/>
        <v>0</v>
      </c>
      <c r="Q37" s="62">
        <f t="shared" si="23"/>
        <v>0</v>
      </c>
      <c r="R37" s="62">
        <f t="shared" si="23"/>
        <v>0</v>
      </c>
    </row>
    <row r="38" spans="1:18" s="5" customFormat="1">
      <c r="B38" s="147" t="s">
        <v>241</v>
      </c>
      <c r="C38" s="6"/>
      <c r="D38" s="6"/>
      <c r="E38" s="6"/>
      <c r="F38" s="6"/>
      <c r="G38" s="6"/>
      <c r="H38" s="6"/>
      <c r="I38" s="156">
        <f>SUM(I33:I37)</f>
        <v>2800000</v>
      </c>
      <c r="J38" s="156">
        <f t="shared" ref="J38:R38" si="25">SUM(J33:J37)</f>
        <v>2884000</v>
      </c>
      <c r="K38" s="156">
        <f t="shared" si="25"/>
        <v>2970520</v>
      </c>
      <c r="L38" s="156">
        <f t="shared" si="25"/>
        <v>3059635.6</v>
      </c>
      <c r="M38" s="156">
        <f t="shared" si="25"/>
        <v>3151424.6680000005</v>
      </c>
      <c r="N38" s="156">
        <f t="shared" si="25"/>
        <v>3245967.4080400001</v>
      </c>
      <c r="O38" s="156">
        <f t="shared" si="25"/>
        <v>3343346.4302812</v>
      </c>
      <c r="P38" s="156">
        <f t="shared" si="25"/>
        <v>3443646.8231896358</v>
      </c>
      <c r="Q38" s="156">
        <f t="shared" si="25"/>
        <v>3546956.2278853254</v>
      </c>
      <c r="R38" s="156">
        <f t="shared" si="25"/>
        <v>3653364.9147218848</v>
      </c>
    </row>
    <row r="40" spans="1:18">
      <c r="A40" s="148" t="s">
        <v>1</v>
      </c>
      <c r="B40" s="149" t="s">
        <v>242</v>
      </c>
      <c r="C40" s="149" t="s">
        <v>233</v>
      </c>
      <c r="D40" s="149" t="s">
        <v>234</v>
      </c>
      <c r="E40" s="149" t="s">
        <v>235</v>
      </c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</row>
    <row r="41" spans="1:18">
      <c r="B41" s="93" t="s">
        <v>243</v>
      </c>
      <c r="C41" s="150">
        <v>50000</v>
      </c>
      <c r="D41" s="151">
        <v>0.03</v>
      </c>
      <c r="E41" s="152">
        <v>2025</v>
      </c>
      <c r="I41" s="62">
        <f>+C41</f>
        <v>50000</v>
      </c>
      <c r="J41" s="62">
        <f>+I41*(1+$D41)</f>
        <v>51500</v>
      </c>
      <c r="K41" s="62">
        <f t="shared" ref="K41:R41" si="26">+J41*(1+$D$23)</f>
        <v>53045</v>
      </c>
      <c r="L41" s="62">
        <f t="shared" si="26"/>
        <v>54636.35</v>
      </c>
      <c r="M41" s="62">
        <f t="shared" si="26"/>
        <v>56275.440499999997</v>
      </c>
      <c r="N41" s="62">
        <f t="shared" si="26"/>
        <v>57963.703714999996</v>
      </c>
      <c r="O41" s="62">
        <f t="shared" si="26"/>
        <v>59702.614826450001</v>
      </c>
      <c r="P41" s="62">
        <f t="shared" si="26"/>
        <v>61493.693271243501</v>
      </c>
      <c r="Q41" s="62">
        <f t="shared" si="26"/>
        <v>63338.504069380804</v>
      </c>
      <c r="R41" s="62">
        <f t="shared" si="26"/>
        <v>65238.659191462233</v>
      </c>
    </row>
    <row r="42" spans="1:18">
      <c r="B42" s="93" t="s">
        <v>244</v>
      </c>
      <c r="C42" s="150">
        <v>10000</v>
      </c>
      <c r="D42" s="151">
        <v>0.03</v>
      </c>
      <c r="E42" s="152">
        <v>2025</v>
      </c>
      <c r="I42" s="62">
        <f t="shared" ref="I42:I44" si="27">+C42</f>
        <v>10000</v>
      </c>
      <c r="J42" s="62">
        <f>+I42*(1+$D42)</f>
        <v>10300</v>
      </c>
      <c r="K42" s="62">
        <f t="shared" ref="K42:R42" si="28">+J42*(1+$D42)</f>
        <v>10609</v>
      </c>
      <c r="L42" s="62">
        <f t="shared" si="28"/>
        <v>10927.27</v>
      </c>
      <c r="M42" s="62">
        <f t="shared" si="28"/>
        <v>11255.088100000001</v>
      </c>
      <c r="N42" s="62">
        <f t="shared" si="28"/>
        <v>11592.740743</v>
      </c>
      <c r="O42" s="62">
        <f t="shared" si="28"/>
        <v>11940.52296529</v>
      </c>
      <c r="P42" s="62">
        <f t="shared" si="28"/>
        <v>12298.7386542487</v>
      </c>
      <c r="Q42" s="62">
        <f t="shared" si="28"/>
        <v>12667.700813876161</v>
      </c>
      <c r="R42" s="62">
        <f t="shared" si="28"/>
        <v>13047.731838292446</v>
      </c>
    </row>
    <row r="43" spans="1:18">
      <c r="B43" s="93" t="s">
        <v>232</v>
      </c>
      <c r="C43" s="153"/>
      <c r="D43" s="152"/>
      <c r="E43" s="152"/>
      <c r="I43" s="62">
        <f t="shared" si="27"/>
        <v>0</v>
      </c>
      <c r="J43" s="62">
        <f t="shared" ref="J43:R43" si="29">+I43*(1+$D43)</f>
        <v>0</v>
      </c>
      <c r="K43" s="62">
        <f t="shared" si="29"/>
        <v>0</v>
      </c>
      <c r="L43" s="62">
        <f t="shared" si="29"/>
        <v>0</v>
      </c>
      <c r="M43" s="62">
        <f t="shared" si="29"/>
        <v>0</v>
      </c>
      <c r="N43" s="62">
        <f t="shared" si="29"/>
        <v>0</v>
      </c>
      <c r="O43" s="62">
        <f t="shared" si="29"/>
        <v>0</v>
      </c>
      <c r="P43" s="62">
        <f t="shared" si="29"/>
        <v>0</v>
      </c>
      <c r="Q43" s="62">
        <f t="shared" si="29"/>
        <v>0</v>
      </c>
      <c r="R43" s="62">
        <f t="shared" si="29"/>
        <v>0</v>
      </c>
    </row>
    <row r="44" spans="1:18">
      <c r="B44" s="93" t="s">
        <v>232</v>
      </c>
      <c r="C44" s="154"/>
      <c r="D44" s="154"/>
      <c r="E44" s="154"/>
      <c r="I44" s="62">
        <f t="shared" si="27"/>
        <v>0</v>
      </c>
      <c r="J44" s="62">
        <f t="shared" ref="J44:R44" si="30">+I44*(1+$D44)</f>
        <v>0</v>
      </c>
      <c r="K44" s="62">
        <f t="shared" si="30"/>
        <v>0</v>
      </c>
      <c r="L44" s="62">
        <f t="shared" si="30"/>
        <v>0</v>
      </c>
      <c r="M44" s="62">
        <f t="shared" si="30"/>
        <v>0</v>
      </c>
      <c r="N44" s="62">
        <f t="shared" si="30"/>
        <v>0</v>
      </c>
      <c r="O44" s="62">
        <f t="shared" si="30"/>
        <v>0</v>
      </c>
      <c r="P44" s="62">
        <f t="shared" si="30"/>
        <v>0</v>
      </c>
      <c r="Q44" s="62">
        <f t="shared" si="30"/>
        <v>0</v>
      </c>
      <c r="R44" s="62">
        <f t="shared" si="30"/>
        <v>0</v>
      </c>
    </row>
    <row r="45" spans="1:18" s="5" customFormat="1">
      <c r="B45" s="147" t="s">
        <v>254</v>
      </c>
      <c r="C45" s="6"/>
      <c r="D45" s="6"/>
      <c r="E45" s="6"/>
      <c r="F45" s="6"/>
      <c r="G45" s="6"/>
      <c r="H45" s="6"/>
      <c r="I45" s="156">
        <f t="shared" ref="I45:R45" si="31">SUM(I41:I44)</f>
        <v>60000</v>
      </c>
      <c r="J45" s="156">
        <f t="shared" si="31"/>
        <v>61800</v>
      </c>
      <c r="K45" s="156">
        <f t="shared" si="31"/>
        <v>63654</v>
      </c>
      <c r="L45" s="156">
        <f t="shared" si="31"/>
        <v>65563.62</v>
      </c>
      <c r="M45" s="156">
        <f t="shared" si="31"/>
        <v>67530.528599999991</v>
      </c>
      <c r="N45" s="156">
        <f t="shared" si="31"/>
        <v>69556.444457999998</v>
      </c>
      <c r="O45" s="156">
        <f t="shared" si="31"/>
        <v>71643.137791739995</v>
      </c>
      <c r="P45" s="156">
        <f t="shared" si="31"/>
        <v>73792.431925492201</v>
      </c>
      <c r="Q45" s="156">
        <f t="shared" si="31"/>
        <v>76006.204883256971</v>
      </c>
      <c r="R45" s="156">
        <f t="shared" si="31"/>
        <v>78286.391029754683</v>
      </c>
    </row>
    <row r="47" spans="1:18">
      <c r="A47" s="148" t="s">
        <v>1</v>
      </c>
      <c r="B47" s="149" t="s">
        <v>245</v>
      </c>
      <c r="C47" s="149" t="s">
        <v>233</v>
      </c>
      <c r="D47" s="149" t="s">
        <v>234</v>
      </c>
      <c r="E47" s="149" t="s">
        <v>235</v>
      </c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</row>
    <row r="48" spans="1:18">
      <c r="B48" s="93" t="s">
        <v>246</v>
      </c>
      <c r="C48" s="150">
        <v>10000</v>
      </c>
      <c r="D48" s="151">
        <v>0.03</v>
      </c>
      <c r="E48" s="152">
        <v>2025</v>
      </c>
      <c r="I48" s="62">
        <f>+C48</f>
        <v>10000</v>
      </c>
      <c r="J48" s="62">
        <f>+I48*(1+$D48)</f>
        <v>10300</v>
      </c>
      <c r="K48" s="62">
        <f t="shared" ref="K48:R48" si="32">+J48*(1+$D$23)</f>
        <v>10609</v>
      </c>
      <c r="L48" s="62">
        <f t="shared" si="32"/>
        <v>10927.27</v>
      </c>
      <c r="M48" s="62">
        <f t="shared" si="32"/>
        <v>11255.088100000001</v>
      </c>
      <c r="N48" s="62">
        <f t="shared" si="32"/>
        <v>11592.740743</v>
      </c>
      <c r="O48" s="62">
        <f t="shared" si="32"/>
        <v>11940.52296529</v>
      </c>
      <c r="P48" s="62">
        <f t="shared" si="32"/>
        <v>12298.7386542487</v>
      </c>
      <c r="Q48" s="62">
        <f t="shared" si="32"/>
        <v>12667.700813876161</v>
      </c>
      <c r="R48" s="62">
        <f t="shared" si="32"/>
        <v>13047.731838292446</v>
      </c>
    </row>
    <row r="49" spans="1:18">
      <c r="B49" s="93" t="s">
        <v>247</v>
      </c>
      <c r="C49" s="150">
        <v>50000</v>
      </c>
      <c r="D49" s="151">
        <v>0.03</v>
      </c>
      <c r="E49" s="152">
        <v>2025</v>
      </c>
      <c r="I49" s="62">
        <f t="shared" ref="I49:I51" si="33">+C49</f>
        <v>50000</v>
      </c>
      <c r="J49" s="62">
        <f>+I49*(1+$D49)</f>
        <v>51500</v>
      </c>
      <c r="K49" s="62">
        <f t="shared" ref="K49:R49" si="34">+J49*(1+$D49)</f>
        <v>53045</v>
      </c>
      <c r="L49" s="62">
        <f t="shared" si="34"/>
        <v>54636.35</v>
      </c>
      <c r="M49" s="62">
        <f t="shared" si="34"/>
        <v>56275.440499999997</v>
      </c>
      <c r="N49" s="62">
        <f t="shared" si="34"/>
        <v>57963.703714999996</v>
      </c>
      <c r="O49" s="62">
        <f t="shared" si="34"/>
        <v>59702.614826450001</v>
      </c>
      <c r="P49" s="62">
        <f t="shared" si="34"/>
        <v>61493.693271243501</v>
      </c>
      <c r="Q49" s="62">
        <f t="shared" si="34"/>
        <v>63338.504069380804</v>
      </c>
      <c r="R49" s="62">
        <f t="shared" si="34"/>
        <v>65238.659191462233</v>
      </c>
    </row>
    <row r="50" spans="1:18">
      <c r="B50" s="93" t="s">
        <v>248</v>
      </c>
      <c r="C50" s="150">
        <v>5000</v>
      </c>
      <c r="D50" s="151">
        <v>0.03</v>
      </c>
      <c r="E50" s="152">
        <v>2025</v>
      </c>
      <c r="I50" s="62">
        <f t="shared" si="33"/>
        <v>5000</v>
      </c>
      <c r="J50" s="62">
        <f t="shared" ref="J50:R52" si="35">+I50*(1+$D50)</f>
        <v>5150</v>
      </c>
      <c r="K50" s="62">
        <f t="shared" si="35"/>
        <v>5304.5</v>
      </c>
      <c r="L50" s="62">
        <f t="shared" si="35"/>
        <v>5463.6350000000002</v>
      </c>
      <c r="M50" s="62">
        <f t="shared" si="35"/>
        <v>5627.5440500000004</v>
      </c>
      <c r="N50" s="62">
        <f t="shared" si="35"/>
        <v>5796.3703715000001</v>
      </c>
      <c r="O50" s="62">
        <f t="shared" si="35"/>
        <v>5970.2614826449999</v>
      </c>
      <c r="P50" s="62">
        <f t="shared" si="35"/>
        <v>6149.3693271243501</v>
      </c>
      <c r="Q50" s="62">
        <f t="shared" si="35"/>
        <v>6333.8504069380806</v>
      </c>
      <c r="R50" s="62">
        <f t="shared" si="35"/>
        <v>6523.865919146223</v>
      </c>
    </row>
    <row r="51" spans="1:18">
      <c r="B51" s="93" t="s">
        <v>249</v>
      </c>
      <c r="C51" s="150">
        <v>5000</v>
      </c>
      <c r="D51" s="151">
        <v>0.03</v>
      </c>
      <c r="E51" s="152">
        <v>2025</v>
      </c>
      <c r="I51" s="62">
        <f t="shared" si="33"/>
        <v>5000</v>
      </c>
      <c r="J51" s="62">
        <f t="shared" ref="J51:R51" si="36">+I51*(1+$D51)</f>
        <v>5150</v>
      </c>
      <c r="K51" s="62">
        <f t="shared" si="36"/>
        <v>5304.5</v>
      </c>
      <c r="L51" s="62">
        <f t="shared" si="36"/>
        <v>5463.6350000000002</v>
      </c>
      <c r="M51" s="62">
        <f t="shared" si="36"/>
        <v>5627.5440500000004</v>
      </c>
      <c r="N51" s="62">
        <f t="shared" si="36"/>
        <v>5796.3703715000001</v>
      </c>
      <c r="O51" s="62">
        <f t="shared" si="36"/>
        <v>5970.2614826449999</v>
      </c>
      <c r="P51" s="62">
        <f t="shared" si="36"/>
        <v>6149.3693271243501</v>
      </c>
      <c r="Q51" s="62">
        <f t="shared" si="36"/>
        <v>6333.8504069380806</v>
      </c>
      <c r="R51" s="62">
        <f t="shared" si="36"/>
        <v>6523.865919146223</v>
      </c>
    </row>
    <row r="52" spans="1:18">
      <c r="B52" s="93" t="s">
        <v>250</v>
      </c>
      <c r="C52" s="150">
        <v>30000</v>
      </c>
      <c r="D52" s="151">
        <v>0.03</v>
      </c>
      <c r="E52" s="152">
        <v>2025</v>
      </c>
      <c r="I52" s="62">
        <f t="shared" ref="I52" si="37">+C52</f>
        <v>30000</v>
      </c>
      <c r="J52" s="62">
        <f t="shared" si="35"/>
        <v>30900</v>
      </c>
      <c r="K52" s="62">
        <f t="shared" si="35"/>
        <v>31827</v>
      </c>
      <c r="L52" s="62">
        <f t="shared" si="35"/>
        <v>32781.81</v>
      </c>
      <c r="M52" s="62">
        <f t="shared" si="35"/>
        <v>33765.264299999995</v>
      </c>
      <c r="N52" s="62">
        <f t="shared" si="35"/>
        <v>34778.222228999999</v>
      </c>
      <c r="O52" s="62">
        <f t="shared" si="35"/>
        <v>35821.568895869998</v>
      </c>
      <c r="P52" s="62">
        <f t="shared" si="35"/>
        <v>36896.215962746101</v>
      </c>
      <c r="Q52" s="62">
        <f t="shared" si="35"/>
        <v>38003.102441628485</v>
      </c>
      <c r="R52" s="62">
        <f t="shared" si="35"/>
        <v>39143.195514877341</v>
      </c>
    </row>
    <row r="53" spans="1:18">
      <c r="B53" s="93" t="s">
        <v>232</v>
      </c>
      <c r="C53" s="154"/>
      <c r="D53" s="154"/>
      <c r="E53" s="154"/>
      <c r="I53" s="62">
        <f t="shared" ref="I53:I54" si="38">+C53</f>
        <v>0</v>
      </c>
      <c r="J53" s="62">
        <f t="shared" ref="J53:R54" si="39">+I53*(1+$D53)</f>
        <v>0</v>
      </c>
      <c r="K53" s="62">
        <f t="shared" si="39"/>
        <v>0</v>
      </c>
      <c r="L53" s="62">
        <f t="shared" si="39"/>
        <v>0</v>
      </c>
      <c r="M53" s="62">
        <f t="shared" si="39"/>
        <v>0</v>
      </c>
      <c r="N53" s="62">
        <f t="shared" si="39"/>
        <v>0</v>
      </c>
      <c r="O53" s="62">
        <f t="shared" si="39"/>
        <v>0</v>
      </c>
      <c r="P53" s="62">
        <f t="shared" si="39"/>
        <v>0</v>
      </c>
      <c r="Q53" s="62">
        <f t="shared" si="39"/>
        <v>0</v>
      </c>
      <c r="R53" s="62">
        <f t="shared" si="39"/>
        <v>0</v>
      </c>
    </row>
    <row r="54" spans="1:18">
      <c r="B54" s="93" t="s">
        <v>232</v>
      </c>
      <c r="C54" s="154"/>
      <c r="D54" s="154"/>
      <c r="E54" s="154"/>
      <c r="I54" s="62">
        <f t="shared" si="38"/>
        <v>0</v>
      </c>
      <c r="J54" s="62">
        <f t="shared" si="39"/>
        <v>0</v>
      </c>
      <c r="K54" s="62">
        <f t="shared" si="39"/>
        <v>0</v>
      </c>
      <c r="L54" s="62">
        <f t="shared" si="39"/>
        <v>0</v>
      </c>
      <c r="M54" s="62">
        <f t="shared" si="39"/>
        <v>0</v>
      </c>
      <c r="N54" s="62">
        <f t="shared" si="39"/>
        <v>0</v>
      </c>
      <c r="O54" s="62">
        <f t="shared" si="39"/>
        <v>0</v>
      </c>
      <c r="P54" s="62">
        <f t="shared" si="39"/>
        <v>0</v>
      </c>
      <c r="Q54" s="62">
        <f t="shared" si="39"/>
        <v>0</v>
      </c>
      <c r="R54" s="62">
        <f t="shared" si="39"/>
        <v>0</v>
      </c>
    </row>
    <row r="55" spans="1:18" s="5" customFormat="1">
      <c r="B55" s="147" t="s">
        <v>255</v>
      </c>
      <c r="C55" s="6"/>
      <c r="D55" s="6"/>
      <c r="E55" s="6"/>
      <c r="F55" s="6"/>
      <c r="G55" s="6"/>
      <c r="H55" s="6"/>
      <c r="I55" s="156">
        <f t="shared" ref="I55:R55" si="40">SUM(I48:I54)</f>
        <v>100000</v>
      </c>
      <c r="J55" s="156">
        <f t="shared" si="40"/>
        <v>103000</v>
      </c>
      <c r="K55" s="156">
        <f t="shared" si="40"/>
        <v>106090</v>
      </c>
      <c r="L55" s="156">
        <f t="shared" si="40"/>
        <v>109272.69999999998</v>
      </c>
      <c r="M55" s="156">
        <f t="shared" si="40"/>
        <v>112550.88099999998</v>
      </c>
      <c r="N55" s="156">
        <f t="shared" si="40"/>
        <v>115927.40742999999</v>
      </c>
      <c r="O55" s="156">
        <f t="shared" si="40"/>
        <v>119405.22965289999</v>
      </c>
      <c r="P55" s="156">
        <f t="shared" si="40"/>
        <v>122987.38654248702</v>
      </c>
      <c r="Q55" s="156">
        <f t="shared" si="40"/>
        <v>126677.00813876162</v>
      </c>
      <c r="R55" s="156">
        <f t="shared" si="40"/>
        <v>130477.31838292447</v>
      </c>
    </row>
    <row r="57" spans="1:18">
      <c r="A57" s="148" t="s">
        <v>1</v>
      </c>
      <c r="B57" s="149" t="s">
        <v>251</v>
      </c>
      <c r="C57" s="149" t="s">
        <v>233</v>
      </c>
      <c r="D57" s="149" t="s">
        <v>234</v>
      </c>
      <c r="E57" s="149" t="s">
        <v>235</v>
      </c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</row>
    <row r="58" spans="1:18">
      <c r="B58" s="93" t="s">
        <v>252</v>
      </c>
      <c r="C58" s="150">
        <v>10000000</v>
      </c>
      <c r="D58" s="151">
        <v>0.03</v>
      </c>
      <c r="E58" s="152">
        <v>2026</v>
      </c>
      <c r="I58" s="62">
        <v>0</v>
      </c>
      <c r="J58" s="62">
        <f>+C58</f>
        <v>10000000</v>
      </c>
      <c r="K58" s="62">
        <f>+J58*(1+$D58)</f>
        <v>10300000</v>
      </c>
      <c r="L58" s="62">
        <f t="shared" ref="L58:R59" si="41">+K58*(1+$D58)</f>
        <v>10609000</v>
      </c>
      <c r="M58" s="62">
        <f t="shared" si="41"/>
        <v>10927270</v>
      </c>
      <c r="N58" s="62">
        <f t="shared" si="41"/>
        <v>11255088.1</v>
      </c>
      <c r="O58" s="62">
        <f t="shared" si="41"/>
        <v>11592740.743000001</v>
      </c>
      <c r="P58" s="62">
        <f t="shared" si="41"/>
        <v>11940522.965290001</v>
      </c>
      <c r="Q58" s="62">
        <f t="shared" si="41"/>
        <v>12298738.654248701</v>
      </c>
      <c r="R58" s="62">
        <f t="shared" si="41"/>
        <v>12667700.813876163</v>
      </c>
    </row>
    <row r="59" spans="1:18">
      <c r="B59" s="93" t="s">
        <v>253</v>
      </c>
      <c r="C59" s="150">
        <v>20000</v>
      </c>
      <c r="D59" s="151">
        <v>0.03</v>
      </c>
      <c r="E59" s="152">
        <v>2027</v>
      </c>
      <c r="I59" s="62">
        <v>0</v>
      </c>
      <c r="J59" s="62">
        <v>0</v>
      </c>
      <c r="K59" s="62">
        <f>+C59</f>
        <v>20000</v>
      </c>
      <c r="L59" s="62">
        <f t="shared" si="41"/>
        <v>20600</v>
      </c>
      <c r="M59" s="62">
        <f t="shared" ref="M59:R59" si="42">+L59*(1+$D59)</f>
        <v>21218</v>
      </c>
      <c r="N59" s="62">
        <f t="shared" si="42"/>
        <v>21854.54</v>
      </c>
      <c r="O59" s="62">
        <f t="shared" si="42"/>
        <v>22510.176200000002</v>
      </c>
      <c r="P59" s="62">
        <f t="shared" si="42"/>
        <v>23185.481486000001</v>
      </c>
      <c r="Q59" s="62">
        <f t="shared" si="42"/>
        <v>23881.04593058</v>
      </c>
      <c r="R59" s="62">
        <f t="shared" si="42"/>
        <v>24597.4773084974</v>
      </c>
    </row>
    <row r="60" spans="1:18">
      <c r="B60" s="93" t="s">
        <v>232</v>
      </c>
      <c r="C60" s="154"/>
      <c r="D60" s="154"/>
      <c r="E60" s="154"/>
      <c r="I60" s="62">
        <f t="shared" ref="I60:I61" si="43">+C60</f>
        <v>0</v>
      </c>
      <c r="J60" s="62">
        <f t="shared" ref="J60:R60" si="44">+I60*(1+$D60)</f>
        <v>0</v>
      </c>
      <c r="K60" s="62">
        <f t="shared" si="44"/>
        <v>0</v>
      </c>
      <c r="L60" s="62">
        <f t="shared" si="44"/>
        <v>0</v>
      </c>
      <c r="M60" s="62">
        <f t="shared" si="44"/>
        <v>0</v>
      </c>
      <c r="N60" s="62">
        <f t="shared" si="44"/>
        <v>0</v>
      </c>
      <c r="O60" s="62">
        <f t="shared" si="44"/>
        <v>0</v>
      </c>
      <c r="P60" s="62">
        <f t="shared" si="44"/>
        <v>0</v>
      </c>
      <c r="Q60" s="62">
        <f t="shared" si="44"/>
        <v>0</v>
      </c>
      <c r="R60" s="62">
        <f t="shared" si="44"/>
        <v>0</v>
      </c>
    </row>
    <row r="61" spans="1:18">
      <c r="B61" s="93" t="s">
        <v>232</v>
      </c>
      <c r="C61" s="154"/>
      <c r="D61" s="154"/>
      <c r="E61" s="154"/>
      <c r="I61" s="62">
        <f t="shared" si="43"/>
        <v>0</v>
      </c>
      <c r="J61" s="62">
        <f t="shared" ref="J61:R61" si="45">+I61*(1+$D61)</f>
        <v>0</v>
      </c>
      <c r="K61" s="62">
        <f t="shared" si="45"/>
        <v>0</v>
      </c>
      <c r="L61" s="62">
        <f t="shared" si="45"/>
        <v>0</v>
      </c>
      <c r="M61" s="62">
        <f t="shared" si="45"/>
        <v>0</v>
      </c>
      <c r="N61" s="62">
        <f t="shared" si="45"/>
        <v>0</v>
      </c>
      <c r="O61" s="62">
        <f t="shared" si="45"/>
        <v>0</v>
      </c>
      <c r="P61" s="62">
        <f t="shared" si="45"/>
        <v>0</v>
      </c>
      <c r="Q61" s="62">
        <f t="shared" si="45"/>
        <v>0</v>
      </c>
      <c r="R61" s="62">
        <f t="shared" si="45"/>
        <v>0</v>
      </c>
    </row>
    <row r="62" spans="1:18" s="5" customFormat="1">
      <c r="B62" s="147" t="s">
        <v>256</v>
      </c>
      <c r="C62" s="6"/>
      <c r="D62" s="6"/>
      <c r="E62" s="6"/>
      <c r="F62" s="6"/>
      <c r="G62" s="6"/>
      <c r="H62" s="6"/>
      <c r="I62" s="96">
        <f t="shared" ref="I62:R62" si="46">SUM(I58:I61)</f>
        <v>0</v>
      </c>
      <c r="J62" s="96">
        <f t="shared" si="46"/>
        <v>10000000</v>
      </c>
      <c r="K62" s="96">
        <f t="shared" si="46"/>
        <v>10320000</v>
      </c>
      <c r="L62" s="96">
        <f t="shared" si="46"/>
        <v>10629600</v>
      </c>
      <c r="M62" s="96">
        <f t="shared" si="46"/>
        <v>10948488</v>
      </c>
      <c r="N62" s="96">
        <f t="shared" si="46"/>
        <v>11276942.639999999</v>
      </c>
      <c r="O62" s="96">
        <f t="shared" si="46"/>
        <v>11615250.919200001</v>
      </c>
      <c r="P62" s="96">
        <f t="shared" si="46"/>
        <v>11963708.446776001</v>
      </c>
      <c r="Q62" s="96">
        <f t="shared" si="46"/>
        <v>12322619.700179281</v>
      </c>
      <c r="R62" s="96">
        <f t="shared" si="46"/>
        <v>12692298.29118466</v>
      </c>
    </row>
    <row r="64" spans="1:18">
      <c r="A64" s="148" t="s">
        <v>1</v>
      </c>
      <c r="B64" s="149" t="s">
        <v>257</v>
      </c>
      <c r="C64" s="149" t="s">
        <v>233</v>
      </c>
      <c r="D64" s="149" t="s">
        <v>234</v>
      </c>
      <c r="E64" s="149" t="s">
        <v>235</v>
      </c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</row>
    <row r="65" spans="1:18">
      <c r="B65" s="93" t="s">
        <v>253</v>
      </c>
      <c r="C65" s="150">
        <v>10000</v>
      </c>
      <c r="D65" s="151">
        <v>0.03</v>
      </c>
      <c r="E65" s="152">
        <v>2025</v>
      </c>
      <c r="I65" s="62">
        <f>+C65</f>
        <v>10000</v>
      </c>
      <c r="J65" s="62">
        <f>+I65*(1+$D65)</f>
        <v>10300</v>
      </c>
      <c r="K65" s="62">
        <f t="shared" ref="K65:R66" si="47">+J65*(1+$D$23)</f>
        <v>10609</v>
      </c>
      <c r="L65" s="62">
        <f t="shared" si="47"/>
        <v>10927.27</v>
      </c>
      <c r="M65" s="62">
        <f t="shared" si="47"/>
        <v>11255.088100000001</v>
      </c>
      <c r="N65" s="62">
        <f t="shared" si="47"/>
        <v>11592.740743</v>
      </c>
      <c r="O65" s="62">
        <f t="shared" si="47"/>
        <v>11940.52296529</v>
      </c>
      <c r="P65" s="62">
        <f t="shared" si="47"/>
        <v>12298.7386542487</v>
      </c>
      <c r="Q65" s="62">
        <f t="shared" si="47"/>
        <v>12667.700813876161</v>
      </c>
      <c r="R65" s="62">
        <f t="shared" si="47"/>
        <v>13047.731838292446</v>
      </c>
    </row>
    <row r="66" spans="1:18">
      <c r="B66" s="93" t="s">
        <v>59</v>
      </c>
      <c r="C66" s="150">
        <v>20000</v>
      </c>
      <c r="D66" s="151">
        <v>0.03</v>
      </c>
      <c r="E66" s="152">
        <v>2025</v>
      </c>
      <c r="I66" s="62">
        <f>+C66</f>
        <v>20000</v>
      </c>
      <c r="J66" s="62">
        <f>+I66*(1+$D66)</f>
        <v>20600</v>
      </c>
      <c r="K66" s="62">
        <f t="shared" si="47"/>
        <v>21218</v>
      </c>
      <c r="L66" s="62">
        <f t="shared" si="47"/>
        <v>21854.54</v>
      </c>
      <c r="M66" s="62">
        <f t="shared" si="47"/>
        <v>22510.176200000002</v>
      </c>
      <c r="N66" s="62">
        <f t="shared" si="47"/>
        <v>23185.481486000001</v>
      </c>
      <c r="O66" s="62">
        <f t="shared" si="47"/>
        <v>23881.04593058</v>
      </c>
      <c r="P66" s="62">
        <f t="shared" si="47"/>
        <v>24597.4773084974</v>
      </c>
      <c r="Q66" s="62">
        <f t="shared" si="47"/>
        <v>25335.401627752322</v>
      </c>
      <c r="R66" s="62">
        <f t="shared" si="47"/>
        <v>26095.463676584892</v>
      </c>
    </row>
    <row r="67" spans="1:18">
      <c r="B67" s="93" t="s">
        <v>232</v>
      </c>
      <c r="C67" s="154"/>
      <c r="D67" s="154"/>
      <c r="E67" s="154"/>
      <c r="I67" s="62">
        <f t="shared" ref="I67:I68" si="48">+C67</f>
        <v>0</v>
      </c>
      <c r="J67" s="62">
        <f t="shared" ref="J67:R67" si="49">+I67*(1+$D67)</f>
        <v>0</v>
      </c>
      <c r="K67" s="62">
        <f t="shared" si="49"/>
        <v>0</v>
      </c>
      <c r="L67" s="62">
        <f t="shared" si="49"/>
        <v>0</v>
      </c>
      <c r="M67" s="62">
        <f t="shared" si="49"/>
        <v>0</v>
      </c>
      <c r="N67" s="62">
        <f t="shared" si="49"/>
        <v>0</v>
      </c>
      <c r="O67" s="62">
        <f t="shared" si="49"/>
        <v>0</v>
      </c>
      <c r="P67" s="62">
        <f t="shared" si="49"/>
        <v>0</v>
      </c>
      <c r="Q67" s="62">
        <f t="shared" si="49"/>
        <v>0</v>
      </c>
      <c r="R67" s="62">
        <f t="shared" si="49"/>
        <v>0</v>
      </c>
    </row>
    <row r="68" spans="1:18">
      <c r="B68" s="93" t="s">
        <v>232</v>
      </c>
      <c r="C68" s="154"/>
      <c r="D68" s="154"/>
      <c r="E68" s="154"/>
      <c r="I68" s="62">
        <f t="shared" si="48"/>
        <v>0</v>
      </c>
      <c r="J68" s="62">
        <f t="shared" ref="J68:R68" si="50">+I68*(1+$D68)</f>
        <v>0</v>
      </c>
      <c r="K68" s="62">
        <f t="shared" si="50"/>
        <v>0</v>
      </c>
      <c r="L68" s="62">
        <f t="shared" si="50"/>
        <v>0</v>
      </c>
      <c r="M68" s="62">
        <f t="shared" si="50"/>
        <v>0</v>
      </c>
      <c r="N68" s="62">
        <f t="shared" si="50"/>
        <v>0</v>
      </c>
      <c r="O68" s="62">
        <f t="shared" si="50"/>
        <v>0</v>
      </c>
      <c r="P68" s="62">
        <f t="shared" si="50"/>
        <v>0</v>
      </c>
      <c r="Q68" s="62">
        <f t="shared" si="50"/>
        <v>0</v>
      </c>
      <c r="R68" s="62">
        <f t="shared" si="50"/>
        <v>0</v>
      </c>
    </row>
    <row r="69" spans="1:18" s="5" customFormat="1">
      <c r="B69" s="147" t="s">
        <v>261</v>
      </c>
      <c r="C69" s="6"/>
      <c r="D69" s="6"/>
      <c r="E69" s="6"/>
      <c r="F69" s="6"/>
      <c r="G69" s="6"/>
      <c r="H69" s="6"/>
      <c r="I69" s="96">
        <f t="shared" ref="I69:R69" si="51">SUM(I65:I68)</f>
        <v>30000</v>
      </c>
      <c r="J69" s="96">
        <f t="shared" si="51"/>
        <v>30900</v>
      </c>
      <c r="K69" s="96">
        <f t="shared" si="51"/>
        <v>31827</v>
      </c>
      <c r="L69" s="96">
        <f t="shared" si="51"/>
        <v>32781.81</v>
      </c>
      <c r="M69" s="96">
        <f t="shared" si="51"/>
        <v>33765.264300000003</v>
      </c>
      <c r="N69" s="96">
        <f t="shared" si="51"/>
        <v>34778.222228999999</v>
      </c>
      <c r="O69" s="96">
        <f t="shared" si="51"/>
        <v>35821.568895869998</v>
      </c>
      <c r="P69" s="96">
        <f t="shared" si="51"/>
        <v>36896.215962746101</v>
      </c>
      <c r="Q69" s="96">
        <f t="shared" si="51"/>
        <v>38003.102441628485</v>
      </c>
      <c r="R69" s="96">
        <f t="shared" si="51"/>
        <v>39143.195514877341</v>
      </c>
    </row>
    <row r="71" spans="1:18">
      <c r="A71" s="148" t="s">
        <v>1</v>
      </c>
      <c r="B71" s="149" t="s">
        <v>258</v>
      </c>
      <c r="C71" s="149" t="s">
        <v>233</v>
      </c>
      <c r="D71" s="149" t="s">
        <v>234</v>
      </c>
      <c r="E71" s="149" t="s">
        <v>235</v>
      </c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</row>
    <row r="72" spans="1:18">
      <c r="B72" s="93" t="s">
        <v>259</v>
      </c>
      <c r="C72" s="150">
        <v>200000</v>
      </c>
      <c r="D72" s="151">
        <v>0.03</v>
      </c>
      <c r="E72" s="152">
        <v>2025</v>
      </c>
      <c r="I72" s="62">
        <f>+C72</f>
        <v>200000</v>
      </c>
      <c r="J72" s="62">
        <f>+I72*(1+$D72)</f>
        <v>206000</v>
      </c>
      <c r="K72" s="62">
        <f t="shared" ref="K72:R72" si="52">+J72*(1+$D$23)</f>
        <v>212180</v>
      </c>
      <c r="L72" s="62">
        <f t="shared" si="52"/>
        <v>218545.4</v>
      </c>
      <c r="M72" s="62">
        <f t="shared" si="52"/>
        <v>225101.76199999999</v>
      </c>
      <c r="N72" s="62">
        <f t="shared" si="52"/>
        <v>231854.81485999998</v>
      </c>
      <c r="O72" s="62">
        <f t="shared" si="52"/>
        <v>238810.4593058</v>
      </c>
      <c r="P72" s="62">
        <f t="shared" si="52"/>
        <v>245974.773084974</v>
      </c>
      <c r="Q72" s="62">
        <f t="shared" si="52"/>
        <v>253354.01627752322</v>
      </c>
      <c r="R72" s="62">
        <f t="shared" si="52"/>
        <v>260954.63676584893</v>
      </c>
    </row>
    <row r="73" spans="1:18">
      <c r="B73" s="93" t="s">
        <v>260</v>
      </c>
      <c r="C73" s="150">
        <v>100000</v>
      </c>
      <c r="D73" s="151">
        <v>0.03</v>
      </c>
      <c r="E73" s="152">
        <v>2025</v>
      </c>
      <c r="I73" s="62">
        <f>+C73</f>
        <v>100000</v>
      </c>
      <c r="J73" s="62">
        <f>+I73*(1+$D73)</f>
        <v>103000</v>
      </c>
      <c r="K73" s="62">
        <f t="shared" ref="K73:R74" si="53">+J73*(1+$D$23)</f>
        <v>106090</v>
      </c>
      <c r="L73" s="62">
        <f t="shared" si="53"/>
        <v>109272.7</v>
      </c>
      <c r="M73" s="62">
        <f t="shared" si="53"/>
        <v>112550.88099999999</v>
      </c>
      <c r="N73" s="62">
        <f t="shared" si="53"/>
        <v>115927.40742999999</v>
      </c>
      <c r="O73" s="62">
        <f t="shared" si="53"/>
        <v>119405.2296529</v>
      </c>
      <c r="P73" s="62">
        <f t="shared" si="53"/>
        <v>122987.386542487</v>
      </c>
      <c r="Q73" s="62">
        <f t="shared" si="53"/>
        <v>126677.00813876161</v>
      </c>
      <c r="R73" s="62">
        <f t="shared" si="53"/>
        <v>130477.31838292447</v>
      </c>
    </row>
    <row r="74" spans="1:18">
      <c r="B74" s="93" t="s">
        <v>263</v>
      </c>
      <c r="C74" s="157">
        <v>20000</v>
      </c>
      <c r="D74" s="151">
        <v>0.03</v>
      </c>
      <c r="E74" s="152">
        <v>2025</v>
      </c>
      <c r="I74" s="62">
        <f>+C74</f>
        <v>20000</v>
      </c>
      <c r="J74" s="62">
        <f>+I74*(1+$D74)</f>
        <v>20600</v>
      </c>
      <c r="K74" s="62">
        <f t="shared" si="53"/>
        <v>21218</v>
      </c>
      <c r="L74" s="62">
        <f t="shared" si="53"/>
        <v>21854.54</v>
      </c>
      <c r="M74" s="62">
        <f t="shared" si="53"/>
        <v>22510.176200000002</v>
      </c>
      <c r="N74" s="62">
        <f t="shared" si="53"/>
        <v>23185.481486000001</v>
      </c>
      <c r="O74" s="62">
        <f t="shared" si="53"/>
        <v>23881.04593058</v>
      </c>
      <c r="P74" s="62">
        <f t="shared" si="53"/>
        <v>24597.4773084974</v>
      </c>
      <c r="Q74" s="62">
        <f t="shared" si="53"/>
        <v>25335.401627752322</v>
      </c>
      <c r="R74" s="62">
        <f t="shared" si="53"/>
        <v>26095.463676584892</v>
      </c>
    </row>
    <row r="75" spans="1:18">
      <c r="B75" s="93" t="s">
        <v>232</v>
      </c>
      <c r="C75" s="154"/>
      <c r="D75" s="154"/>
      <c r="E75" s="154"/>
      <c r="I75" s="62">
        <f t="shared" ref="I75:I76" si="54">+C75</f>
        <v>0</v>
      </c>
      <c r="J75" s="62">
        <f t="shared" ref="J75:R75" si="55">+I75*(1+$D75)</f>
        <v>0</v>
      </c>
      <c r="K75" s="62">
        <f t="shared" si="55"/>
        <v>0</v>
      </c>
      <c r="L75" s="62">
        <f t="shared" si="55"/>
        <v>0</v>
      </c>
      <c r="M75" s="62">
        <f t="shared" si="55"/>
        <v>0</v>
      </c>
      <c r="N75" s="62">
        <f t="shared" si="55"/>
        <v>0</v>
      </c>
      <c r="O75" s="62">
        <f t="shared" si="55"/>
        <v>0</v>
      </c>
      <c r="P75" s="62">
        <f t="shared" si="55"/>
        <v>0</v>
      </c>
      <c r="Q75" s="62">
        <f t="shared" si="55"/>
        <v>0</v>
      </c>
      <c r="R75" s="62">
        <f t="shared" si="55"/>
        <v>0</v>
      </c>
    </row>
    <row r="76" spans="1:18">
      <c r="B76" s="93" t="s">
        <v>232</v>
      </c>
      <c r="C76" s="154"/>
      <c r="D76" s="154"/>
      <c r="E76" s="154"/>
      <c r="I76" s="62">
        <f t="shared" si="54"/>
        <v>0</v>
      </c>
      <c r="J76" s="62">
        <f t="shared" ref="J76:R76" si="56">+I76*(1+$D76)</f>
        <v>0</v>
      </c>
      <c r="K76" s="62">
        <f t="shared" si="56"/>
        <v>0</v>
      </c>
      <c r="L76" s="62">
        <f t="shared" si="56"/>
        <v>0</v>
      </c>
      <c r="M76" s="62">
        <f t="shared" si="56"/>
        <v>0</v>
      </c>
      <c r="N76" s="62">
        <f t="shared" si="56"/>
        <v>0</v>
      </c>
      <c r="O76" s="62">
        <f t="shared" si="56"/>
        <v>0</v>
      </c>
      <c r="P76" s="62">
        <f t="shared" si="56"/>
        <v>0</v>
      </c>
      <c r="Q76" s="62">
        <f t="shared" si="56"/>
        <v>0</v>
      </c>
      <c r="R76" s="62">
        <f t="shared" si="56"/>
        <v>0</v>
      </c>
    </row>
    <row r="77" spans="1:18" s="5" customFormat="1">
      <c r="B77" s="147" t="s">
        <v>262</v>
      </c>
      <c r="C77" s="6"/>
      <c r="D77" s="6"/>
      <c r="E77" s="6"/>
      <c r="F77" s="6"/>
      <c r="G77" s="6"/>
      <c r="H77" s="6"/>
      <c r="I77" s="96">
        <f t="shared" ref="I77:R77" si="57">SUM(I72:I76)</f>
        <v>320000</v>
      </c>
      <c r="J77" s="96">
        <f t="shared" si="57"/>
        <v>329600</v>
      </c>
      <c r="K77" s="96">
        <f t="shared" si="57"/>
        <v>339488</v>
      </c>
      <c r="L77" s="96">
        <f t="shared" si="57"/>
        <v>349672.63999999996</v>
      </c>
      <c r="M77" s="96">
        <f t="shared" si="57"/>
        <v>360162.81919999997</v>
      </c>
      <c r="N77" s="96">
        <f t="shared" si="57"/>
        <v>370967.70377599995</v>
      </c>
      <c r="O77" s="96">
        <f t="shared" si="57"/>
        <v>382096.73488927999</v>
      </c>
      <c r="P77" s="96">
        <f t="shared" si="57"/>
        <v>393559.63693595841</v>
      </c>
      <c r="Q77" s="96">
        <f t="shared" si="57"/>
        <v>405366.42604403716</v>
      </c>
      <c r="R77" s="96">
        <f t="shared" si="57"/>
        <v>417527.41882535827</v>
      </c>
    </row>
    <row r="79" spans="1:18">
      <c r="A79" s="148" t="s">
        <v>1</v>
      </c>
      <c r="B79" s="149" t="s">
        <v>264</v>
      </c>
      <c r="C79" s="149" t="s">
        <v>233</v>
      </c>
      <c r="D79" s="149" t="s">
        <v>234</v>
      </c>
      <c r="E79" s="149" t="s">
        <v>235</v>
      </c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</row>
    <row r="80" spans="1:18">
      <c r="B80" s="93" t="s">
        <v>265</v>
      </c>
      <c r="C80" s="150">
        <v>0</v>
      </c>
      <c r="D80" s="151">
        <v>0.03</v>
      </c>
      <c r="E80" s="152">
        <v>2025</v>
      </c>
      <c r="I80" s="62">
        <f>+C80</f>
        <v>0</v>
      </c>
      <c r="J80" s="62">
        <f>+I80*(1+$D80)</f>
        <v>0</v>
      </c>
      <c r="K80" s="62">
        <f t="shared" ref="K80:R80" si="58">+J80*(1+$D$23)</f>
        <v>0</v>
      </c>
      <c r="L80" s="62">
        <f t="shared" si="58"/>
        <v>0</v>
      </c>
      <c r="M80" s="62">
        <f t="shared" si="58"/>
        <v>0</v>
      </c>
      <c r="N80" s="62">
        <f t="shared" si="58"/>
        <v>0</v>
      </c>
      <c r="O80" s="62">
        <f t="shared" si="58"/>
        <v>0</v>
      </c>
      <c r="P80" s="62">
        <f t="shared" si="58"/>
        <v>0</v>
      </c>
      <c r="Q80" s="62">
        <f t="shared" si="58"/>
        <v>0</v>
      </c>
      <c r="R80" s="62">
        <f t="shared" si="58"/>
        <v>0</v>
      </c>
    </row>
    <row r="81" spans="2:18">
      <c r="B81" s="93" t="s">
        <v>266</v>
      </c>
      <c r="C81" s="150">
        <v>3000000</v>
      </c>
      <c r="D81" s="151">
        <v>0.03</v>
      </c>
      <c r="E81" s="152">
        <v>2025</v>
      </c>
      <c r="I81" s="62">
        <f>+C81</f>
        <v>3000000</v>
      </c>
      <c r="J81" s="62">
        <f>+I81*(1+$D81)</f>
        <v>3090000</v>
      </c>
      <c r="K81" s="62">
        <f t="shared" ref="K81:R81" si="59">+J81*(1+$D$23)</f>
        <v>3182700</v>
      </c>
      <c r="L81" s="62">
        <f t="shared" si="59"/>
        <v>3278181</v>
      </c>
      <c r="M81" s="62">
        <f t="shared" si="59"/>
        <v>3376526.43</v>
      </c>
      <c r="N81" s="62">
        <f t="shared" si="59"/>
        <v>3477822.2229000004</v>
      </c>
      <c r="O81" s="62">
        <f t="shared" si="59"/>
        <v>3582156.8895870005</v>
      </c>
      <c r="P81" s="62">
        <f t="shared" si="59"/>
        <v>3689621.5962746106</v>
      </c>
      <c r="Q81" s="62">
        <f t="shared" si="59"/>
        <v>3800310.2441628492</v>
      </c>
      <c r="R81" s="62">
        <f t="shared" si="59"/>
        <v>3914319.5514877345</v>
      </c>
    </row>
    <row r="82" spans="2:18">
      <c r="B82" s="93" t="s">
        <v>267</v>
      </c>
      <c r="C82" s="157">
        <v>100000</v>
      </c>
      <c r="D82" s="151">
        <v>0.03</v>
      </c>
      <c r="E82" s="152">
        <v>2025</v>
      </c>
      <c r="I82" s="62">
        <f>+C82</f>
        <v>100000</v>
      </c>
      <c r="J82" s="62">
        <f>+I82*(1+$D82)</f>
        <v>103000</v>
      </c>
      <c r="K82" s="62">
        <f t="shared" ref="K82:R82" si="60">+J82*(1+$D$23)</f>
        <v>106090</v>
      </c>
      <c r="L82" s="62">
        <f t="shared" si="60"/>
        <v>109272.7</v>
      </c>
      <c r="M82" s="62">
        <f t="shared" si="60"/>
        <v>112550.88099999999</v>
      </c>
      <c r="N82" s="62">
        <f t="shared" si="60"/>
        <v>115927.40742999999</v>
      </c>
      <c r="O82" s="62">
        <f t="shared" si="60"/>
        <v>119405.2296529</v>
      </c>
      <c r="P82" s="62">
        <f t="shared" si="60"/>
        <v>122987.386542487</v>
      </c>
      <c r="Q82" s="62">
        <f t="shared" si="60"/>
        <v>126677.00813876161</v>
      </c>
      <c r="R82" s="62">
        <f t="shared" si="60"/>
        <v>130477.31838292447</v>
      </c>
    </row>
    <row r="83" spans="2:18">
      <c r="B83" s="93" t="s">
        <v>268</v>
      </c>
      <c r="C83" s="154">
        <v>300000</v>
      </c>
      <c r="D83" s="151">
        <v>0.03</v>
      </c>
      <c r="E83" s="152">
        <v>2025</v>
      </c>
      <c r="I83" s="62">
        <f t="shared" ref="I83:I84" si="61">+C83</f>
        <v>300000</v>
      </c>
      <c r="J83" s="62">
        <f t="shared" ref="J83:J84" si="62">+I83*(1+$D83)</f>
        <v>309000</v>
      </c>
      <c r="K83" s="62">
        <f t="shared" ref="K83:R83" si="63">+J83*(1+$D$23)</f>
        <v>318270</v>
      </c>
      <c r="L83" s="62">
        <f t="shared" si="63"/>
        <v>327818.10000000003</v>
      </c>
      <c r="M83" s="62">
        <f t="shared" si="63"/>
        <v>337652.64300000004</v>
      </c>
      <c r="N83" s="62">
        <f t="shared" si="63"/>
        <v>347782.22229000006</v>
      </c>
      <c r="O83" s="62">
        <f t="shared" si="63"/>
        <v>358215.68895870005</v>
      </c>
      <c r="P83" s="62">
        <f t="shared" si="63"/>
        <v>368962.15962746105</v>
      </c>
      <c r="Q83" s="62">
        <f t="shared" si="63"/>
        <v>380031.02441628487</v>
      </c>
      <c r="R83" s="62">
        <f t="shared" si="63"/>
        <v>391431.95514877344</v>
      </c>
    </row>
    <row r="84" spans="2:18">
      <c r="B84" s="93" t="s">
        <v>269</v>
      </c>
      <c r="C84" s="154">
        <v>500000</v>
      </c>
      <c r="D84" s="151">
        <v>0.03</v>
      </c>
      <c r="E84" s="152">
        <v>2025</v>
      </c>
      <c r="I84" s="62">
        <f t="shared" si="61"/>
        <v>500000</v>
      </c>
      <c r="J84" s="62">
        <f t="shared" si="62"/>
        <v>515000</v>
      </c>
      <c r="K84" s="62">
        <f t="shared" ref="K84:R84" si="64">+J84*(1+$D$23)</f>
        <v>530450</v>
      </c>
      <c r="L84" s="62">
        <f t="shared" si="64"/>
        <v>546363.5</v>
      </c>
      <c r="M84" s="62">
        <f t="shared" si="64"/>
        <v>562754.40500000003</v>
      </c>
      <c r="N84" s="62">
        <f t="shared" si="64"/>
        <v>579637.03714999999</v>
      </c>
      <c r="O84" s="62">
        <f t="shared" si="64"/>
        <v>597026.14826449996</v>
      </c>
      <c r="P84" s="62">
        <f t="shared" si="64"/>
        <v>614936.93271243502</v>
      </c>
      <c r="Q84" s="62">
        <f t="shared" si="64"/>
        <v>633385.04069380811</v>
      </c>
      <c r="R84" s="62">
        <f t="shared" si="64"/>
        <v>652386.59191462235</v>
      </c>
    </row>
    <row r="85" spans="2:18">
      <c r="B85" s="93" t="s">
        <v>232</v>
      </c>
      <c r="C85" s="154"/>
      <c r="D85" s="154"/>
      <c r="E85" s="154"/>
      <c r="I85" s="62">
        <f t="shared" ref="I85" si="65">+C85</f>
        <v>0</v>
      </c>
      <c r="J85" s="62">
        <f t="shared" ref="J85:R86" si="66">+I85*(1+$D85)</f>
        <v>0</v>
      </c>
      <c r="K85" s="62">
        <f t="shared" si="66"/>
        <v>0</v>
      </c>
      <c r="L85" s="62">
        <f t="shared" si="66"/>
        <v>0</v>
      </c>
      <c r="M85" s="62">
        <f t="shared" si="66"/>
        <v>0</v>
      </c>
      <c r="N85" s="62">
        <f t="shared" si="66"/>
        <v>0</v>
      </c>
      <c r="O85" s="62">
        <f t="shared" si="66"/>
        <v>0</v>
      </c>
      <c r="P85" s="62">
        <f t="shared" si="66"/>
        <v>0</v>
      </c>
      <c r="Q85" s="62">
        <f t="shared" si="66"/>
        <v>0</v>
      </c>
      <c r="R85" s="62">
        <f t="shared" si="66"/>
        <v>0</v>
      </c>
    </row>
    <row r="86" spans="2:18">
      <c r="B86" s="93" t="s">
        <v>232</v>
      </c>
      <c r="C86" s="154"/>
      <c r="D86" s="154"/>
      <c r="E86" s="154"/>
      <c r="I86" s="62">
        <f t="shared" ref="I86" si="67">+C86</f>
        <v>0</v>
      </c>
      <c r="J86" s="62">
        <f t="shared" si="66"/>
        <v>0</v>
      </c>
      <c r="K86" s="62">
        <f t="shared" si="66"/>
        <v>0</v>
      </c>
      <c r="L86" s="62">
        <f t="shared" si="66"/>
        <v>0</v>
      </c>
      <c r="M86" s="62">
        <f t="shared" si="66"/>
        <v>0</v>
      </c>
      <c r="N86" s="62">
        <f t="shared" si="66"/>
        <v>0</v>
      </c>
      <c r="O86" s="62">
        <f t="shared" si="66"/>
        <v>0</v>
      </c>
      <c r="P86" s="62">
        <f t="shared" si="66"/>
        <v>0</v>
      </c>
      <c r="Q86" s="62">
        <f t="shared" si="66"/>
        <v>0</v>
      </c>
      <c r="R86" s="62">
        <f t="shared" si="66"/>
        <v>0</v>
      </c>
    </row>
    <row r="87" spans="2:18" s="5" customFormat="1">
      <c r="B87" s="147" t="s">
        <v>270</v>
      </c>
      <c r="C87" s="6"/>
      <c r="D87" s="6"/>
      <c r="E87" s="6"/>
      <c r="F87" s="6"/>
      <c r="G87" s="6"/>
      <c r="H87" s="6"/>
      <c r="I87" s="96">
        <f t="shared" ref="I87:R87" si="68">SUM(I80:I86)</f>
        <v>3900000</v>
      </c>
      <c r="J87" s="96">
        <f t="shared" si="68"/>
        <v>4017000</v>
      </c>
      <c r="K87" s="96">
        <f t="shared" si="68"/>
        <v>4137510</v>
      </c>
      <c r="L87" s="96">
        <f t="shared" si="68"/>
        <v>4261635.3000000007</v>
      </c>
      <c r="M87" s="96">
        <f t="shared" si="68"/>
        <v>4389484.3590000002</v>
      </c>
      <c r="N87" s="96">
        <f t="shared" si="68"/>
        <v>4521168.8897700002</v>
      </c>
      <c r="O87" s="96">
        <f t="shared" si="68"/>
        <v>4656803.9564631004</v>
      </c>
      <c r="P87" s="96">
        <f t="shared" si="68"/>
        <v>4796508.0751569932</v>
      </c>
      <c r="Q87" s="96">
        <f t="shared" si="68"/>
        <v>4940403.317411704</v>
      </c>
      <c r="R87" s="96">
        <f t="shared" si="68"/>
        <v>5088615.4169340543</v>
      </c>
    </row>
  </sheetData>
  <mergeCells count="1">
    <mergeCell ref="B2:G2"/>
  </mergeCells>
  <phoneticPr fontId="8" type="noConversion"/>
  <pageMargins left="0.7" right="0.7" top="0.75" bottom="0.75" header="0.3" footer="0.3"/>
  <ignoredErrors>
    <ignoredError sqref="K5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F451-CD93-47EB-81B5-2C37BB43C9AF}">
  <dimension ref="A2:Q59"/>
  <sheetViews>
    <sheetView showGridLines="0" topLeftCell="A2" workbookViewId="0">
      <pane xSplit="4" ySplit="5" topLeftCell="J38" activePane="bottomRight" state="frozen"/>
      <selection activeCell="A2" sqref="A2"/>
      <selection pane="topRight" activeCell="E2" sqref="E2"/>
      <selection pane="bottomLeft" activeCell="A7" sqref="A7"/>
      <selection pane="bottomRight" activeCell="B10" sqref="B10"/>
    </sheetView>
  </sheetViews>
  <sheetFormatPr defaultRowHeight="13.8"/>
  <cols>
    <col min="2" max="2" width="31.69921875" customWidth="1"/>
    <col min="5" max="5" width="15.09765625" bestFit="1" customWidth="1"/>
    <col min="6" max="6" width="2.296875" customWidth="1"/>
    <col min="7" max="7" width="15.296875" bestFit="1" customWidth="1"/>
    <col min="8" max="10" width="15" bestFit="1" customWidth="1"/>
    <col min="11" max="13" width="16.19921875" bestFit="1" customWidth="1"/>
    <col min="14" max="16" width="15" bestFit="1" customWidth="1"/>
    <col min="17" max="17" width="8.8984375" style="83"/>
  </cols>
  <sheetData>
    <row r="2" spans="1:16">
      <c r="A2" s="117"/>
      <c r="B2" s="117" t="s">
        <v>275</v>
      </c>
      <c r="C2" s="117"/>
      <c r="D2" s="117"/>
      <c r="E2" s="117"/>
      <c r="F2" s="117"/>
      <c r="G2" s="161">
        <v>2025</v>
      </c>
      <c r="H2" s="161">
        <v>2026</v>
      </c>
      <c r="I2" s="161">
        <v>2027</v>
      </c>
      <c r="J2" s="161">
        <v>2028</v>
      </c>
      <c r="K2" s="161">
        <v>2029</v>
      </c>
      <c r="L2" s="161">
        <v>2030</v>
      </c>
      <c r="M2" s="161">
        <v>2031</v>
      </c>
      <c r="N2" s="161">
        <v>2032</v>
      </c>
      <c r="O2" s="161">
        <v>2033</v>
      </c>
      <c r="P2" s="161">
        <v>2034</v>
      </c>
    </row>
    <row r="3" spans="1:16">
      <c r="E3" s="27" t="s">
        <v>219</v>
      </c>
      <c r="G3" s="162">
        <v>45658</v>
      </c>
      <c r="H3" s="162">
        <v>46023</v>
      </c>
      <c r="I3" s="162">
        <v>46388</v>
      </c>
      <c r="J3" s="162">
        <v>46753</v>
      </c>
      <c r="K3" s="162">
        <v>47119</v>
      </c>
      <c r="L3" s="162">
        <v>47484</v>
      </c>
      <c r="M3" s="162">
        <v>47849</v>
      </c>
      <c r="N3" s="162">
        <v>48214</v>
      </c>
      <c r="O3" s="162">
        <v>48580</v>
      </c>
      <c r="P3" s="162">
        <v>48945</v>
      </c>
    </row>
    <row r="4" spans="1:16">
      <c r="E4" s="27" t="s">
        <v>220</v>
      </c>
      <c r="G4" s="162">
        <v>46022</v>
      </c>
      <c r="H4" s="162">
        <v>46387</v>
      </c>
      <c r="I4" s="162">
        <v>46752</v>
      </c>
      <c r="J4" s="162">
        <v>47118</v>
      </c>
      <c r="K4" s="162">
        <v>47483</v>
      </c>
      <c r="L4" s="162">
        <v>47848</v>
      </c>
      <c r="M4" s="162">
        <v>48213</v>
      </c>
      <c r="N4" s="162">
        <v>48579</v>
      </c>
      <c r="O4" s="162">
        <v>48944</v>
      </c>
      <c r="P4" s="162">
        <v>49309</v>
      </c>
    </row>
    <row r="5" spans="1:16">
      <c r="E5" s="27" t="s">
        <v>222</v>
      </c>
      <c r="G5" s="51">
        <f>+G4-G3+1</f>
        <v>365</v>
      </c>
      <c r="H5" s="51">
        <f t="shared" ref="H5:P5" si="0">+H4-H3+1</f>
        <v>365</v>
      </c>
      <c r="I5" s="51">
        <f t="shared" si="0"/>
        <v>365</v>
      </c>
      <c r="J5" s="51">
        <f t="shared" si="0"/>
        <v>366</v>
      </c>
      <c r="K5" s="51">
        <f t="shared" si="0"/>
        <v>365</v>
      </c>
      <c r="L5" s="51">
        <f t="shared" si="0"/>
        <v>365</v>
      </c>
      <c r="M5" s="51">
        <f t="shared" si="0"/>
        <v>365</v>
      </c>
      <c r="N5" s="51">
        <f t="shared" si="0"/>
        <v>366</v>
      </c>
      <c r="O5" s="51">
        <f t="shared" si="0"/>
        <v>365</v>
      </c>
      <c r="P5" s="51">
        <f t="shared" si="0"/>
        <v>365</v>
      </c>
    </row>
    <row r="6" spans="1:16">
      <c r="E6" s="27" t="s">
        <v>221</v>
      </c>
      <c r="G6" s="108" t="s">
        <v>174</v>
      </c>
      <c r="H6" s="108" t="s">
        <v>175</v>
      </c>
      <c r="I6" s="108" t="s">
        <v>176</v>
      </c>
      <c r="J6" s="108" t="s">
        <v>177</v>
      </c>
      <c r="K6" s="108" t="s">
        <v>178</v>
      </c>
      <c r="L6" s="108" t="s">
        <v>179</v>
      </c>
      <c r="M6" s="108" t="s">
        <v>180</v>
      </c>
      <c r="N6" s="108" t="s">
        <v>181</v>
      </c>
      <c r="O6" s="108" t="s">
        <v>182</v>
      </c>
      <c r="P6" s="108" t="s">
        <v>183</v>
      </c>
    </row>
    <row r="8" spans="1:16">
      <c r="B8" s="192" t="s">
        <v>276</v>
      </c>
    </row>
    <row r="10" spans="1:16">
      <c r="B10" s="5" t="s">
        <v>277</v>
      </c>
    </row>
    <row r="11" spans="1:16">
      <c r="B11" t="s">
        <v>100</v>
      </c>
      <c r="G11" s="62">
        <f>+'Development Assumptions'!D25</f>
        <v>54250000</v>
      </c>
    </row>
    <row r="12" spans="1:16">
      <c r="B12" t="s">
        <v>101</v>
      </c>
      <c r="G12" s="62">
        <f>+'Development Assumptions'!D26</f>
        <v>3000000000</v>
      </c>
    </row>
    <row r="13" spans="1:16">
      <c r="B13" t="s">
        <v>278</v>
      </c>
      <c r="G13" s="62">
        <f>+'Development Assumptions'!D27</f>
        <v>5000000000</v>
      </c>
    </row>
    <row r="14" spans="1:16">
      <c r="B14" t="s">
        <v>103</v>
      </c>
      <c r="G14" s="62">
        <f>+'Development Assumptions'!D28</f>
        <v>2000000000</v>
      </c>
    </row>
    <row r="15" spans="1:16">
      <c r="B15" t="s">
        <v>163</v>
      </c>
      <c r="G15" s="62">
        <f>+'Development Assumptions'!D29</f>
        <v>500000</v>
      </c>
    </row>
    <row r="16" spans="1:16">
      <c r="B16" t="s">
        <v>279</v>
      </c>
      <c r="G16" s="62">
        <f>+'Development Assumptions'!D30</f>
        <v>50000000</v>
      </c>
    </row>
    <row r="17" spans="2:17">
      <c r="B17" t="s">
        <v>226</v>
      </c>
      <c r="G17" s="62">
        <v>0</v>
      </c>
    </row>
    <row r="18" spans="2:17">
      <c r="B18" s="6" t="s">
        <v>280</v>
      </c>
      <c r="C18" s="6"/>
      <c r="D18" s="6"/>
      <c r="E18" s="38"/>
      <c r="F18" s="6"/>
      <c r="G18" s="96">
        <f>SUM(G11:G17)</f>
        <v>10104750000</v>
      </c>
      <c r="H18" s="6"/>
      <c r="I18" s="6"/>
      <c r="J18" s="6"/>
      <c r="K18" s="6"/>
      <c r="L18" s="6"/>
      <c r="M18" s="6"/>
      <c r="N18" s="6"/>
      <c r="O18" s="6"/>
      <c r="P18" s="6"/>
    </row>
    <row r="19" spans="2:17">
      <c r="E19" s="62"/>
    </row>
    <row r="20" spans="2:17">
      <c r="B20" s="5" t="s">
        <v>281</v>
      </c>
    </row>
    <row r="21" spans="2:17">
      <c r="B21" s="93" t="s">
        <v>100</v>
      </c>
      <c r="G21" s="99">
        <v>0</v>
      </c>
      <c r="H21" s="99">
        <v>0</v>
      </c>
      <c r="I21" s="99">
        <v>0</v>
      </c>
      <c r="J21" s="99">
        <v>0</v>
      </c>
      <c r="K21" s="99">
        <v>0</v>
      </c>
      <c r="L21" s="99">
        <v>0</v>
      </c>
      <c r="M21" s="99">
        <v>0</v>
      </c>
      <c r="N21" s="99">
        <v>0</v>
      </c>
      <c r="O21" s="99">
        <v>0</v>
      </c>
      <c r="P21" s="99">
        <v>0</v>
      </c>
      <c r="Q21" s="137"/>
    </row>
    <row r="22" spans="2:17">
      <c r="B22" s="93" t="s">
        <v>101</v>
      </c>
      <c r="G22" s="99">
        <v>0</v>
      </c>
      <c r="H22" s="99">
        <v>0</v>
      </c>
      <c r="I22" s="99">
        <v>400000</v>
      </c>
      <c r="J22" s="99">
        <v>200000</v>
      </c>
      <c r="K22" s="99">
        <v>0</v>
      </c>
      <c r="L22" s="99">
        <v>350000</v>
      </c>
      <c r="M22" s="99">
        <v>400000</v>
      </c>
      <c r="N22" s="99">
        <v>0</v>
      </c>
      <c r="O22" s="99">
        <v>100000</v>
      </c>
      <c r="P22" s="99">
        <v>200000</v>
      </c>
      <c r="Q22" s="137"/>
    </row>
    <row r="23" spans="2:17">
      <c r="B23" s="93" t="s">
        <v>102</v>
      </c>
      <c r="G23" s="99">
        <v>0</v>
      </c>
      <c r="H23" s="99">
        <v>0</v>
      </c>
      <c r="I23" s="99">
        <v>0</v>
      </c>
      <c r="J23" s="99">
        <v>0</v>
      </c>
      <c r="K23" s="99">
        <v>300000000</v>
      </c>
      <c r="L23" s="99">
        <v>0</v>
      </c>
      <c r="M23" s="99">
        <v>40000000</v>
      </c>
      <c r="N23" s="99">
        <v>100000000</v>
      </c>
      <c r="O23" s="99">
        <v>0</v>
      </c>
      <c r="P23" s="99">
        <v>200000000</v>
      </c>
      <c r="Q23" s="137"/>
    </row>
    <row r="24" spans="2:17">
      <c r="B24" s="93" t="s">
        <v>103</v>
      </c>
      <c r="G24" s="99">
        <v>0</v>
      </c>
      <c r="H24" s="99">
        <v>0</v>
      </c>
      <c r="I24" s="99">
        <v>0</v>
      </c>
      <c r="J24" s="99">
        <v>300000000</v>
      </c>
      <c r="K24" s="99">
        <v>0</v>
      </c>
      <c r="L24" s="99">
        <v>0</v>
      </c>
      <c r="M24" s="99">
        <v>20000000</v>
      </c>
      <c r="N24" s="99">
        <v>0</v>
      </c>
      <c r="O24" s="99">
        <v>5000000</v>
      </c>
      <c r="P24" s="99">
        <v>10000000</v>
      </c>
      <c r="Q24" s="137"/>
    </row>
    <row r="25" spans="2:17">
      <c r="B25" s="93" t="s">
        <v>163</v>
      </c>
      <c r="G25" s="99">
        <v>0</v>
      </c>
      <c r="H25" s="99">
        <v>0</v>
      </c>
      <c r="I25" s="99">
        <v>0</v>
      </c>
      <c r="J25" s="99">
        <v>30000</v>
      </c>
      <c r="K25" s="99">
        <v>0</v>
      </c>
      <c r="L25" s="99">
        <v>40000</v>
      </c>
      <c r="M25" s="99">
        <v>0</v>
      </c>
      <c r="N25" s="99">
        <v>60000</v>
      </c>
      <c r="O25" s="99">
        <v>0</v>
      </c>
      <c r="P25" s="99">
        <v>0</v>
      </c>
      <c r="Q25" s="137"/>
    </row>
    <row r="26" spans="2:17">
      <c r="B26" s="93" t="s">
        <v>105</v>
      </c>
      <c r="G26" s="99">
        <v>0</v>
      </c>
      <c r="H26" s="99">
        <v>0</v>
      </c>
      <c r="I26" s="99">
        <v>0</v>
      </c>
      <c r="J26" s="99">
        <v>50000</v>
      </c>
      <c r="K26" s="99">
        <v>0</v>
      </c>
      <c r="L26" s="99">
        <v>0</v>
      </c>
      <c r="M26" s="99">
        <v>30000</v>
      </c>
      <c r="N26" s="99">
        <v>0</v>
      </c>
      <c r="O26" s="99">
        <v>40000</v>
      </c>
      <c r="P26" s="99">
        <v>0</v>
      </c>
      <c r="Q26" s="137"/>
    </row>
    <row r="27" spans="2:17">
      <c r="B27" s="93" t="s">
        <v>226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7">
        <v>0</v>
      </c>
      <c r="N27" s="137">
        <v>0</v>
      </c>
      <c r="O27" s="137">
        <v>0</v>
      </c>
      <c r="P27" s="137">
        <v>0</v>
      </c>
      <c r="Q27" s="163"/>
    </row>
    <row r="28" spans="2:17" s="5" customFormat="1">
      <c r="B28" s="147" t="s">
        <v>282</v>
      </c>
      <c r="C28" s="6"/>
      <c r="D28" s="6"/>
      <c r="E28" s="6"/>
      <c r="F28" s="6"/>
      <c r="G28" s="156">
        <f>SUM(G21:G27)</f>
        <v>0</v>
      </c>
      <c r="H28" s="156">
        <f t="shared" ref="H28:P28" si="1">SUM(H21:H27)</f>
        <v>0</v>
      </c>
      <c r="I28" s="156">
        <f t="shared" si="1"/>
        <v>400000</v>
      </c>
      <c r="J28" s="156">
        <f t="shared" si="1"/>
        <v>300280000</v>
      </c>
      <c r="K28" s="156">
        <f t="shared" si="1"/>
        <v>300000000</v>
      </c>
      <c r="L28" s="156">
        <f t="shared" si="1"/>
        <v>390000</v>
      </c>
      <c r="M28" s="156">
        <f t="shared" si="1"/>
        <v>60430000</v>
      </c>
      <c r="N28" s="156">
        <f t="shared" si="1"/>
        <v>100060000</v>
      </c>
      <c r="O28" s="156">
        <f t="shared" si="1"/>
        <v>5140000</v>
      </c>
      <c r="P28" s="156">
        <f t="shared" si="1"/>
        <v>210200000</v>
      </c>
      <c r="Q28" s="164"/>
    </row>
    <row r="30" spans="2:17">
      <c r="B30" s="17" t="s">
        <v>283</v>
      </c>
    </row>
    <row r="31" spans="2:17">
      <c r="B31" s="93" t="s">
        <v>100</v>
      </c>
      <c r="G31" s="106">
        <f>+G11+G21</f>
        <v>54250000</v>
      </c>
      <c r="H31" s="106">
        <f t="shared" ref="H31:P31" si="2">+H11+H21</f>
        <v>0</v>
      </c>
      <c r="I31" s="106">
        <f t="shared" si="2"/>
        <v>0</v>
      </c>
      <c r="J31" s="106">
        <f t="shared" si="2"/>
        <v>0</v>
      </c>
      <c r="K31" s="106">
        <f t="shared" si="2"/>
        <v>0</v>
      </c>
      <c r="L31" s="106">
        <f t="shared" si="2"/>
        <v>0</v>
      </c>
      <c r="M31" s="106">
        <f t="shared" si="2"/>
        <v>0</v>
      </c>
      <c r="N31" s="106">
        <f t="shared" si="2"/>
        <v>0</v>
      </c>
      <c r="O31" s="106">
        <f t="shared" si="2"/>
        <v>0</v>
      </c>
      <c r="P31" s="106">
        <f t="shared" si="2"/>
        <v>0</v>
      </c>
    </row>
    <row r="32" spans="2:17">
      <c r="B32" s="93" t="s">
        <v>101</v>
      </c>
      <c r="G32" s="106">
        <f t="shared" ref="G32:P32" si="3">+G12+G22</f>
        <v>3000000000</v>
      </c>
      <c r="H32" s="106">
        <f t="shared" si="3"/>
        <v>0</v>
      </c>
      <c r="I32" s="106">
        <f t="shared" si="3"/>
        <v>400000</v>
      </c>
      <c r="J32" s="106">
        <f t="shared" si="3"/>
        <v>200000</v>
      </c>
      <c r="K32" s="106">
        <f t="shared" si="3"/>
        <v>0</v>
      </c>
      <c r="L32" s="106">
        <f t="shared" si="3"/>
        <v>350000</v>
      </c>
      <c r="M32" s="106">
        <f t="shared" si="3"/>
        <v>400000</v>
      </c>
      <c r="N32" s="106">
        <f t="shared" si="3"/>
        <v>0</v>
      </c>
      <c r="O32" s="106">
        <f t="shared" si="3"/>
        <v>100000</v>
      </c>
      <c r="P32" s="106">
        <f t="shared" si="3"/>
        <v>200000</v>
      </c>
    </row>
    <row r="33" spans="2:16">
      <c r="B33" s="93" t="s">
        <v>102</v>
      </c>
      <c r="G33" s="106">
        <f t="shared" ref="G33:P33" si="4">+G13+G23</f>
        <v>5000000000</v>
      </c>
      <c r="H33" s="106">
        <f t="shared" si="4"/>
        <v>0</v>
      </c>
      <c r="I33" s="106">
        <f t="shared" si="4"/>
        <v>0</v>
      </c>
      <c r="J33" s="106">
        <f t="shared" si="4"/>
        <v>0</v>
      </c>
      <c r="K33" s="106">
        <f t="shared" si="4"/>
        <v>300000000</v>
      </c>
      <c r="L33" s="106">
        <f t="shared" si="4"/>
        <v>0</v>
      </c>
      <c r="M33" s="106">
        <f t="shared" si="4"/>
        <v>40000000</v>
      </c>
      <c r="N33" s="106">
        <f t="shared" si="4"/>
        <v>100000000</v>
      </c>
      <c r="O33" s="106">
        <f t="shared" si="4"/>
        <v>0</v>
      </c>
      <c r="P33" s="106">
        <f t="shared" si="4"/>
        <v>200000000</v>
      </c>
    </row>
    <row r="34" spans="2:16">
      <c r="B34" s="93" t="s">
        <v>103</v>
      </c>
      <c r="G34" s="106">
        <f t="shared" ref="G34:P34" si="5">+G14+G24</f>
        <v>2000000000</v>
      </c>
      <c r="H34" s="106">
        <f t="shared" si="5"/>
        <v>0</v>
      </c>
      <c r="I34" s="106">
        <f t="shared" si="5"/>
        <v>0</v>
      </c>
      <c r="J34" s="106">
        <f t="shared" si="5"/>
        <v>300000000</v>
      </c>
      <c r="K34" s="106">
        <f t="shared" si="5"/>
        <v>0</v>
      </c>
      <c r="L34" s="106">
        <f t="shared" si="5"/>
        <v>0</v>
      </c>
      <c r="M34" s="106">
        <f t="shared" si="5"/>
        <v>20000000</v>
      </c>
      <c r="N34" s="106">
        <f t="shared" si="5"/>
        <v>0</v>
      </c>
      <c r="O34" s="106">
        <f t="shared" si="5"/>
        <v>5000000</v>
      </c>
      <c r="P34" s="106">
        <f t="shared" si="5"/>
        <v>10000000</v>
      </c>
    </row>
    <row r="35" spans="2:16">
      <c r="B35" s="93" t="s">
        <v>163</v>
      </c>
      <c r="G35" s="106">
        <f t="shared" ref="G35:P35" si="6">+G15+G25</f>
        <v>500000</v>
      </c>
      <c r="H35" s="106">
        <f t="shared" si="6"/>
        <v>0</v>
      </c>
      <c r="I35" s="106">
        <f t="shared" si="6"/>
        <v>0</v>
      </c>
      <c r="J35" s="106">
        <f t="shared" si="6"/>
        <v>30000</v>
      </c>
      <c r="K35" s="106">
        <f t="shared" si="6"/>
        <v>0</v>
      </c>
      <c r="L35" s="106">
        <f t="shared" si="6"/>
        <v>40000</v>
      </c>
      <c r="M35" s="106">
        <f t="shared" si="6"/>
        <v>0</v>
      </c>
      <c r="N35" s="106">
        <f t="shared" si="6"/>
        <v>60000</v>
      </c>
      <c r="O35" s="106">
        <f t="shared" si="6"/>
        <v>0</v>
      </c>
      <c r="P35" s="106">
        <f t="shared" si="6"/>
        <v>0</v>
      </c>
    </row>
    <row r="36" spans="2:16">
      <c r="B36" s="93" t="s">
        <v>105</v>
      </c>
      <c r="G36" s="106">
        <f t="shared" ref="G36:P36" si="7">+G16+G26</f>
        <v>50000000</v>
      </c>
      <c r="H36" s="106">
        <f t="shared" si="7"/>
        <v>0</v>
      </c>
      <c r="I36" s="106">
        <f t="shared" si="7"/>
        <v>0</v>
      </c>
      <c r="J36" s="106">
        <f t="shared" si="7"/>
        <v>50000</v>
      </c>
      <c r="K36" s="106">
        <f t="shared" si="7"/>
        <v>0</v>
      </c>
      <c r="L36" s="106">
        <f t="shared" si="7"/>
        <v>0</v>
      </c>
      <c r="M36" s="106">
        <f t="shared" si="7"/>
        <v>30000</v>
      </c>
      <c r="N36" s="106">
        <f t="shared" si="7"/>
        <v>0</v>
      </c>
      <c r="O36" s="106">
        <f t="shared" si="7"/>
        <v>40000</v>
      </c>
      <c r="P36" s="106">
        <f t="shared" si="7"/>
        <v>0</v>
      </c>
    </row>
    <row r="37" spans="2:16">
      <c r="B37" s="93" t="s">
        <v>226</v>
      </c>
      <c r="G37" s="106">
        <f t="shared" ref="G37:P37" si="8">+G17+G27</f>
        <v>0</v>
      </c>
      <c r="H37" s="106">
        <f t="shared" si="8"/>
        <v>0</v>
      </c>
      <c r="I37" s="106">
        <f t="shared" si="8"/>
        <v>0</v>
      </c>
      <c r="J37" s="106">
        <f t="shared" si="8"/>
        <v>0</v>
      </c>
      <c r="K37" s="106">
        <f t="shared" si="8"/>
        <v>0</v>
      </c>
      <c r="L37" s="106">
        <f t="shared" si="8"/>
        <v>0</v>
      </c>
      <c r="M37" s="106">
        <f t="shared" si="8"/>
        <v>0</v>
      </c>
      <c r="N37" s="106">
        <f t="shared" si="8"/>
        <v>0</v>
      </c>
      <c r="O37" s="106">
        <f t="shared" si="8"/>
        <v>0</v>
      </c>
      <c r="P37" s="106">
        <f t="shared" si="8"/>
        <v>0</v>
      </c>
    </row>
    <row r="38" spans="2:16">
      <c r="B38" s="147" t="s">
        <v>284</v>
      </c>
      <c r="C38" s="6"/>
      <c r="D38" s="6"/>
      <c r="E38" s="6"/>
      <c r="F38" s="6"/>
      <c r="G38" s="156">
        <f>SUM(G31:G37)</f>
        <v>10104750000</v>
      </c>
      <c r="H38" s="156">
        <f t="shared" ref="H38:P38" si="9">SUM(H31:H37)</f>
        <v>0</v>
      </c>
      <c r="I38" s="156">
        <f t="shared" si="9"/>
        <v>400000</v>
      </c>
      <c r="J38" s="156">
        <f t="shared" si="9"/>
        <v>300280000</v>
      </c>
      <c r="K38" s="156">
        <f t="shared" si="9"/>
        <v>300000000</v>
      </c>
      <c r="L38" s="156">
        <f t="shared" si="9"/>
        <v>390000</v>
      </c>
      <c r="M38" s="156">
        <f t="shared" si="9"/>
        <v>60430000</v>
      </c>
      <c r="N38" s="156">
        <f t="shared" si="9"/>
        <v>100060000</v>
      </c>
      <c r="O38" s="156">
        <f t="shared" si="9"/>
        <v>5140000</v>
      </c>
      <c r="P38" s="156">
        <f t="shared" si="9"/>
        <v>210200000</v>
      </c>
    </row>
    <row r="40" spans="2:16">
      <c r="B40" s="165" t="s">
        <v>285</v>
      </c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</row>
    <row r="41" spans="2:16" s="83" customFormat="1">
      <c r="B41" s="167" t="s">
        <v>286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</row>
    <row r="42" spans="2:16">
      <c r="B42" s="93" t="s">
        <v>100</v>
      </c>
      <c r="C42" s="99">
        <v>0</v>
      </c>
    </row>
    <row r="43" spans="2:16">
      <c r="B43" s="93" t="s">
        <v>101</v>
      </c>
      <c r="C43" s="99">
        <v>20</v>
      </c>
    </row>
    <row r="44" spans="2:16">
      <c r="B44" s="93" t="s">
        <v>102</v>
      </c>
      <c r="C44" s="99">
        <v>10</v>
      </c>
    </row>
    <row r="45" spans="2:16">
      <c r="B45" s="93" t="s">
        <v>103</v>
      </c>
      <c r="C45" s="99">
        <v>7</v>
      </c>
    </row>
    <row r="46" spans="2:16">
      <c r="B46" s="93" t="s">
        <v>163</v>
      </c>
      <c r="C46" s="99">
        <v>5</v>
      </c>
    </row>
    <row r="47" spans="2:16">
      <c r="B47" s="93" t="s">
        <v>105</v>
      </c>
      <c r="C47" s="99">
        <v>7</v>
      </c>
    </row>
    <row r="48" spans="2:16">
      <c r="B48" s="93" t="s">
        <v>226</v>
      </c>
      <c r="C48" s="99">
        <v>8</v>
      </c>
    </row>
    <row r="50" spans="2:17">
      <c r="B50" s="167" t="s">
        <v>287</v>
      </c>
    </row>
    <row r="51" spans="2:17">
      <c r="B51" s="93" t="s">
        <v>100</v>
      </c>
    </row>
    <row r="52" spans="2:17">
      <c r="B52" s="93" t="s">
        <v>101</v>
      </c>
      <c r="G52" s="62">
        <f>+G32/$C$43</f>
        <v>150000000</v>
      </c>
      <c r="H52" s="62">
        <f>G52+(H32/$C$43)</f>
        <v>150000000</v>
      </c>
      <c r="I52" s="62">
        <f>H52+(I32/$C$43)</f>
        <v>150020000</v>
      </c>
      <c r="J52" s="62">
        <f>I52+(J32/$C$43)</f>
        <v>150030000</v>
      </c>
      <c r="K52" s="62">
        <f>J52+(K32/$C$43)</f>
        <v>150030000</v>
      </c>
      <c r="L52" s="62">
        <f>K52+(L32/$C$43)</f>
        <v>150047500</v>
      </c>
      <c r="M52" s="62">
        <f>L52+(M32/$C$43)</f>
        <v>150067500</v>
      </c>
      <c r="N52" s="62">
        <f>M52+(N32/$C$43)</f>
        <v>150067500</v>
      </c>
      <c r="O52" s="62">
        <f>N52+(O32/$C$43)</f>
        <v>150072500</v>
      </c>
      <c r="P52" s="62">
        <f>O52+(P32/$C$43)</f>
        <v>150082500</v>
      </c>
    </row>
    <row r="53" spans="2:17">
      <c r="B53" s="93" t="s">
        <v>102</v>
      </c>
      <c r="G53" s="62">
        <f>+G33/$C$44</f>
        <v>500000000</v>
      </c>
      <c r="H53" s="62">
        <f>+G53+(H33/$C$44)</f>
        <v>500000000</v>
      </c>
      <c r="I53" s="62">
        <f>+H53+(I33/$C$44)</f>
        <v>500000000</v>
      </c>
      <c r="J53" s="62">
        <f>+I53+(J33/$C$44)</f>
        <v>500000000</v>
      </c>
      <c r="K53" s="62">
        <f>+J53+(K33/$C$44)</f>
        <v>530000000</v>
      </c>
      <c r="L53" s="62">
        <f>+K53+(L33/$C$44)</f>
        <v>530000000</v>
      </c>
      <c r="M53" s="62">
        <f>+L53+(M33/$C$44)</f>
        <v>534000000</v>
      </c>
      <c r="N53" s="62">
        <f>+M53+(N33/$C$44)</f>
        <v>544000000</v>
      </c>
      <c r="O53" s="62">
        <f>+N53+(O33/$C$44)</f>
        <v>544000000</v>
      </c>
      <c r="P53" s="62">
        <f>+O53+(P33/$C$44)</f>
        <v>564000000</v>
      </c>
    </row>
    <row r="54" spans="2:17">
      <c r="B54" s="93" t="s">
        <v>103</v>
      </c>
      <c r="G54" s="62">
        <f>+Depreciation!D39</f>
        <v>285714285.71428573</v>
      </c>
      <c r="H54" s="62">
        <f>+Depreciation!E39</f>
        <v>285714285.71428573</v>
      </c>
      <c r="I54" s="62">
        <f>+Depreciation!F39</f>
        <v>285714285.71428573</v>
      </c>
      <c r="J54" s="62">
        <f>+Depreciation!G39</f>
        <v>328571428.5714286</v>
      </c>
      <c r="K54" s="62">
        <f>+Depreciation!H39</f>
        <v>328571428.5714286</v>
      </c>
      <c r="L54" s="62">
        <f>+Depreciation!I39</f>
        <v>328571428.5714286</v>
      </c>
      <c r="M54" s="62">
        <f>+Depreciation!J39</f>
        <v>331428571.42857146</v>
      </c>
      <c r="N54" s="62">
        <f>+Depreciation!K39</f>
        <v>45714285.714285716</v>
      </c>
      <c r="O54" s="62">
        <f>+Depreciation!L39</f>
        <v>46428571.428571433</v>
      </c>
      <c r="P54" s="62">
        <f>+Depreciation!M39</f>
        <v>47857142.857142858</v>
      </c>
    </row>
    <row r="55" spans="2:17">
      <c r="B55" s="93" t="s">
        <v>163</v>
      </c>
      <c r="G55" s="62">
        <f>+Depreciation!D46</f>
        <v>100000</v>
      </c>
      <c r="H55" s="62">
        <f>+Depreciation!E46</f>
        <v>100000</v>
      </c>
      <c r="I55" s="62">
        <f>+Depreciation!F46</f>
        <v>100000</v>
      </c>
      <c r="J55" s="62">
        <f>+Depreciation!G46</f>
        <v>106000</v>
      </c>
      <c r="K55" s="62">
        <f>+Depreciation!H46</f>
        <v>106000</v>
      </c>
      <c r="L55" s="62">
        <f>+Depreciation!I46</f>
        <v>14000</v>
      </c>
      <c r="M55" s="62">
        <f>+Depreciation!J46</f>
        <v>14000</v>
      </c>
      <c r="N55" s="62">
        <f>+Depreciation!K46</f>
        <v>26000</v>
      </c>
      <c r="O55" s="62">
        <f>+Depreciation!L46</f>
        <v>20000</v>
      </c>
      <c r="P55" s="62">
        <f>+Depreciation!M46</f>
        <v>20000</v>
      </c>
    </row>
    <row r="56" spans="2:17">
      <c r="B56" s="93" t="s">
        <v>105</v>
      </c>
      <c r="G56" s="62">
        <f>+Depreciation!D53</f>
        <v>7142857.1428571427</v>
      </c>
      <c r="H56" s="62">
        <f>+Depreciation!E53</f>
        <v>7142857.1428571427</v>
      </c>
      <c r="I56" s="62">
        <f>+Depreciation!F53</f>
        <v>7142857.1428571427</v>
      </c>
      <c r="J56" s="62">
        <f>+Depreciation!G53</f>
        <v>7150000</v>
      </c>
      <c r="K56" s="62">
        <f>+Depreciation!H53</f>
        <v>7150000</v>
      </c>
      <c r="L56" s="62">
        <f>+Depreciation!I53</f>
        <v>7150000</v>
      </c>
      <c r="M56" s="62">
        <f>+Depreciation!J53</f>
        <v>7154285.7142857146</v>
      </c>
      <c r="N56" s="62">
        <f>+Depreciation!K53</f>
        <v>11428.571428571428</v>
      </c>
      <c r="O56" s="62">
        <f>+Depreciation!L53</f>
        <v>17142.857142857141</v>
      </c>
      <c r="P56" s="62">
        <f>+Depreciation!M53</f>
        <v>17142.857142857141</v>
      </c>
    </row>
    <row r="57" spans="2:17">
      <c r="B57" s="93" t="s">
        <v>226</v>
      </c>
      <c r="G57" s="62">
        <f>+IFERROR(G37/$C$48,0)</f>
        <v>0</v>
      </c>
      <c r="H57" s="62">
        <f t="shared" ref="H57:P57" si="10">+IFERROR(H37/$C$48,0)</f>
        <v>0</v>
      </c>
      <c r="I57" s="62">
        <f t="shared" si="10"/>
        <v>0</v>
      </c>
      <c r="J57" s="62">
        <f t="shared" si="10"/>
        <v>0</v>
      </c>
      <c r="K57" s="62">
        <f t="shared" si="10"/>
        <v>0</v>
      </c>
      <c r="L57" s="62">
        <f t="shared" si="10"/>
        <v>0</v>
      </c>
      <c r="M57" s="62">
        <f t="shared" si="10"/>
        <v>0</v>
      </c>
      <c r="N57" s="62">
        <f t="shared" si="10"/>
        <v>0</v>
      </c>
      <c r="O57" s="62">
        <f t="shared" si="10"/>
        <v>0</v>
      </c>
      <c r="P57" s="62">
        <f t="shared" si="10"/>
        <v>0</v>
      </c>
    </row>
    <row r="58" spans="2:17" s="200" customFormat="1">
      <c r="B58" s="199" t="s">
        <v>298</v>
      </c>
      <c r="G58" s="201">
        <f>SUM(G52:G57)</f>
        <v>942957142.85714293</v>
      </c>
      <c r="H58" s="201">
        <f t="shared" ref="H58:P58" si="11">SUM(H52:H57)</f>
        <v>942957142.85714293</v>
      </c>
      <c r="I58" s="201">
        <f t="shared" si="11"/>
        <v>942977142.85714293</v>
      </c>
      <c r="J58" s="201">
        <f t="shared" si="11"/>
        <v>985857428.57142854</v>
      </c>
      <c r="K58" s="201">
        <f t="shared" si="11"/>
        <v>1015857428.5714285</v>
      </c>
      <c r="L58" s="201">
        <f t="shared" si="11"/>
        <v>1015782928.5714285</v>
      </c>
      <c r="M58" s="201">
        <f t="shared" si="11"/>
        <v>1022664357.1428572</v>
      </c>
      <c r="N58" s="201">
        <f t="shared" si="11"/>
        <v>739819214.28571427</v>
      </c>
      <c r="O58" s="201">
        <f t="shared" si="11"/>
        <v>740538214.28571427</v>
      </c>
      <c r="P58" s="201">
        <f t="shared" si="11"/>
        <v>761976785.71428561</v>
      </c>
      <c r="Q58" s="202"/>
    </row>
    <row r="59" spans="2:17" s="200" customFormat="1">
      <c r="B59" s="199" t="s">
        <v>299</v>
      </c>
      <c r="G59" s="201">
        <f>+G58/12</f>
        <v>78579761.90476191</v>
      </c>
      <c r="H59" s="201">
        <f t="shared" ref="H59:P59" si="12">+H58/12</f>
        <v>78579761.90476191</v>
      </c>
      <c r="I59" s="201">
        <f t="shared" si="12"/>
        <v>78581428.571428582</v>
      </c>
      <c r="J59" s="201">
        <f t="shared" si="12"/>
        <v>82154785.714285716</v>
      </c>
      <c r="K59" s="201">
        <f t="shared" si="12"/>
        <v>84654785.714285716</v>
      </c>
      <c r="L59" s="201">
        <f t="shared" si="12"/>
        <v>84648577.380952373</v>
      </c>
      <c r="M59" s="201">
        <f t="shared" si="12"/>
        <v>85222029.761904761</v>
      </c>
      <c r="N59" s="201">
        <f t="shared" si="12"/>
        <v>61651601.190476187</v>
      </c>
      <c r="O59" s="201">
        <f t="shared" si="12"/>
        <v>61711517.857142858</v>
      </c>
      <c r="P59" s="201">
        <f t="shared" si="12"/>
        <v>63498065.47619047</v>
      </c>
      <c r="Q59" s="20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6A9-8EB3-42D9-B220-E1C60C33FEF2}">
  <dimension ref="B3:M57"/>
  <sheetViews>
    <sheetView showGridLines="0" topLeftCell="A3" workbookViewId="0"/>
  </sheetViews>
  <sheetFormatPr defaultRowHeight="13.8" outlineLevelRow="1"/>
  <cols>
    <col min="2" max="2" width="10.296875" bestFit="1" customWidth="1"/>
    <col min="3" max="3" width="23.8984375" bestFit="1" customWidth="1"/>
    <col min="4" max="4" width="16.3984375" bestFit="1" customWidth="1"/>
    <col min="5" max="13" width="14.69921875" bestFit="1" customWidth="1"/>
  </cols>
  <sheetData>
    <row r="3" spans="2:13" s="192" customFormat="1">
      <c r="C3" s="203" t="s">
        <v>288</v>
      </c>
      <c r="D3" s="203">
        <v>2025</v>
      </c>
      <c r="E3" s="203">
        <f>D3+1</f>
        <v>2026</v>
      </c>
      <c r="F3" s="203">
        <f t="shared" ref="F3:M3" si="0">E3+1</f>
        <v>2027</v>
      </c>
      <c r="G3" s="203">
        <f t="shared" si="0"/>
        <v>2028</v>
      </c>
      <c r="H3" s="203">
        <f t="shared" si="0"/>
        <v>2029</v>
      </c>
      <c r="I3" s="203">
        <f t="shared" si="0"/>
        <v>2030</v>
      </c>
      <c r="J3" s="203">
        <f t="shared" si="0"/>
        <v>2031</v>
      </c>
      <c r="K3" s="203">
        <f t="shared" si="0"/>
        <v>2032</v>
      </c>
      <c r="L3" s="203">
        <f t="shared" si="0"/>
        <v>2033</v>
      </c>
      <c r="M3" s="203">
        <f t="shared" si="0"/>
        <v>2034</v>
      </c>
    </row>
    <row r="4" spans="2:13">
      <c r="C4" s="203" t="s">
        <v>100</v>
      </c>
      <c r="D4" s="205">
        <v>54250000</v>
      </c>
      <c r="E4" s="205">
        <v>0</v>
      </c>
      <c r="F4" s="205">
        <v>0</v>
      </c>
      <c r="G4" s="205">
        <v>0</v>
      </c>
      <c r="H4" s="205">
        <v>0</v>
      </c>
      <c r="I4" s="205">
        <v>0</v>
      </c>
      <c r="J4" s="205">
        <v>0</v>
      </c>
      <c r="K4" s="205">
        <v>0</v>
      </c>
      <c r="L4" s="205">
        <v>0</v>
      </c>
      <c r="M4" s="205">
        <v>0</v>
      </c>
    </row>
    <row r="5" spans="2:13">
      <c r="C5" s="203" t="s">
        <v>101</v>
      </c>
      <c r="D5" s="205">
        <v>3000000000</v>
      </c>
      <c r="E5" s="205">
        <v>0</v>
      </c>
      <c r="F5" s="205">
        <v>400000</v>
      </c>
      <c r="G5" s="205">
        <v>200000</v>
      </c>
      <c r="H5" s="205">
        <v>0</v>
      </c>
      <c r="I5" s="205">
        <v>350000</v>
      </c>
      <c r="J5" s="205">
        <v>400000</v>
      </c>
      <c r="K5" s="205">
        <v>0</v>
      </c>
      <c r="L5" s="205">
        <v>100000</v>
      </c>
      <c r="M5" s="205">
        <v>200000</v>
      </c>
    </row>
    <row r="6" spans="2:13">
      <c r="C6" s="203" t="s">
        <v>102</v>
      </c>
      <c r="D6" s="205">
        <v>5000000000</v>
      </c>
      <c r="E6" s="205">
        <v>0</v>
      </c>
      <c r="F6" s="205">
        <v>0</v>
      </c>
      <c r="G6" s="205">
        <v>0</v>
      </c>
      <c r="H6" s="205">
        <v>300000000</v>
      </c>
      <c r="I6" s="205">
        <v>0</v>
      </c>
      <c r="J6" s="205">
        <v>40000000</v>
      </c>
      <c r="K6" s="205">
        <v>100000000</v>
      </c>
      <c r="L6" s="205">
        <v>0</v>
      </c>
      <c r="M6" s="205">
        <v>200000000</v>
      </c>
    </row>
    <row r="7" spans="2:13">
      <c r="C7" s="203" t="s">
        <v>103</v>
      </c>
      <c r="D7" s="205">
        <v>2000000000</v>
      </c>
      <c r="E7" s="205">
        <v>0</v>
      </c>
      <c r="F7" s="205">
        <v>0</v>
      </c>
      <c r="G7" s="205">
        <v>300000000</v>
      </c>
      <c r="H7" s="205">
        <v>0</v>
      </c>
      <c r="I7" s="205">
        <v>0</v>
      </c>
      <c r="J7" s="205">
        <v>20000000</v>
      </c>
      <c r="K7" s="205">
        <v>0</v>
      </c>
      <c r="L7" s="205">
        <v>5000000</v>
      </c>
      <c r="M7" s="205">
        <v>10000000</v>
      </c>
    </row>
    <row r="8" spans="2:13">
      <c r="C8" s="203" t="s">
        <v>163</v>
      </c>
      <c r="D8" s="205">
        <v>500000</v>
      </c>
      <c r="E8" s="205">
        <v>0</v>
      </c>
      <c r="F8" s="205">
        <v>0</v>
      </c>
      <c r="G8" s="205">
        <v>30000</v>
      </c>
      <c r="H8" s="205">
        <v>0</v>
      </c>
      <c r="I8" s="205">
        <v>40000</v>
      </c>
      <c r="J8" s="205">
        <v>0</v>
      </c>
      <c r="K8" s="205">
        <v>60000</v>
      </c>
      <c r="L8" s="205">
        <v>0</v>
      </c>
      <c r="M8" s="205">
        <v>0</v>
      </c>
    </row>
    <row r="9" spans="2:13">
      <c r="C9" s="203" t="s">
        <v>105</v>
      </c>
      <c r="D9" s="205">
        <v>50000000</v>
      </c>
      <c r="E9" s="205">
        <v>0</v>
      </c>
      <c r="F9" s="205">
        <v>0</v>
      </c>
      <c r="G9" s="205">
        <v>50000</v>
      </c>
      <c r="H9" s="205">
        <v>0</v>
      </c>
      <c r="I9" s="205">
        <v>0</v>
      </c>
      <c r="J9" s="205">
        <v>30000</v>
      </c>
      <c r="K9" s="205">
        <v>0</v>
      </c>
      <c r="L9" s="205">
        <v>40000</v>
      </c>
      <c r="M9" s="205">
        <v>0</v>
      </c>
    </row>
    <row r="11" spans="2:13" s="192" customFormat="1">
      <c r="B11" s="192" t="s">
        <v>290</v>
      </c>
      <c r="C11" s="193" t="s">
        <v>288</v>
      </c>
      <c r="D11" s="193">
        <v>2025</v>
      </c>
      <c r="E11" s="193">
        <f>D11+1</f>
        <v>2026</v>
      </c>
      <c r="F11" s="193">
        <f t="shared" ref="F11:M11" si="1">E11+1</f>
        <v>2027</v>
      </c>
      <c r="G11" s="193">
        <f t="shared" si="1"/>
        <v>2028</v>
      </c>
      <c r="H11" s="193">
        <f t="shared" si="1"/>
        <v>2029</v>
      </c>
      <c r="I11" s="193">
        <f t="shared" si="1"/>
        <v>2030</v>
      </c>
      <c r="J11" s="193">
        <f t="shared" si="1"/>
        <v>2031</v>
      </c>
      <c r="K11" s="193">
        <f t="shared" si="1"/>
        <v>2032</v>
      </c>
      <c r="L11" s="193">
        <f t="shared" si="1"/>
        <v>2033</v>
      </c>
      <c r="M11" s="193">
        <f t="shared" si="1"/>
        <v>2034</v>
      </c>
    </row>
    <row r="12" spans="2:13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>
      <c r="B13" s="198">
        <f>+CapEx!C42</f>
        <v>0</v>
      </c>
      <c r="C13" s="37" t="s">
        <v>289</v>
      </c>
      <c r="D13" s="62">
        <f>IFERROR($D$4/$B13,0)</f>
        <v>0</v>
      </c>
      <c r="E13" s="62">
        <f t="shared" ref="E13:M13" si="2">IFERROR($D$4/$B13,0)</f>
        <v>0</v>
      </c>
      <c r="F13" s="62">
        <f t="shared" si="2"/>
        <v>0</v>
      </c>
      <c r="G13" s="62">
        <f t="shared" si="2"/>
        <v>0</v>
      </c>
      <c r="H13" s="62">
        <f t="shared" si="2"/>
        <v>0</v>
      </c>
      <c r="I13" s="62">
        <f t="shared" si="2"/>
        <v>0</v>
      </c>
      <c r="J13" s="62">
        <f t="shared" si="2"/>
        <v>0</v>
      </c>
      <c r="K13" s="62">
        <f t="shared" si="2"/>
        <v>0</v>
      </c>
      <c r="L13" s="62">
        <f t="shared" si="2"/>
        <v>0</v>
      </c>
      <c r="M13" s="62">
        <f t="shared" si="2"/>
        <v>0</v>
      </c>
    </row>
    <row r="14" spans="2:13">
      <c r="B14" s="1"/>
      <c r="C14" s="191" t="s">
        <v>294</v>
      </c>
      <c r="D14" s="158">
        <f>SUM(D13)</f>
        <v>0</v>
      </c>
      <c r="E14" s="158">
        <f t="shared" ref="E14:M14" si="3">SUM(E13)</f>
        <v>0</v>
      </c>
      <c r="F14" s="158">
        <f t="shared" si="3"/>
        <v>0</v>
      </c>
      <c r="G14" s="158">
        <f t="shared" si="3"/>
        <v>0</v>
      </c>
      <c r="H14" s="158">
        <f t="shared" si="3"/>
        <v>0</v>
      </c>
      <c r="I14" s="158">
        <f t="shared" si="3"/>
        <v>0</v>
      </c>
      <c r="J14" s="158">
        <f t="shared" si="3"/>
        <v>0</v>
      </c>
      <c r="K14" s="158">
        <f t="shared" si="3"/>
        <v>0</v>
      </c>
      <c r="L14" s="158">
        <f t="shared" si="3"/>
        <v>0</v>
      </c>
      <c r="M14" s="158">
        <f t="shared" si="3"/>
        <v>0</v>
      </c>
    </row>
    <row r="15" spans="2:13">
      <c r="B15" s="198">
        <f>+CapEx!C43</f>
        <v>20</v>
      </c>
      <c r="C15" s="37" t="s">
        <v>291</v>
      </c>
    </row>
    <row r="16" spans="2:13" hidden="1" outlineLevel="1">
      <c r="B16" s="1"/>
      <c r="C16" s="37">
        <v>1</v>
      </c>
      <c r="D16" s="62">
        <f>$D$5/$B$15</f>
        <v>150000000</v>
      </c>
      <c r="E16" s="62">
        <f t="shared" ref="E16:M16" si="4">$D$5/$B$15</f>
        <v>150000000</v>
      </c>
      <c r="F16" s="62">
        <f t="shared" si="4"/>
        <v>150000000</v>
      </c>
      <c r="G16" s="62">
        <f t="shared" si="4"/>
        <v>150000000</v>
      </c>
      <c r="H16" s="62">
        <f t="shared" si="4"/>
        <v>150000000</v>
      </c>
      <c r="I16" s="62">
        <f t="shared" si="4"/>
        <v>150000000</v>
      </c>
      <c r="J16" s="62">
        <f t="shared" si="4"/>
        <v>150000000</v>
      </c>
      <c r="K16" s="62">
        <f t="shared" si="4"/>
        <v>150000000</v>
      </c>
      <c r="L16" s="62">
        <f t="shared" si="4"/>
        <v>150000000</v>
      </c>
      <c r="M16" s="62">
        <f t="shared" si="4"/>
        <v>150000000</v>
      </c>
    </row>
    <row r="17" spans="2:13" hidden="1" outlineLevel="1">
      <c r="B17" s="1"/>
      <c r="C17" s="37">
        <v>2</v>
      </c>
      <c r="D17" s="62"/>
      <c r="E17" s="62"/>
      <c r="F17" s="62">
        <f>$F$5/$B$15</f>
        <v>20000</v>
      </c>
      <c r="G17" s="62">
        <f t="shared" ref="G17:M17" si="5">$F$5/$B$15</f>
        <v>20000</v>
      </c>
      <c r="H17" s="62">
        <f t="shared" si="5"/>
        <v>20000</v>
      </c>
      <c r="I17" s="62">
        <f t="shared" si="5"/>
        <v>20000</v>
      </c>
      <c r="J17" s="62">
        <f t="shared" si="5"/>
        <v>20000</v>
      </c>
      <c r="K17" s="62">
        <f t="shared" si="5"/>
        <v>20000</v>
      </c>
      <c r="L17" s="62">
        <f t="shared" si="5"/>
        <v>20000</v>
      </c>
      <c r="M17" s="62">
        <f t="shared" si="5"/>
        <v>20000</v>
      </c>
    </row>
    <row r="18" spans="2:13" hidden="1" outlineLevel="1">
      <c r="B18" s="1"/>
      <c r="C18" s="37">
        <v>3</v>
      </c>
      <c r="D18" s="62"/>
      <c r="E18" s="62"/>
      <c r="F18" s="62"/>
      <c r="G18" s="62">
        <f>+$G$5/$B$15</f>
        <v>10000</v>
      </c>
      <c r="H18" s="62">
        <f t="shared" ref="H18:M18" si="6">+$G$5/$B$15</f>
        <v>10000</v>
      </c>
      <c r="I18" s="62">
        <f t="shared" si="6"/>
        <v>10000</v>
      </c>
      <c r="J18" s="62">
        <f t="shared" si="6"/>
        <v>10000</v>
      </c>
      <c r="K18" s="62">
        <f t="shared" si="6"/>
        <v>10000</v>
      </c>
      <c r="L18" s="62">
        <f t="shared" si="6"/>
        <v>10000</v>
      </c>
      <c r="M18" s="62">
        <f t="shared" si="6"/>
        <v>10000</v>
      </c>
    </row>
    <row r="19" spans="2:13" hidden="1" outlineLevel="1">
      <c r="B19" s="1"/>
      <c r="C19" s="37">
        <v>4</v>
      </c>
      <c r="D19" s="62"/>
      <c r="E19" s="62"/>
      <c r="F19" s="62"/>
      <c r="G19" s="62"/>
      <c r="H19" s="62"/>
      <c r="I19" s="62">
        <f>+$I$5/$B$15</f>
        <v>17500</v>
      </c>
      <c r="J19" s="62">
        <f t="shared" ref="J19:M19" si="7">+$I$5/$B$15</f>
        <v>17500</v>
      </c>
      <c r="K19" s="62">
        <f t="shared" si="7"/>
        <v>17500</v>
      </c>
      <c r="L19" s="62">
        <f t="shared" si="7"/>
        <v>17500</v>
      </c>
      <c r="M19" s="62">
        <f t="shared" si="7"/>
        <v>17500</v>
      </c>
    </row>
    <row r="20" spans="2:13" hidden="1" outlineLevel="1">
      <c r="B20" s="1"/>
      <c r="C20" s="37">
        <v>5</v>
      </c>
      <c r="D20" s="62"/>
      <c r="E20" s="62"/>
      <c r="F20" s="62"/>
      <c r="G20" s="62"/>
      <c r="H20" s="62"/>
      <c r="I20" s="62"/>
      <c r="J20" s="62">
        <f>+$J$5/$B$15</f>
        <v>20000</v>
      </c>
      <c r="K20" s="62">
        <f t="shared" ref="K20:M20" si="8">+$J$5/$B$15</f>
        <v>20000</v>
      </c>
      <c r="L20" s="62">
        <f t="shared" si="8"/>
        <v>20000</v>
      </c>
      <c r="M20" s="62">
        <f t="shared" si="8"/>
        <v>20000</v>
      </c>
    </row>
    <row r="21" spans="2:13" hidden="1" outlineLevel="1">
      <c r="B21" s="1"/>
      <c r="C21" s="37">
        <v>6</v>
      </c>
      <c r="D21" s="62"/>
      <c r="E21" s="62"/>
      <c r="F21" s="62"/>
      <c r="G21" s="62"/>
      <c r="H21" s="62"/>
      <c r="I21" s="62"/>
      <c r="J21" s="62"/>
      <c r="K21" s="62"/>
      <c r="L21" s="62">
        <f>+$L$5/$B$15</f>
        <v>5000</v>
      </c>
      <c r="M21" s="62">
        <f t="shared" ref="M21" si="9">+$L$5/$B$15</f>
        <v>5000</v>
      </c>
    </row>
    <row r="22" spans="2:13" hidden="1" outlineLevel="1">
      <c r="B22" s="1"/>
      <c r="C22" s="37">
        <v>7</v>
      </c>
      <c r="D22" s="62"/>
      <c r="E22" s="62"/>
      <c r="F22" s="62"/>
      <c r="G22" s="62"/>
      <c r="H22" s="62"/>
      <c r="I22" s="62"/>
      <c r="J22" s="62"/>
      <c r="K22" s="62"/>
      <c r="L22" s="62"/>
      <c r="M22" s="62">
        <f>+$M$5/$B$15</f>
        <v>10000</v>
      </c>
    </row>
    <row r="23" spans="2:13" collapsed="1">
      <c r="B23" s="1"/>
      <c r="C23" s="191" t="s">
        <v>292</v>
      </c>
      <c r="D23" s="158">
        <f>SUM(D16:D22)</f>
        <v>150000000</v>
      </c>
      <c r="E23" s="158">
        <f t="shared" ref="E23:M23" si="10">SUM(E16:E22)</f>
        <v>150000000</v>
      </c>
      <c r="F23" s="158">
        <f t="shared" si="10"/>
        <v>150020000</v>
      </c>
      <c r="G23" s="158">
        <f t="shared" si="10"/>
        <v>150030000</v>
      </c>
      <c r="H23" s="158">
        <f t="shared" si="10"/>
        <v>150030000</v>
      </c>
      <c r="I23" s="158">
        <f t="shared" si="10"/>
        <v>150047500</v>
      </c>
      <c r="J23" s="158">
        <f t="shared" si="10"/>
        <v>150067500</v>
      </c>
      <c r="K23" s="158">
        <f t="shared" si="10"/>
        <v>150067500</v>
      </c>
      <c r="L23" s="158">
        <f t="shared" si="10"/>
        <v>150072500</v>
      </c>
      <c r="M23" s="158">
        <f t="shared" si="10"/>
        <v>150082500</v>
      </c>
    </row>
    <row r="24" spans="2:13">
      <c r="B24" s="1"/>
      <c r="C24" s="194"/>
      <c r="D24" s="190"/>
      <c r="E24" s="190"/>
      <c r="F24" s="190"/>
      <c r="G24" s="190"/>
      <c r="H24" s="190"/>
      <c r="I24" s="190"/>
      <c r="J24" s="190"/>
      <c r="K24" s="190"/>
      <c r="L24" s="190"/>
      <c r="M24" s="190"/>
    </row>
    <row r="25" spans="2:13">
      <c r="B25" s="198">
        <f>+CapEx!C44</f>
        <v>10</v>
      </c>
      <c r="C25" s="16" t="s">
        <v>102</v>
      </c>
    </row>
    <row r="26" spans="2:13" hidden="1" outlineLevel="1">
      <c r="B26" s="1"/>
      <c r="C26" s="37">
        <v>1</v>
      </c>
      <c r="D26" s="62">
        <f>+$D$6/$B$25</f>
        <v>500000000</v>
      </c>
      <c r="E26" s="62">
        <f t="shared" ref="E26:M26" si="11">+$D$6/$B$25</f>
        <v>500000000</v>
      </c>
      <c r="F26" s="62">
        <f t="shared" si="11"/>
        <v>500000000</v>
      </c>
      <c r="G26" s="62">
        <f t="shared" si="11"/>
        <v>500000000</v>
      </c>
      <c r="H26" s="62">
        <f t="shared" si="11"/>
        <v>500000000</v>
      </c>
      <c r="I26" s="62">
        <f t="shared" si="11"/>
        <v>500000000</v>
      </c>
      <c r="J26" s="62">
        <f t="shared" si="11"/>
        <v>500000000</v>
      </c>
      <c r="K26" s="62">
        <f t="shared" si="11"/>
        <v>500000000</v>
      </c>
      <c r="L26" s="62">
        <f t="shared" si="11"/>
        <v>500000000</v>
      </c>
      <c r="M26" s="62">
        <f t="shared" si="11"/>
        <v>500000000</v>
      </c>
    </row>
    <row r="27" spans="2:13" hidden="1" outlineLevel="1">
      <c r="B27" s="1"/>
      <c r="C27" s="37">
        <v>2</v>
      </c>
      <c r="D27" s="62"/>
      <c r="E27" s="62"/>
      <c r="F27" s="62"/>
      <c r="G27" s="62"/>
      <c r="H27" s="62">
        <f>+$H$6/$B$25</f>
        <v>30000000</v>
      </c>
      <c r="I27" s="62">
        <f t="shared" ref="I27:M27" si="12">+$H$6/$B$25</f>
        <v>30000000</v>
      </c>
      <c r="J27" s="62">
        <f t="shared" si="12"/>
        <v>30000000</v>
      </c>
      <c r="K27" s="62">
        <f t="shared" si="12"/>
        <v>30000000</v>
      </c>
      <c r="L27" s="62">
        <f t="shared" si="12"/>
        <v>30000000</v>
      </c>
      <c r="M27" s="62">
        <f t="shared" si="12"/>
        <v>30000000</v>
      </c>
    </row>
    <row r="28" spans="2:13" hidden="1" outlineLevel="1">
      <c r="B28" s="1"/>
      <c r="C28" s="37">
        <v>3</v>
      </c>
      <c r="D28" s="62"/>
      <c r="E28" s="62"/>
      <c r="F28" s="62"/>
      <c r="G28" s="62"/>
      <c r="H28" s="62"/>
      <c r="I28" s="62"/>
      <c r="J28" s="62">
        <f>+$J$6/$B$25</f>
        <v>4000000</v>
      </c>
      <c r="K28" s="62">
        <f t="shared" ref="K28:M28" si="13">+$J$6/$B$25</f>
        <v>4000000</v>
      </c>
      <c r="L28" s="62">
        <f t="shared" si="13"/>
        <v>4000000</v>
      </c>
      <c r="M28" s="62">
        <f t="shared" si="13"/>
        <v>4000000</v>
      </c>
    </row>
    <row r="29" spans="2:13" hidden="1" outlineLevel="1">
      <c r="B29" s="1"/>
      <c r="C29" s="37">
        <v>4</v>
      </c>
      <c r="D29" s="62"/>
      <c r="E29" s="62"/>
      <c r="F29" s="62"/>
      <c r="G29" s="62"/>
      <c r="H29" s="62"/>
      <c r="I29" s="62"/>
      <c r="J29" s="62"/>
      <c r="K29" s="62">
        <f>+$K$6/$B$25</f>
        <v>10000000</v>
      </c>
      <c r="L29" s="62">
        <f t="shared" ref="L29:M29" si="14">+$K$6/$B$25</f>
        <v>10000000</v>
      </c>
      <c r="M29" s="62">
        <f t="shared" si="14"/>
        <v>10000000</v>
      </c>
    </row>
    <row r="30" spans="2:13" hidden="1" outlineLevel="1">
      <c r="B30" s="1"/>
      <c r="C30" s="37">
        <v>5</v>
      </c>
      <c r="D30" s="62"/>
      <c r="E30" s="62"/>
      <c r="F30" s="62"/>
      <c r="G30" s="62"/>
      <c r="H30" s="62"/>
      <c r="I30" s="62"/>
      <c r="J30" s="62"/>
      <c r="K30" s="62"/>
      <c r="L30" s="62"/>
      <c r="M30" s="62">
        <f>+$M$6/$B$25</f>
        <v>20000000</v>
      </c>
    </row>
    <row r="31" spans="2:13" collapsed="1">
      <c r="B31" s="1"/>
      <c r="C31" s="191" t="s">
        <v>293</v>
      </c>
      <c r="D31" s="158">
        <f>SUM(D26:D30)</f>
        <v>500000000</v>
      </c>
      <c r="E31" s="158">
        <f t="shared" ref="E31:M31" si="15">SUM(E26:E30)</f>
        <v>500000000</v>
      </c>
      <c r="F31" s="158">
        <f t="shared" si="15"/>
        <v>500000000</v>
      </c>
      <c r="G31" s="158">
        <f t="shared" si="15"/>
        <v>500000000</v>
      </c>
      <c r="H31" s="158">
        <f t="shared" si="15"/>
        <v>530000000</v>
      </c>
      <c r="I31" s="158">
        <f t="shared" si="15"/>
        <v>530000000</v>
      </c>
      <c r="J31" s="158">
        <f t="shared" si="15"/>
        <v>534000000</v>
      </c>
      <c r="K31" s="158">
        <f t="shared" si="15"/>
        <v>544000000</v>
      </c>
      <c r="L31" s="158">
        <f t="shared" si="15"/>
        <v>544000000</v>
      </c>
      <c r="M31" s="158">
        <f t="shared" si="15"/>
        <v>564000000</v>
      </c>
    </row>
    <row r="32" spans="2:13">
      <c r="B32" s="1"/>
    </row>
    <row r="33" spans="2:13">
      <c r="B33" s="198">
        <f>+CapEx!C45</f>
        <v>7</v>
      </c>
      <c r="C33" t="str">
        <f>+C7</f>
        <v>Factory Equipment</v>
      </c>
    </row>
    <row r="34" spans="2:13" hidden="1" outlineLevel="1">
      <c r="B34" s="1"/>
      <c r="C34">
        <v>1</v>
      </c>
      <c r="D34" s="62">
        <f>+$D$7/$B$33</f>
        <v>285714285.71428573</v>
      </c>
      <c r="E34" s="62">
        <f t="shared" ref="E34:M34" si="16">+$D$7/$B$33</f>
        <v>285714285.71428573</v>
      </c>
      <c r="F34" s="62">
        <f t="shared" si="16"/>
        <v>285714285.71428573</v>
      </c>
      <c r="G34" s="62">
        <f t="shared" si="16"/>
        <v>285714285.71428573</v>
      </c>
      <c r="H34" s="62">
        <f t="shared" si="16"/>
        <v>285714285.71428573</v>
      </c>
      <c r="I34" s="62">
        <f t="shared" si="16"/>
        <v>285714285.71428573</v>
      </c>
      <c r="J34" s="62">
        <f t="shared" si="16"/>
        <v>285714285.71428573</v>
      </c>
      <c r="K34" s="62"/>
      <c r="L34" s="62"/>
      <c r="M34" s="62"/>
    </row>
    <row r="35" spans="2:13" hidden="1" outlineLevel="1">
      <c r="B35" s="1"/>
      <c r="C35">
        <v>2</v>
      </c>
      <c r="D35" s="62"/>
      <c r="E35" s="62"/>
      <c r="F35" s="62"/>
      <c r="G35" s="62">
        <f>+$G$7/$B$33</f>
        <v>42857142.857142858</v>
      </c>
      <c r="H35" s="62">
        <f t="shared" ref="H35:M35" si="17">+$G$7/$B$33</f>
        <v>42857142.857142858</v>
      </c>
      <c r="I35" s="62">
        <f t="shared" si="17"/>
        <v>42857142.857142858</v>
      </c>
      <c r="J35" s="62">
        <f t="shared" si="17"/>
        <v>42857142.857142858</v>
      </c>
      <c r="K35" s="62">
        <f t="shared" si="17"/>
        <v>42857142.857142858</v>
      </c>
      <c r="L35" s="62">
        <f t="shared" si="17"/>
        <v>42857142.857142858</v>
      </c>
      <c r="M35" s="62">
        <f t="shared" si="17"/>
        <v>42857142.857142858</v>
      </c>
    </row>
    <row r="36" spans="2:13" hidden="1" outlineLevel="1">
      <c r="B36" s="1"/>
      <c r="C36">
        <v>3</v>
      </c>
      <c r="D36" s="62"/>
      <c r="E36" s="62"/>
      <c r="F36" s="62"/>
      <c r="G36" s="62"/>
      <c r="H36" s="62"/>
      <c r="I36" s="62"/>
      <c r="J36" s="62">
        <f>+$J$7/$B$33</f>
        <v>2857142.8571428573</v>
      </c>
      <c r="K36" s="62">
        <f t="shared" ref="K36:M36" si="18">+$J$7/$B$33</f>
        <v>2857142.8571428573</v>
      </c>
      <c r="L36" s="62">
        <f t="shared" si="18"/>
        <v>2857142.8571428573</v>
      </c>
      <c r="M36" s="62">
        <f t="shared" si="18"/>
        <v>2857142.8571428573</v>
      </c>
    </row>
    <row r="37" spans="2:13" hidden="1" outlineLevel="1">
      <c r="B37" s="1"/>
      <c r="C37">
        <v>4</v>
      </c>
      <c r="D37" s="62"/>
      <c r="E37" s="62"/>
      <c r="F37" s="62"/>
      <c r="G37" s="62"/>
      <c r="H37" s="62"/>
      <c r="I37" s="62"/>
      <c r="J37" s="62"/>
      <c r="K37" s="62"/>
      <c r="L37" s="62">
        <f>+$L$7/$B$33</f>
        <v>714285.71428571432</v>
      </c>
      <c r="M37" s="62">
        <f>+$L$7/$B$33</f>
        <v>714285.71428571432</v>
      </c>
    </row>
    <row r="38" spans="2:13" hidden="1" outlineLevel="1">
      <c r="B38" s="1"/>
      <c r="C38">
        <v>5</v>
      </c>
      <c r="D38" s="62"/>
      <c r="E38" s="62"/>
      <c r="F38" s="62"/>
      <c r="G38" s="62"/>
      <c r="H38" s="62"/>
      <c r="I38" s="62"/>
      <c r="J38" s="62"/>
      <c r="K38" s="62"/>
      <c r="L38" s="62"/>
      <c r="M38" s="62">
        <f>+$M$7/$B$33</f>
        <v>1428571.4285714286</v>
      </c>
    </row>
    <row r="39" spans="2:13" collapsed="1">
      <c r="B39" s="1"/>
      <c r="C39" s="191" t="s">
        <v>295</v>
      </c>
      <c r="D39" s="158">
        <f>SUM(D34:D38)</f>
        <v>285714285.71428573</v>
      </c>
      <c r="E39" s="158">
        <f t="shared" ref="E39:M39" si="19">SUM(E34:E38)</f>
        <v>285714285.71428573</v>
      </c>
      <c r="F39" s="158">
        <f t="shared" si="19"/>
        <v>285714285.71428573</v>
      </c>
      <c r="G39" s="195">
        <f t="shared" si="19"/>
        <v>328571428.5714286</v>
      </c>
      <c r="H39" s="195">
        <f t="shared" si="19"/>
        <v>328571428.5714286</v>
      </c>
      <c r="I39" s="195">
        <f t="shared" si="19"/>
        <v>328571428.5714286</v>
      </c>
      <c r="J39" s="195">
        <f t="shared" si="19"/>
        <v>331428571.42857146</v>
      </c>
      <c r="K39" s="195">
        <f t="shared" si="19"/>
        <v>45714285.714285716</v>
      </c>
      <c r="L39" s="195">
        <f t="shared" si="19"/>
        <v>46428571.428571433</v>
      </c>
      <c r="M39" s="195">
        <f t="shared" si="19"/>
        <v>47857142.857142858</v>
      </c>
    </row>
    <row r="40" spans="2:13">
      <c r="B40" s="1"/>
    </row>
    <row r="41" spans="2:13">
      <c r="B41" s="198">
        <f>+CapEx!C46</f>
        <v>5</v>
      </c>
      <c r="C41" s="16" t="s">
        <v>163</v>
      </c>
    </row>
    <row r="42" spans="2:13" hidden="1" outlineLevel="1">
      <c r="B42" s="1"/>
      <c r="C42">
        <v>1</v>
      </c>
      <c r="D42">
        <f>+$D$8/$B$41</f>
        <v>100000</v>
      </c>
      <c r="E42">
        <f t="shared" ref="E42:H42" si="20">+$D$8/$B$41</f>
        <v>100000</v>
      </c>
      <c r="F42">
        <f t="shared" si="20"/>
        <v>100000</v>
      </c>
      <c r="G42">
        <f t="shared" si="20"/>
        <v>100000</v>
      </c>
      <c r="H42">
        <f t="shared" si="20"/>
        <v>100000</v>
      </c>
    </row>
    <row r="43" spans="2:13" hidden="1" outlineLevel="1">
      <c r="B43" s="1"/>
      <c r="C43">
        <v>2</v>
      </c>
      <c r="G43">
        <f>+$G$8/$B$41</f>
        <v>6000</v>
      </c>
      <c r="H43">
        <f>+$G$8/$B$41</f>
        <v>6000</v>
      </c>
      <c r="I43">
        <f>+$G$8/$B$41</f>
        <v>6000</v>
      </c>
      <c r="J43">
        <f>+$G$8/$B$41</f>
        <v>6000</v>
      </c>
      <c r="K43">
        <f>+$G$8/$B$41</f>
        <v>6000</v>
      </c>
    </row>
    <row r="44" spans="2:13" hidden="1" outlineLevel="1">
      <c r="B44" s="1"/>
      <c r="C44">
        <v>3</v>
      </c>
      <c r="I44">
        <f>+$I$8/$B$41</f>
        <v>8000</v>
      </c>
      <c r="J44">
        <f t="shared" ref="J44:M44" si="21">+$I$8/$B$41</f>
        <v>8000</v>
      </c>
      <c r="K44">
        <f t="shared" si="21"/>
        <v>8000</v>
      </c>
      <c r="L44">
        <f t="shared" si="21"/>
        <v>8000</v>
      </c>
      <c r="M44">
        <f t="shared" si="21"/>
        <v>8000</v>
      </c>
    </row>
    <row r="45" spans="2:13" hidden="1" outlineLevel="1">
      <c r="B45" s="1"/>
      <c r="C45">
        <v>4</v>
      </c>
      <c r="K45">
        <f>+$K$8/$B$41</f>
        <v>12000</v>
      </c>
      <c r="L45">
        <f t="shared" ref="L45:M45" si="22">+$K$8/$B$41</f>
        <v>12000</v>
      </c>
      <c r="M45">
        <f t="shared" si="22"/>
        <v>12000</v>
      </c>
    </row>
    <row r="46" spans="2:13" collapsed="1">
      <c r="B46" s="1"/>
      <c r="C46" s="191" t="s">
        <v>297</v>
      </c>
      <c r="D46" s="158">
        <f>SUM(D42:D45)</f>
        <v>100000</v>
      </c>
      <c r="E46" s="158">
        <f t="shared" ref="E46:M46" si="23">SUM(E42:E45)</f>
        <v>100000</v>
      </c>
      <c r="F46" s="158">
        <f t="shared" si="23"/>
        <v>100000</v>
      </c>
      <c r="G46" s="158">
        <f t="shared" si="23"/>
        <v>106000</v>
      </c>
      <c r="H46" s="158">
        <f t="shared" si="23"/>
        <v>106000</v>
      </c>
      <c r="I46" s="158">
        <f t="shared" si="23"/>
        <v>14000</v>
      </c>
      <c r="J46" s="158">
        <f t="shared" si="23"/>
        <v>14000</v>
      </c>
      <c r="K46" s="158">
        <f t="shared" si="23"/>
        <v>26000</v>
      </c>
      <c r="L46" s="158">
        <f t="shared" si="23"/>
        <v>20000</v>
      </c>
      <c r="M46" s="158">
        <f t="shared" si="23"/>
        <v>20000</v>
      </c>
    </row>
    <row r="47" spans="2:13">
      <c r="B47" s="1"/>
    </row>
    <row r="48" spans="2:13">
      <c r="B48" s="198">
        <f>+CapEx!C47</f>
        <v>7</v>
      </c>
      <c r="C48" s="168" t="s">
        <v>105</v>
      </c>
    </row>
    <row r="49" spans="2:13" hidden="1" outlineLevel="1">
      <c r="C49">
        <v>1</v>
      </c>
      <c r="D49" s="62">
        <f>+$D$9/$B$48</f>
        <v>7142857.1428571427</v>
      </c>
      <c r="E49" s="62">
        <f t="shared" ref="E49:J49" si="24">+$D$9/$B$48</f>
        <v>7142857.1428571427</v>
      </c>
      <c r="F49" s="62">
        <f t="shared" si="24"/>
        <v>7142857.1428571427</v>
      </c>
      <c r="G49" s="62">
        <f t="shared" si="24"/>
        <v>7142857.1428571427</v>
      </c>
      <c r="H49" s="62">
        <f t="shared" si="24"/>
        <v>7142857.1428571427</v>
      </c>
      <c r="I49" s="62">
        <f t="shared" si="24"/>
        <v>7142857.1428571427</v>
      </c>
      <c r="J49" s="62">
        <f t="shared" si="24"/>
        <v>7142857.1428571427</v>
      </c>
      <c r="K49" s="62"/>
      <c r="L49" s="62"/>
      <c r="M49" s="62"/>
    </row>
    <row r="50" spans="2:13" hidden="1" outlineLevel="1">
      <c r="C50">
        <v>2</v>
      </c>
      <c r="D50" s="62"/>
      <c r="E50" s="62"/>
      <c r="F50" s="62"/>
      <c r="G50" s="62">
        <f>+$G$9/$B$48</f>
        <v>7142.8571428571431</v>
      </c>
      <c r="H50" s="62">
        <f t="shared" ref="H50:M50" si="25">+$G$9/$B$48</f>
        <v>7142.8571428571431</v>
      </c>
      <c r="I50" s="62">
        <f t="shared" si="25"/>
        <v>7142.8571428571431</v>
      </c>
      <c r="J50" s="62">
        <f t="shared" si="25"/>
        <v>7142.8571428571431</v>
      </c>
      <c r="K50" s="62">
        <f t="shared" si="25"/>
        <v>7142.8571428571431</v>
      </c>
      <c r="L50" s="62">
        <f t="shared" si="25"/>
        <v>7142.8571428571431</v>
      </c>
      <c r="M50" s="62">
        <f t="shared" si="25"/>
        <v>7142.8571428571431</v>
      </c>
    </row>
    <row r="51" spans="2:13" hidden="1" outlineLevel="1">
      <c r="C51">
        <v>3</v>
      </c>
      <c r="D51" s="62"/>
      <c r="E51" s="62"/>
      <c r="F51" s="62"/>
      <c r="G51" s="62"/>
      <c r="H51" s="62"/>
      <c r="I51" s="62"/>
      <c r="J51" s="62">
        <f>+$J$9/$B$48</f>
        <v>4285.7142857142853</v>
      </c>
      <c r="K51" s="62">
        <f t="shared" ref="K51:M51" si="26">+$J$9/$B$48</f>
        <v>4285.7142857142853</v>
      </c>
      <c r="L51" s="62">
        <f t="shared" si="26"/>
        <v>4285.7142857142853</v>
      </c>
      <c r="M51" s="62">
        <f t="shared" si="26"/>
        <v>4285.7142857142853</v>
      </c>
    </row>
    <row r="52" spans="2:13" hidden="1" outlineLevel="1">
      <c r="C52">
        <v>4</v>
      </c>
      <c r="D52" s="62"/>
      <c r="E52" s="62"/>
      <c r="F52" s="62"/>
      <c r="G52" s="62"/>
      <c r="H52" s="62"/>
      <c r="I52" s="62"/>
      <c r="J52" s="62"/>
      <c r="K52" s="62"/>
      <c r="L52" s="62">
        <f>+$L$9/$B$48</f>
        <v>5714.2857142857147</v>
      </c>
      <c r="M52" s="62">
        <f t="shared" ref="M52" si="27">+$L$9/$B$48</f>
        <v>5714.2857142857147</v>
      </c>
    </row>
    <row r="53" spans="2:13" collapsed="1">
      <c r="C53" s="191" t="s">
        <v>296</v>
      </c>
      <c r="D53" s="158">
        <f>SUM(D49:D52)</f>
        <v>7142857.1428571427</v>
      </c>
      <c r="E53" s="158">
        <f t="shared" ref="E53:M53" si="28">SUM(E49:E52)</f>
        <v>7142857.1428571427</v>
      </c>
      <c r="F53" s="158">
        <f t="shared" si="28"/>
        <v>7142857.1428571427</v>
      </c>
      <c r="G53" s="158">
        <f t="shared" si="28"/>
        <v>7150000</v>
      </c>
      <c r="H53" s="158">
        <f t="shared" si="28"/>
        <v>7150000</v>
      </c>
      <c r="I53" s="158">
        <f t="shared" si="28"/>
        <v>7150000</v>
      </c>
      <c r="J53" s="158">
        <f t="shared" si="28"/>
        <v>7154285.7142857146</v>
      </c>
      <c r="K53" s="158">
        <f t="shared" si="28"/>
        <v>11428.571428571428</v>
      </c>
      <c r="L53" s="158">
        <f t="shared" si="28"/>
        <v>17142.857142857141</v>
      </c>
      <c r="M53" s="158">
        <f t="shared" si="28"/>
        <v>17142.857142857141</v>
      </c>
    </row>
    <row r="56" spans="2:13" ht="14.4" thickBot="1">
      <c r="B56" s="1" t="s">
        <v>35</v>
      </c>
      <c r="C56" s="196" t="s">
        <v>298</v>
      </c>
      <c r="D56" s="197">
        <f>+D14+D23+D31+D39+D46+D53</f>
        <v>942957142.85714293</v>
      </c>
      <c r="E56" s="197">
        <f t="shared" ref="E56:M56" si="29">+E14+E23+E31+E39+E46+E53</f>
        <v>942957142.85714293</v>
      </c>
      <c r="F56" s="197">
        <f t="shared" si="29"/>
        <v>942977142.85714293</v>
      </c>
      <c r="G56" s="197">
        <f t="shared" si="29"/>
        <v>985857428.57142854</v>
      </c>
      <c r="H56" s="197">
        <f t="shared" si="29"/>
        <v>1015857428.5714285</v>
      </c>
      <c r="I56" s="197">
        <f t="shared" si="29"/>
        <v>1015782928.5714285</v>
      </c>
      <c r="J56" s="197">
        <f t="shared" si="29"/>
        <v>1022664357.1428572</v>
      </c>
      <c r="K56" s="197">
        <f t="shared" si="29"/>
        <v>739819214.28571427</v>
      </c>
      <c r="L56" s="197">
        <f t="shared" si="29"/>
        <v>740538214.28571427</v>
      </c>
      <c r="M56" s="197">
        <f t="shared" si="29"/>
        <v>761976785.71428561</v>
      </c>
    </row>
    <row r="57" spans="2:13" ht="14.4" thickTop="1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80A8-8738-4B5B-ADF2-420444897244}">
  <dimension ref="A2:O67"/>
  <sheetViews>
    <sheetView showGridLines="0" zoomScale="90" workbookViewId="0">
      <selection activeCell="B64" activeCellId="3" sqref="B48 B53 B59 B64"/>
    </sheetView>
  </sheetViews>
  <sheetFormatPr defaultRowHeight="13.8"/>
  <cols>
    <col min="2" max="2" width="20.69921875" bestFit="1" customWidth="1"/>
    <col min="4" max="4" width="21.5" bestFit="1" customWidth="1"/>
    <col min="5" max="5" width="14.5" bestFit="1" customWidth="1"/>
    <col min="6" max="15" width="9.5" bestFit="1" customWidth="1"/>
    <col min="16" max="16384" width="8.796875" style="37"/>
  </cols>
  <sheetData>
    <row r="2" spans="1:15">
      <c r="A2" s="117"/>
      <c r="B2" s="117" t="s">
        <v>300</v>
      </c>
      <c r="C2" s="117"/>
      <c r="D2" s="117"/>
      <c r="E2" s="117"/>
      <c r="F2" s="161">
        <v>2025</v>
      </c>
      <c r="G2" s="161">
        <v>2026</v>
      </c>
      <c r="H2" s="161">
        <v>2027</v>
      </c>
      <c r="I2" s="161">
        <v>2028</v>
      </c>
      <c r="J2" s="161">
        <v>2029</v>
      </c>
      <c r="K2" s="161">
        <v>2030</v>
      </c>
      <c r="L2" s="161">
        <v>2031</v>
      </c>
      <c r="M2" s="161">
        <v>2032</v>
      </c>
      <c r="N2" s="161">
        <v>2033</v>
      </c>
      <c r="O2" s="161">
        <v>2034</v>
      </c>
    </row>
    <row r="3" spans="1:15">
      <c r="E3" s="27" t="s">
        <v>219</v>
      </c>
      <c r="F3" s="162">
        <v>45658</v>
      </c>
      <c r="G3" s="162">
        <v>46023</v>
      </c>
      <c r="H3" s="162">
        <v>46388</v>
      </c>
      <c r="I3" s="162">
        <v>46753</v>
      </c>
      <c r="J3" s="162">
        <v>47119</v>
      </c>
      <c r="K3" s="162">
        <v>47484</v>
      </c>
      <c r="L3" s="162">
        <v>47849</v>
      </c>
      <c r="M3" s="162">
        <v>48214</v>
      </c>
      <c r="N3" s="162">
        <v>48580</v>
      </c>
      <c r="O3" s="162">
        <v>48945</v>
      </c>
    </row>
    <row r="4" spans="1:15">
      <c r="E4" s="27" t="s">
        <v>220</v>
      </c>
      <c r="F4" s="162">
        <v>46022</v>
      </c>
      <c r="G4" s="162">
        <v>46387</v>
      </c>
      <c r="H4" s="162">
        <v>46752</v>
      </c>
      <c r="I4" s="162">
        <v>47118</v>
      </c>
      <c r="J4" s="162">
        <v>47483</v>
      </c>
      <c r="K4" s="162">
        <v>47848</v>
      </c>
      <c r="L4" s="162">
        <v>48213</v>
      </c>
      <c r="M4" s="162">
        <v>48579</v>
      </c>
      <c r="N4" s="162">
        <v>48944</v>
      </c>
      <c r="O4" s="162">
        <v>49309</v>
      </c>
    </row>
    <row r="5" spans="1:15">
      <c r="B5" t="s">
        <v>306</v>
      </c>
      <c r="E5" s="27" t="s">
        <v>222</v>
      </c>
      <c r="F5" s="51">
        <f>+F4-F3+1</f>
        <v>365</v>
      </c>
      <c r="G5" s="51">
        <f t="shared" ref="G5:O5" si="0">+G4-G3+1</f>
        <v>365</v>
      </c>
      <c r="H5" s="51">
        <f t="shared" si="0"/>
        <v>365</v>
      </c>
      <c r="I5" s="51">
        <f t="shared" si="0"/>
        <v>366</v>
      </c>
      <c r="J5" s="51">
        <f t="shared" si="0"/>
        <v>365</v>
      </c>
      <c r="K5" s="51">
        <f t="shared" si="0"/>
        <v>365</v>
      </c>
      <c r="L5" s="51">
        <f t="shared" si="0"/>
        <v>365</v>
      </c>
      <c r="M5" s="51">
        <f t="shared" si="0"/>
        <v>366</v>
      </c>
      <c r="N5" s="51">
        <f t="shared" si="0"/>
        <v>365</v>
      </c>
      <c r="O5" s="51">
        <f t="shared" si="0"/>
        <v>365</v>
      </c>
    </row>
    <row r="6" spans="1:15">
      <c r="B6" s="212" t="s">
        <v>304</v>
      </c>
      <c r="E6" s="27" t="s">
        <v>221</v>
      </c>
      <c r="F6" s="108" t="s">
        <v>174</v>
      </c>
      <c r="G6" s="108" t="s">
        <v>175</v>
      </c>
      <c r="H6" s="108" t="s">
        <v>176</v>
      </c>
      <c r="I6" s="108" t="s">
        <v>177</v>
      </c>
      <c r="J6" s="108" t="s">
        <v>178</v>
      </c>
      <c r="K6" s="108" t="s">
        <v>179</v>
      </c>
      <c r="L6" s="108" t="s">
        <v>180</v>
      </c>
      <c r="M6" s="108" t="s">
        <v>181</v>
      </c>
      <c r="N6" s="108" t="s">
        <v>182</v>
      </c>
      <c r="O6" s="108" t="s">
        <v>183</v>
      </c>
    </row>
    <row r="8" spans="1:15" s="220" customFormat="1">
      <c r="A8" s="216"/>
      <c r="B8" s="216" t="s">
        <v>301</v>
      </c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</row>
    <row r="9" spans="1:15" s="221" customFormat="1">
      <c r="A9" s="217"/>
      <c r="B9" s="218" t="s">
        <v>302</v>
      </c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</row>
    <row r="10" spans="1:15" s="204" customFormat="1">
      <c r="A10" s="206"/>
      <c r="B10" s="206" t="s">
        <v>45</v>
      </c>
      <c r="C10" s="206"/>
      <c r="D10" s="207" t="s">
        <v>31</v>
      </c>
      <c r="E10" s="206" t="s">
        <v>307</v>
      </c>
      <c r="F10" s="209" cm="1">
        <f t="array" ref="F10:O10">+_xlfn.XLOOKUP($B$6,B11:B13,F11:O13)</f>
        <v>0.79999999999999993</v>
      </c>
      <c r="G10" s="209">
        <v>0.82</v>
      </c>
      <c r="H10" s="209">
        <v>0.85</v>
      </c>
      <c r="I10" s="209">
        <v>0.87</v>
      </c>
      <c r="J10" s="209">
        <v>0.9</v>
      </c>
      <c r="K10" s="209">
        <v>0.91999999999999993</v>
      </c>
      <c r="L10" s="209">
        <v>0.95</v>
      </c>
      <c r="M10" s="209">
        <v>1</v>
      </c>
      <c r="N10" s="209">
        <v>1</v>
      </c>
      <c r="O10" s="209">
        <v>1</v>
      </c>
    </row>
    <row r="11" spans="1:15">
      <c r="B11" s="93" t="s">
        <v>303</v>
      </c>
      <c r="D11" s="1" t="s">
        <v>31</v>
      </c>
      <c r="F11" s="211">
        <v>0.7</v>
      </c>
      <c r="G11" s="211">
        <v>0.72</v>
      </c>
      <c r="H11" s="211">
        <v>0.75</v>
      </c>
      <c r="I11" s="211">
        <v>0.77</v>
      </c>
      <c r="J11" s="211">
        <v>0.8</v>
      </c>
      <c r="K11" s="211">
        <v>0.82</v>
      </c>
      <c r="L11" s="211">
        <v>0.85</v>
      </c>
      <c r="M11" s="211">
        <v>0.9</v>
      </c>
      <c r="N11" s="211">
        <v>0.92</v>
      </c>
      <c r="O11" s="211">
        <v>0.95</v>
      </c>
    </row>
    <row r="12" spans="1:15">
      <c r="B12" s="93" t="s">
        <v>304</v>
      </c>
      <c r="D12" s="1" t="s">
        <v>31</v>
      </c>
      <c r="E12" s="214">
        <v>0.1</v>
      </c>
      <c r="F12" s="160">
        <f>MIN(F11+$E$12,1)</f>
        <v>0.79999999999999993</v>
      </c>
      <c r="G12" s="160">
        <f t="shared" ref="G12:O12" si="1">MIN(G11+$E$12,1)</f>
        <v>0.82</v>
      </c>
      <c r="H12" s="160">
        <f t="shared" si="1"/>
        <v>0.85</v>
      </c>
      <c r="I12" s="160">
        <f t="shared" si="1"/>
        <v>0.87</v>
      </c>
      <c r="J12" s="160">
        <f t="shared" si="1"/>
        <v>0.9</v>
      </c>
      <c r="K12" s="160">
        <f t="shared" si="1"/>
        <v>0.91999999999999993</v>
      </c>
      <c r="L12" s="160">
        <f t="shared" si="1"/>
        <v>0.95</v>
      </c>
      <c r="M12" s="160">
        <f t="shared" si="1"/>
        <v>1</v>
      </c>
      <c r="N12" s="160">
        <f t="shared" si="1"/>
        <v>1</v>
      </c>
      <c r="O12" s="160">
        <f t="shared" si="1"/>
        <v>1</v>
      </c>
    </row>
    <row r="13" spans="1:15">
      <c r="B13" s="93" t="s">
        <v>305</v>
      </c>
      <c r="D13" s="1" t="s">
        <v>31</v>
      </c>
      <c r="E13" s="214">
        <v>-0.1</v>
      </c>
      <c r="F13" s="208">
        <f>+MIN(F11+$E$13,1)</f>
        <v>0.6</v>
      </c>
      <c r="G13" s="208">
        <f t="shared" ref="G13:O13" si="2">+MIN(G11+$E$13,1)</f>
        <v>0.62</v>
      </c>
      <c r="H13" s="208">
        <f t="shared" si="2"/>
        <v>0.65</v>
      </c>
      <c r="I13" s="208">
        <f t="shared" si="2"/>
        <v>0.67</v>
      </c>
      <c r="J13" s="208">
        <f t="shared" si="2"/>
        <v>0.70000000000000007</v>
      </c>
      <c r="K13" s="208">
        <f t="shared" si="2"/>
        <v>0.72</v>
      </c>
      <c r="L13" s="208">
        <f t="shared" si="2"/>
        <v>0.75</v>
      </c>
      <c r="M13" s="208">
        <f t="shared" si="2"/>
        <v>0.8</v>
      </c>
      <c r="N13" s="208">
        <f t="shared" si="2"/>
        <v>0.82000000000000006</v>
      </c>
      <c r="O13" s="208">
        <f t="shared" si="2"/>
        <v>0.85</v>
      </c>
    </row>
    <row r="15" spans="1:15" s="204" customFormat="1">
      <c r="A15" s="206"/>
      <c r="B15" s="206" t="s">
        <v>308</v>
      </c>
      <c r="C15" s="206"/>
      <c r="D15" s="207" t="s">
        <v>31</v>
      </c>
      <c r="E15" s="206" t="s">
        <v>307</v>
      </c>
      <c r="F15" s="209" cm="1">
        <f t="array" ref="F15:O15">+_xlfn.XLOOKUP($B$6,B16:B18,F16:O18)</f>
        <v>0.82</v>
      </c>
      <c r="G15" s="209">
        <v>0.85</v>
      </c>
      <c r="H15" s="209">
        <v>0.88</v>
      </c>
      <c r="I15" s="209">
        <v>0.9</v>
      </c>
      <c r="J15" s="209">
        <v>0.91999999999999993</v>
      </c>
      <c r="K15" s="209">
        <v>0.95</v>
      </c>
      <c r="L15" s="209">
        <v>0.98</v>
      </c>
      <c r="M15" s="209">
        <v>1</v>
      </c>
      <c r="N15" s="209">
        <v>1</v>
      </c>
      <c r="O15" s="209">
        <v>1</v>
      </c>
    </row>
    <row r="16" spans="1:15">
      <c r="B16" s="93" t="s">
        <v>303</v>
      </c>
      <c r="D16" s="1" t="s">
        <v>31</v>
      </c>
      <c r="F16" s="211">
        <v>0.72</v>
      </c>
      <c r="G16" s="211">
        <v>0.75</v>
      </c>
      <c r="H16" s="211">
        <v>0.78</v>
      </c>
      <c r="I16" s="211">
        <v>0.8</v>
      </c>
      <c r="J16" s="211">
        <v>0.82</v>
      </c>
      <c r="K16" s="211">
        <v>0.85</v>
      </c>
      <c r="L16" s="211">
        <v>0.88</v>
      </c>
      <c r="M16" s="211">
        <v>0.9</v>
      </c>
      <c r="N16" s="211">
        <v>0.93</v>
      </c>
      <c r="O16" s="211">
        <v>0.96</v>
      </c>
    </row>
    <row r="17" spans="1:15">
      <c r="B17" s="93" t="s">
        <v>304</v>
      </c>
      <c r="D17" s="1" t="s">
        <v>31</v>
      </c>
      <c r="E17" s="214">
        <v>0.1</v>
      </c>
      <c r="F17" s="160">
        <f>MIN(F16+$E$17,1)</f>
        <v>0.82</v>
      </c>
      <c r="G17" s="160">
        <f t="shared" ref="G17:O17" si="3">MIN(G16+$E$17,1)</f>
        <v>0.85</v>
      </c>
      <c r="H17" s="160">
        <f t="shared" si="3"/>
        <v>0.88</v>
      </c>
      <c r="I17" s="160">
        <f t="shared" si="3"/>
        <v>0.9</v>
      </c>
      <c r="J17" s="160">
        <f t="shared" si="3"/>
        <v>0.91999999999999993</v>
      </c>
      <c r="K17" s="160">
        <f t="shared" si="3"/>
        <v>0.95</v>
      </c>
      <c r="L17" s="160">
        <f t="shared" si="3"/>
        <v>0.98</v>
      </c>
      <c r="M17" s="160">
        <f t="shared" si="3"/>
        <v>1</v>
      </c>
      <c r="N17" s="160">
        <f t="shared" si="3"/>
        <v>1</v>
      </c>
      <c r="O17" s="160">
        <f t="shared" si="3"/>
        <v>1</v>
      </c>
    </row>
    <row r="18" spans="1:15">
      <c r="B18" s="93" t="s">
        <v>305</v>
      </c>
      <c r="D18" s="1" t="s">
        <v>31</v>
      </c>
      <c r="E18" s="214">
        <v>-0.1</v>
      </c>
      <c r="F18" s="208">
        <f>+MIN(F16+$E$18,1)</f>
        <v>0.62</v>
      </c>
      <c r="G18" s="208">
        <f t="shared" ref="G18:O18" si="4">+MIN(G16+$E$18,1)</f>
        <v>0.65</v>
      </c>
      <c r="H18" s="208">
        <f t="shared" si="4"/>
        <v>0.68</v>
      </c>
      <c r="I18" s="208">
        <f t="shared" si="4"/>
        <v>0.70000000000000007</v>
      </c>
      <c r="J18" s="208">
        <f t="shared" si="4"/>
        <v>0.72</v>
      </c>
      <c r="K18" s="208">
        <f t="shared" si="4"/>
        <v>0.75</v>
      </c>
      <c r="L18" s="208">
        <f t="shared" si="4"/>
        <v>0.78</v>
      </c>
      <c r="M18" s="208">
        <f t="shared" si="4"/>
        <v>0.8</v>
      </c>
      <c r="N18" s="208">
        <f t="shared" si="4"/>
        <v>0.83000000000000007</v>
      </c>
      <c r="O18" s="208">
        <f t="shared" si="4"/>
        <v>0.86</v>
      </c>
    </row>
    <row r="20" spans="1:15" s="204" customFormat="1">
      <c r="A20" s="206"/>
      <c r="B20" s="206" t="s">
        <v>310</v>
      </c>
      <c r="C20" s="206"/>
      <c r="D20" s="207" t="s">
        <v>31</v>
      </c>
      <c r="E20" s="206" t="s">
        <v>307</v>
      </c>
      <c r="F20" s="209" cm="1">
        <f t="array" ref="F20:O20">+_xlfn.XLOOKUP($B$6,B21:B23,F21:O23)</f>
        <v>0.85</v>
      </c>
      <c r="G20" s="209">
        <v>0.88</v>
      </c>
      <c r="H20" s="209">
        <v>0.9</v>
      </c>
      <c r="I20" s="209">
        <v>0.91999999999999993</v>
      </c>
      <c r="J20" s="209">
        <v>0.95</v>
      </c>
      <c r="K20" s="209">
        <v>0.97</v>
      </c>
      <c r="L20" s="209">
        <v>1</v>
      </c>
      <c r="M20" s="209">
        <v>1</v>
      </c>
      <c r="N20" s="209">
        <v>1</v>
      </c>
      <c r="O20" s="209">
        <v>1</v>
      </c>
    </row>
    <row r="21" spans="1:15">
      <c r="B21" s="93" t="s">
        <v>303</v>
      </c>
      <c r="D21" s="1" t="s">
        <v>31</v>
      </c>
      <c r="F21" s="211">
        <v>0.75</v>
      </c>
      <c r="G21" s="211">
        <v>0.78</v>
      </c>
      <c r="H21" s="211">
        <v>0.8</v>
      </c>
      <c r="I21" s="211">
        <v>0.82</v>
      </c>
      <c r="J21" s="211">
        <v>0.85</v>
      </c>
      <c r="K21" s="211">
        <v>0.87</v>
      </c>
      <c r="L21" s="211">
        <v>0.9</v>
      </c>
      <c r="M21" s="211">
        <v>0.92</v>
      </c>
      <c r="N21" s="211">
        <v>0.95</v>
      </c>
      <c r="O21" s="211">
        <v>0.97</v>
      </c>
    </row>
    <row r="22" spans="1:15">
      <c r="B22" s="93" t="s">
        <v>304</v>
      </c>
      <c r="D22" s="1" t="s">
        <v>31</v>
      </c>
      <c r="E22" s="214">
        <v>0.1</v>
      </c>
      <c r="F22" s="160">
        <f>MIN(F21+$E$22,1)</f>
        <v>0.85</v>
      </c>
      <c r="G22" s="160">
        <f t="shared" ref="G22:O22" si="5">MIN(G21+$E$22,1)</f>
        <v>0.88</v>
      </c>
      <c r="H22" s="160">
        <f t="shared" si="5"/>
        <v>0.9</v>
      </c>
      <c r="I22" s="160">
        <f t="shared" si="5"/>
        <v>0.91999999999999993</v>
      </c>
      <c r="J22" s="160">
        <f t="shared" si="5"/>
        <v>0.95</v>
      </c>
      <c r="K22" s="160">
        <f t="shared" si="5"/>
        <v>0.97</v>
      </c>
      <c r="L22" s="160">
        <f t="shared" si="5"/>
        <v>1</v>
      </c>
      <c r="M22" s="160">
        <f t="shared" si="5"/>
        <v>1</v>
      </c>
      <c r="N22" s="160">
        <f t="shared" si="5"/>
        <v>1</v>
      </c>
      <c r="O22" s="160">
        <f t="shared" si="5"/>
        <v>1</v>
      </c>
    </row>
    <row r="23" spans="1:15">
      <c r="B23" s="93" t="s">
        <v>305</v>
      </c>
      <c r="D23" s="1" t="s">
        <v>31</v>
      </c>
      <c r="E23" s="214">
        <v>-0.1</v>
      </c>
      <c r="F23" s="208">
        <f>+MIN(F21+$E$23,1)</f>
        <v>0.65</v>
      </c>
      <c r="G23" s="208">
        <f t="shared" ref="G23:O23" si="6">+MIN(G21+$E$23,1)</f>
        <v>0.68</v>
      </c>
      <c r="H23" s="208">
        <f t="shared" si="6"/>
        <v>0.70000000000000007</v>
      </c>
      <c r="I23" s="208">
        <f t="shared" si="6"/>
        <v>0.72</v>
      </c>
      <c r="J23" s="208">
        <f t="shared" si="6"/>
        <v>0.75</v>
      </c>
      <c r="K23" s="208">
        <f t="shared" si="6"/>
        <v>0.77</v>
      </c>
      <c r="L23" s="208">
        <f t="shared" si="6"/>
        <v>0.8</v>
      </c>
      <c r="M23" s="208">
        <f t="shared" si="6"/>
        <v>0.82000000000000006</v>
      </c>
      <c r="N23" s="208">
        <f t="shared" si="6"/>
        <v>0.85</v>
      </c>
      <c r="O23" s="208">
        <f t="shared" si="6"/>
        <v>0.87</v>
      </c>
    </row>
    <row r="25" spans="1:15" s="204" customFormat="1">
      <c r="A25" s="206"/>
      <c r="B25" s="206" t="s">
        <v>309</v>
      </c>
      <c r="C25" s="206"/>
      <c r="D25" s="207" t="s">
        <v>31</v>
      </c>
      <c r="E25" s="206" t="s">
        <v>307</v>
      </c>
      <c r="F25" s="209" cm="1">
        <f t="array" ref="F25:O25">+_xlfn.XLOOKUP($B$6,B26:B28,F26:O28)</f>
        <v>0.75</v>
      </c>
      <c r="G25" s="209">
        <v>0.78</v>
      </c>
      <c r="H25" s="209">
        <v>0.83</v>
      </c>
      <c r="I25" s="209">
        <v>0.85</v>
      </c>
      <c r="J25" s="209">
        <v>0.9</v>
      </c>
      <c r="K25" s="209">
        <v>0.91999999999999993</v>
      </c>
      <c r="L25" s="209">
        <v>0.95</v>
      </c>
      <c r="M25" s="209">
        <v>1</v>
      </c>
      <c r="N25" s="209">
        <v>1</v>
      </c>
      <c r="O25" s="209">
        <v>1</v>
      </c>
    </row>
    <row r="26" spans="1:15">
      <c r="B26" s="93" t="s">
        <v>303</v>
      </c>
      <c r="D26" s="1" t="s">
        <v>31</v>
      </c>
      <c r="F26" s="211">
        <v>0.65</v>
      </c>
      <c r="G26" s="211">
        <v>0.68</v>
      </c>
      <c r="H26" s="211">
        <v>0.73</v>
      </c>
      <c r="I26" s="211">
        <v>0.75</v>
      </c>
      <c r="J26" s="211">
        <v>0.8</v>
      </c>
      <c r="K26" s="211">
        <v>0.82</v>
      </c>
      <c r="L26" s="211">
        <v>0.85</v>
      </c>
      <c r="M26" s="211">
        <v>0.9</v>
      </c>
      <c r="N26" s="211">
        <v>0.92</v>
      </c>
      <c r="O26" s="211">
        <v>0.95</v>
      </c>
    </row>
    <row r="27" spans="1:15">
      <c r="B27" s="93" t="s">
        <v>304</v>
      </c>
      <c r="D27" s="1" t="s">
        <v>31</v>
      </c>
      <c r="E27" s="215">
        <v>0.1</v>
      </c>
      <c r="F27" s="160">
        <f>MIN(F26+$E$27,1)</f>
        <v>0.75</v>
      </c>
      <c r="G27" s="160">
        <f t="shared" ref="G27:O27" si="7">MIN(G26+$E$27,1)</f>
        <v>0.78</v>
      </c>
      <c r="H27" s="160">
        <f t="shared" si="7"/>
        <v>0.83</v>
      </c>
      <c r="I27" s="160">
        <f t="shared" si="7"/>
        <v>0.85</v>
      </c>
      <c r="J27" s="160">
        <f t="shared" si="7"/>
        <v>0.9</v>
      </c>
      <c r="K27" s="160">
        <f t="shared" si="7"/>
        <v>0.91999999999999993</v>
      </c>
      <c r="L27" s="160">
        <f t="shared" si="7"/>
        <v>0.95</v>
      </c>
      <c r="M27" s="160">
        <f t="shared" si="7"/>
        <v>1</v>
      </c>
      <c r="N27" s="160">
        <f t="shared" si="7"/>
        <v>1</v>
      </c>
      <c r="O27" s="160">
        <f t="shared" si="7"/>
        <v>1</v>
      </c>
    </row>
    <row r="28" spans="1:15">
      <c r="B28" s="93" t="s">
        <v>305</v>
      </c>
      <c r="D28" s="1" t="s">
        <v>31</v>
      </c>
      <c r="E28" s="215">
        <v>-0.1</v>
      </c>
      <c r="F28" s="208">
        <f>+MIN(F26+$E$28,1)</f>
        <v>0.55000000000000004</v>
      </c>
      <c r="G28" s="208">
        <f t="shared" ref="G28:O28" si="8">+MIN(G26+$E$28,1)</f>
        <v>0.58000000000000007</v>
      </c>
      <c r="H28" s="208">
        <f t="shared" si="8"/>
        <v>0.63</v>
      </c>
      <c r="I28" s="208">
        <f t="shared" si="8"/>
        <v>0.65</v>
      </c>
      <c r="J28" s="208">
        <f t="shared" si="8"/>
        <v>0.70000000000000007</v>
      </c>
      <c r="K28" s="208">
        <f t="shared" si="8"/>
        <v>0.72</v>
      </c>
      <c r="L28" s="208">
        <f t="shared" si="8"/>
        <v>0.75</v>
      </c>
      <c r="M28" s="208">
        <f t="shared" si="8"/>
        <v>0.8</v>
      </c>
      <c r="N28" s="208">
        <f t="shared" si="8"/>
        <v>0.82000000000000006</v>
      </c>
      <c r="O28" s="208">
        <f t="shared" si="8"/>
        <v>0.85</v>
      </c>
    </row>
    <row r="29" spans="1:15">
      <c r="B29" s="93"/>
      <c r="D29" s="1"/>
      <c r="E29" s="215"/>
      <c r="F29" s="208"/>
      <c r="G29" s="208"/>
      <c r="H29" s="208"/>
      <c r="I29" s="208"/>
      <c r="J29" s="208"/>
      <c r="K29" s="208"/>
      <c r="L29" s="208"/>
      <c r="M29" s="208"/>
      <c r="N29" s="208"/>
      <c r="O29" s="208"/>
    </row>
    <row r="31" spans="1:15" s="221" customFormat="1">
      <c r="A31" s="217"/>
      <c r="B31" s="218" t="s">
        <v>311</v>
      </c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</row>
    <row r="32" spans="1:15" s="204" customFormat="1">
      <c r="A32" s="206"/>
      <c r="B32" s="206" t="s">
        <v>312</v>
      </c>
      <c r="C32" s="206"/>
      <c r="D32" s="207" t="s">
        <v>92</v>
      </c>
      <c r="E32" s="206" t="s">
        <v>307</v>
      </c>
      <c r="F32" s="209" cm="1">
        <f t="array" ref="F32:O32">+_xlfn.XLOOKUP($B$6,B33:B35,F33:O35)</f>
        <v>0.8</v>
      </c>
      <c r="G32" s="209">
        <v>0.8</v>
      </c>
      <c r="H32" s="209">
        <v>0.85000000000000009</v>
      </c>
      <c r="I32" s="209">
        <v>0.85000000000000009</v>
      </c>
      <c r="J32" s="209">
        <v>0.9</v>
      </c>
      <c r="K32" s="209">
        <v>0.9</v>
      </c>
      <c r="L32" s="209">
        <v>0.9</v>
      </c>
      <c r="M32" s="209">
        <v>0.95000000000000007</v>
      </c>
      <c r="N32" s="209">
        <v>0.95000000000000007</v>
      </c>
      <c r="O32" s="209">
        <v>0.95000000000000007</v>
      </c>
    </row>
    <row r="33" spans="1:15">
      <c r="B33" s="93" t="s">
        <v>303</v>
      </c>
      <c r="D33" s="1" t="s">
        <v>92</v>
      </c>
      <c r="F33" s="211">
        <v>0.75</v>
      </c>
      <c r="G33" s="211">
        <v>0.75</v>
      </c>
      <c r="H33" s="211">
        <v>0.8</v>
      </c>
      <c r="I33" s="211">
        <v>0.8</v>
      </c>
      <c r="J33" s="211">
        <v>0.85</v>
      </c>
      <c r="K33" s="211">
        <v>0.85</v>
      </c>
      <c r="L33" s="211">
        <v>0.85</v>
      </c>
      <c r="M33" s="211">
        <v>0.9</v>
      </c>
      <c r="N33" s="211">
        <v>0.9</v>
      </c>
      <c r="O33" s="211">
        <v>0.9</v>
      </c>
    </row>
    <row r="34" spans="1:15">
      <c r="B34" s="93" t="s">
        <v>304</v>
      </c>
      <c r="D34" s="1" t="s">
        <v>92</v>
      </c>
      <c r="E34" s="215">
        <v>0.05</v>
      </c>
      <c r="F34" s="160">
        <f>MIN(F33+$E$34,1)</f>
        <v>0.8</v>
      </c>
      <c r="G34" s="160">
        <f t="shared" ref="G34:O34" si="9">MIN(G33+$E$34,1)</f>
        <v>0.8</v>
      </c>
      <c r="H34" s="160">
        <f t="shared" si="9"/>
        <v>0.85000000000000009</v>
      </c>
      <c r="I34" s="160">
        <f t="shared" si="9"/>
        <v>0.85000000000000009</v>
      </c>
      <c r="J34" s="160">
        <f t="shared" si="9"/>
        <v>0.9</v>
      </c>
      <c r="K34" s="160">
        <f t="shared" si="9"/>
        <v>0.9</v>
      </c>
      <c r="L34" s="160">
        <f t="shared" si="9"/>
        <v>0.9</v>
      </c>
      <c r="M34" s="160">
        <f t="shared" si="9"/>
        <v>0.95000000000000007</v>
      </c>
      <c r="N34" s="160">
        <f t="shared" si="9"/>
        <v>0.95000000000000007</v>
      </c>
      <c r="O34" s="160">
        <f t="shared" si="9"/>
        <v>0.95000000000000007</v>
      </c>
    </row>
    <row r="35" spans="1:15">
      <c r="B35" s="93" t="s">
        <v>305</v>
      </c>
      <c r="D35" s="1" t="s">
        <v>92</v>
      </c>
      <c r="E35" s="215">
        <v>-0.05</v>
      </c>
      <c r="F35" s="208">
        <f>+MIN(F33+$E$35,1)</f>
        <v>0.7</v>
      </c>
      <c r="G35" s="208">
        <f t="shared" ref="G35:O35" si="10">+MIN(G33+$E$35,1)</f>
        <v>0.7</v>
      </c>
      <c r="H35" s="208">
        <f t="shared" si="10"/>
        <v>0.75</v>
      </c>
      <c r="I35" s="208">
        <f t="shared" si="10"/>
        <v>0.75</v>
      </c>
      <c r="J35" s="208">
        <f t="shared" si="10"/>
        <v>0.79999999999999993</v>
      </c>
      <c r="K35" s="208">
        <f t="shared" si="10"/>
        <v>0.79999999999999993</v>
      </c>
      <c r="L35" s="208">
        <f t="shared" si="10"/>
        <v>0.79999999999999993</v>
      </c>
      <c r="M35" s="208">
        <f t="shared" si="10"/>
        <v>0.85</v>
      </c>
      <c r="N35" s="208">
        <f t="shared" si="10"/>
        <v>0.85</v>
      </c>
      <c r="O35" s="208">
        <f t="shared" si="10"/>
        <v>0.85</v>
      </c>
    </row>
    <row r="37" spans="1:15" s="204" customFormat="1">
      <c r="A37" s="206"/>
      <c r="B37" s="206" t="s">
        <v>313</v>
      </c>
      <c r="C37" s="206"/>
      <c r="D37" s="207" t="s">
        <v>314</v>
      </c>
      <c r="E37" s="206" t="s">
        <v>307</v>
      </c>
      <c r="F37" s="209" cm="1">
        <f t="array" ref="F37:O37">+_xlfn.XLOOKUP($B$6,B38:B40,F38:O40)</f>
        <v>0</v>
      </c>
      <c r="G37" s="209">
        <v>0.85000000000000009</v>
      </c>
      <c r="H37" s="209">
        <v>0.9</v>
      </c>
      <c r="I37" s="209">
        <v>0.9</v>
      </c>
      <c r="J37" s="209">
        <v>0.9</v>
      </c>
      <c r="K37" s="209">
        <v>0.95000000000000007</v>
      </c>
      <c r="L37" s="209">
        <v>0.95000000000000007</v>
      </c>
      <c r="M37" s="209">
        <v>0.95000000000000007</v>
      </c>
      <c r="N37" s="209">
        <v>1</v>
      </c>
      <c r="O37" s="209">
        <v>1</v>
      </c>
    </row>
    <row r="38" spans="1:15">
      <c r="B38" s="93" t="s">
        <v>303</v>
      </c>
      <c r="D38" s="1" t="s">
        <v>314</v>
      </c>
      <c r="F38" s="219">
        <v>0</v>
      </c>
      <c r="G38" s="211">
        <v>0.8</v>
      </c>
      <c r="H38" s="211">
        <v>0.85</v>
      </c>
      <c r="I38" s="211">
        <v>0.85</v>
      </c>
      <c r="J38" s="211">
        <v>0.85</v>
      </c>
      <c r="K38" s="211">
        <v>0.9</v>
      </c>
      <c r="L38" s="211">
        <v>0.9</v>
      </c>
      <c r="M38" s="211">
        <v>0.9</v>
      </c>
      <c r="N38" s="211">
        <v>0.95</v>
      </c>
      <c r="O38" s="211">
        <v>0.95</v>
      </c>
    </row>
    <row r="39" spans="1:15">
      <c r="B39" s="93" t="s">
        <v>304</v>
      </c>
      <c r="D39" s="1" t="s">
        <v>314</v>
      </c>
      <c r="E39" s="215">
        <v>0.05</v>
      </c>
      <c r="F39" s="210">
        <v>0</v>
      </c>
      <c r="G39" s="160">
        <f t="shared" ref="G39:O39" si="11">MIN(G38+$E$39,1)</f>
        <v>0.85000000000000009</v>
      </c>
      <c r="H39" s="160">
        <f t="shared" si="11"/>
        <v>0.9</v>
      </c>
      <c r="I39" s="160">
        <f t="shared" si="11"/>
        <v>0.9</v>
      </c>
      <c r="J39" s="160">
        <f t="shared" si="11"/>
        <v>0.9</v>
      </c>
      <c r="K39" s="160">
        <f t="shared" si="11"/>
        <v>0.95000000000000007</v>
      </c>
      <c r="L39" s="160">
        <f t="shared" si="11"/>
        <v>0.95000000000000007</v>
      </c>
      <c r="M39" s="160">
        <f t="shared" si="11"/>
        <v>0.95000000000000007</v>
      </c>
      <c r="N39" s="160">
        <f t="shared" si="11"/>
        <v>1</v>
      </c>
      <c r="O39" s="160">
        <f t="shared" si="11"/>
        <v>1</v>
      </c>
    </row>
    <row r="40" spans="1:15">
      <c r="B40" s="93" t="s">
        <v>305</v>
      </c>
      <c r="D40" s="1" t="s">
        <v>314</v>
      </c>
      <c r="E40" s="215">
        <v>-0.05</v>
      </c>
      <c r="F40" s="213">
        <v>0</v>
      </c>
      <c r="G40" s="208">
        <f t="shared" ref="G40:O40" si="12">+MIN(G38+$E$40,1)</f>
        <v>0.75</v>
      </c>
      <c r="H40" s="208">
        <f t="shared" si="12"/>
        <v>0.79999999999999993</v>
      </c>
      <c r="I40" s="208">
        <f t="shared" si="12"/>
        <v>0.79999999999999993</v>
      </c>
      <c r="J40" s="208">
        <f t="shared" si="12"/>
        <v>0.79999999999999993</v>
      </c>
      <c r="K40" s="208">
        <f t="shared" si="12"/>
        <v>0.85</v>
      </c>
      <c r="L40" s="208">
        <f t="shared" si="12"/>
        <v>0.85</v>
      </c>
      <c r="M40" s="208">
        <f t="shared" si="12"/>
        <v>0.85</v>
      </c>
      <c r="N40" s="208">
        <f t="shared" si="12"/>
        <v>0.89999999999999991</v>
      </c>
      <c r="O40" s="208">
        <f t="shared" si="12"/>
        <v>0.89999999999999991</v>
      </c>
    </row>
    <row r="42" spans="1:15" s="204" customFormat="1">
      <c r="A42" s="206"/>
      <c r="B42" s="206" t="s">
        <v>315</v>
      </c>
      <c r="C42" s="206"/>
      <c r="D42" s="207" t="s">
        <v>316</v>
      </c>
      <c r="E42" s="206" t="s">
        <v>307</v>
      </c>
      <c r="F42" s="209" cm="1">
        <f t="array" ref="F42:O42">+_xlfn.XLOOKUP($B$6,B43:B45,F43:O45)</f>
        <v>0</v>
      </c>
      <c r="G42" s="209">
        <v>0.05</v>
      </c>
      <c r="H42" s="209">
        <v>0.05</v>
      </c>
      <c r="I42" s="209">
        <v>0.05</v>
      </c>
      <c r="J42" s="209">
        <v>0.05</v>
      </c>
      <c r="K42" s="209">
        <v>6.0000000000000005E-2</v>
      </c>
      <c r="L42" s="209">
        <v>6.0000000000000005E-2</v>
      </c>
      <c r="M42" s="209">
        <v>6.0000000000000005E-2</v>
      </c>
      <c r="N42" s="209">
        <v>6.0000000000000005E-2</v>
      </c>
      <c r="O42" s="209">
        <v>6.0000000000000005E-2</v>
      </c>
    </row>
    <row r="43" spans="1:15">
      <c r="B43" s="93" t="s">
        <v>303</v>
      </c>
      <c r="D43" s="1" t="s">
        <v>316</v>
      </c>
      <c r="F43" s="219">
        <v>0</v>
      </c>
      <c r="G43" s="211">
        <v>0.04</v>
      </c>
      <c r="H43" s="211">
        <v>0.04</v>
      </c>
      <c r="I43" s="211">
        <v>0.04</v>
      </c>
      <c r="J43" s="211">
        <v>0.04</v>
      </c>
      <c r="K43" s="211">
        <v>0.05</v>
      </c>
      <c r="L43" s="211">
        <v>0.05</v>
      </c>
      <c r="M43" s="211">
        <v>0.05</v>
      </c>
      <c r="N43" s="211">
        <v>0.05</v>
      </c>
      <c r="O43" s="211">
        <v>0.05</v>
      </c>
    </row>
    <row r="44" spans="1:15">
      <c r="B44" s="93" t="s">
        <v>304</v>
      </c>
      <c r="D44" s="1" t="s">
        <v>316</v>
      </c>
      <c r="E44" s="215">
        <v>0.01</v>
      </c>
      <c r="F44" s="210">
        <v>0</v>
      </c>
      <c r="G44" s="160">
        <f>MIN(G43+$E$44,1)</f>
        <v>0.05</v>
      </c>
      <c r="H44" s="160">
        <f t="shared" ref="H44:O44" si="13">MIN(H43+$E$44,1)</f>
        <v>0.05</v>
      </c>
      <c r="I44" s="160">
        <f t="shared" si="13"/>
        <v>0.05</v>
      </c>
      <c r="J44" s="160">
        <f t="shared" si="13"/>
        <v>0.05</v>
      </c>
      <c r="K44" s="160">
        <f t="shared" si="13"/>
        <v>6.0000000000000005E-2</v>
      </c>
      <c r="L44" s="160">
        <f t="shared" si="13"/>
        <v>6.0000000000000005E-2</v>
      </c>
      <c r="M44" s="160">
        <f t="shared" si="13"/>
        <v>6.0000000000000005E-2</v>
      </c>
      <c r="N44" s="160">
        <f t="shared" si="13"/>
        <v>6.0000000000000005E-2</v>
      </c>
      <c r="O44" s="160">
        <f t="shared" si="13"/>
        <v>6.0000000000000005E-2</v>
      </c>
    </row>
    <row r="45" spans="1:15">
      <c r="B45" s="93" t="s">
        <v>305</v>
      </c>
      <c r="D45" s="1" t="s">
        <v>316</v>
      </c>
      <c r="E45" s="215">
        <v>-0.01</v>
      </c>
      <c r="F45" s="213">
        <v>0</v>
      </c>
      <c r="G45" s="208">
        <f>+MIN(G43+$E$45,1)</f>
        <v>0.03</v>
      </c>
      <c r="H45" s="208">
        <f t="shared" ref="H45:O45" si="14">+MIN(H43+$E$45,1)</f>
        <v>0.03</v>
      </c>
      <c r="I45" s="208">
        <f t="shared" si="14"/>
        <v>0.03</v>
      </c>
      <c r="J45" s="208">
        <f t="shared" si="14"/>
        <v>0.03</v>
      </c>
      <c r="K45" s="208">
        <f t="shared" si="14"/>
        <v>0.04</v>
      </c>
      <c r="L45" s="208">
        <f t="shared" si="14"/>
        <v>0.04</v>
      </c>
      <c r="M45" s="208">
        <f t="shared" si="14"/>
        <v>0.04</v>
      </c>
      <c r="N45" s="208">
        <f t="shared" si="14"/>
        <v>0.04</v>
      </c>
      <c r="O45" s="208">
        <f t="shared" si="14"/>
        <v>0.04</v>
      </c>
    </row>
    <row r="47" spans="1:15" s="221" customFormat="1">
      <c r="A47" s="217"/>
      <c r="B47" s="218" t="s">
        <v>317</v>
      </c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</row>
    <row r="48" spans="1:15" s="204" customFormat="1">
      <c r="A48" s="206"/>
      <c r="B48" s="206" t="s">
        <v>55</v>
      </c>
      <c r="C48" s="206"/>
      <c r="D48" s="207" t="s">
        <v>316</v>
      </c>
      <c r="E48" s="206" t="s">
        <v>307</v>
      </c>
      <c r="F48" s="209" cm="1">
        <f t="array" ref="F48:O48">+_xlfn.XLOOKUP($B$6,B49:B51,F49:O51)</f>
        <v>0</v>
      </c>
      <c r="G48" s="209">
        <v>0.06</v>
      </c>
      <c r="H48" s="209">
        <v>0.06</v>
      </c>
      <c r="I48" s="209">
        <v>0.06</v>
      </c>
      <c r="J48" s="209">
        <v>0.06</v>
      </c>
      <c r="K48" s="209">
        <v>0.06</v>
      </c>
      <c r="L48" s="209">
        <v>0.06</v>
      </c>
      <c r="M48" s="209">
        <v>0.06</v>
      </c>
      <c r="N48" s="209">
        <v>0.06</v>
      </c>
      <c r="O48" s="209">
        <v>0.06</v>
      </c>
    </row>
    <row r="49" spans="1:15">
      <c r="B49" s="93" t="s">
        <v>303</v>
      </c>
      <c r="D49" s="1" t="s">
        <v>316</v>
      </c>
      <c r="F49" s="219">
        <v>0</v>
      </c>
      <c r="G49" s="211">
        <v>0.04</v>
      </c>
      <c r="H49" s="211">
        <v>0.04</v>
      </c>
      <c r="I49" s="211">
        <v>0.04</v>
      </c>
      <c r="J49" s="211">
        <v>0.04</v>
      </c>
      <c r="K49" s="211">
        <v>0.04</v>
      </c>
      <c r="L49" s="211">
        <v>0.04</v>
      </c>
      <c r="M49" s="211">
        <v>0.04</v>
      </c>
      <c r="N49" s="211">
        <v>0.04</v>
      </c>
      <c r="O49" s="211">
        <v>0.04</v>
      </c>
    </row>
    <row r="50" spans="1:15">
      <c r="B50" s="93" t="s">
        <v>304</v>
      </c>
      <c r="D50" s="1" t="s">
        <v>316</v>
      </c>
      <c r="E50" s="215">
        <v>0.02</v>
      </c>
      <c r="F50" s="210">
        <v>0</v>
      </c>
      <c r="G50" s="160">
        <f>MIN(G49+$E$50,1)</f>
        <v>0.06</v>
      </c>
      <c r="H50" s="160">
        <f t="shared" ref="H50:O50" si="15">MIN(H49+$E$50,1)</f>
        <v>0.06</v>
      </c>
      <c r="I50" s="160">
        <f t="shared" si="15"/>
        <v>0.06</v>
      </c>
      <c r="J50" s="160">
        <f t="shared" si="15"/>
        <v>0.06</v>
      </c>
      <c r="K50" s="160">
        <f t="shared" si="15"/>
        <v>0.06</v>
      </c>
      <c r="L50" s="160">
        <f t="shared" si="15"/>
        <v>0.06</v>
      </c>
      <c r="M50" s="160">
        <f t="shared" si="15"/>
        <v>0.06</v>
      </c>
      <c r="N50" s="160">
        <f t="shared" si="15"/>
        <v>0.06</v>
      </c>
      <c r="O50" s="160">
        <f t="shared" si="15"/>
        <v>0.06</v>
      </c>
    </row>
    <row r="51" spans="1:15">
      <c r="B51" s="93" t="s">
        <v>305</v>
      </c>
      <c r="D51" s="1" t="s">
        <v>316</v>
      </c>
      <c r="E51" s="215">
        <v>-0.02</v>
      </c>
      <c r="F51" s="213">
        <v>0</v>
      </c>
      <c r="G51" s="208">
        <f>+MIN(G49+$E$51,1)</f>
        <v>0.02</v>
      </c>
      <c r="H51" s="208">
        <f t="shared" ref="H51:O51" si="16">+MIN(H49+$E$51,1)</f>
        <v>0.02</v>
      </c>
      <c r="I51" s="208">
        <f t="shared" si="16"/>
        <v>0.02</v>
      </c>
      <c r="J51" s="208">
        <f t="shared" si="16"/>
        <v>0.02</v>
      </c>
      <c r="K51" s="208">
        <f t="shared" si="16"/>
        <v>0.02</v>
      </c>
      <c r="L51" s="208">
        <f t="shared" si="16"/>
        <v>0.02</v>
      </c>
      <c r="M51" s="208">
        <f t="shared" si="16"/>
        <v>0.02</v>
      </c>
      <c r="N51" s="208">
        <f t="shared" si="16"/>
        <v>0.02</v>
      </c>
      <c r="O51" s="208">
        <f t="shared" si="16"/>
        <v>0.02</v>
      </c>
    </row>
    <row r="53" spans="1:15" s="204" customFormat="1">
      <c r="A53" s="206"/>
      <c r="B53" s="206" t="s">
        <v>318</v>
      </c>
      <c r="C53" s="206"/>
      <c r="D53" s="207" t="s">
        <v>316</v>
      </c>
      <c r="E53" s="206" t="s">
        <v>307</v>
      </c>
      <c r="F53" s="209" cm="1">
        <f t="array" ref="F53:O53">+_xlfn.XLOOKUP($B$6,B54:B56,F54:O56)</f>
        <v>0</v>
      </c>
      <c r="G53" s="209">
        <v>0.05</v>
      </c>
      <c r="H53" s="209">
        <v>0.05</v>
      </c>
      <c r="I53" s="209">
        <v>0.05</v>
      </c>
      <c r="J53" s="209">
        <v>0.05</v>
      </c>
      <c r="K53" s="209">
        <v>0.05</v>
      </c>
      <c r="L53" s="209">
        <v>0.05</v>
      </c>
      <c r="M53" s="209">
        <v>0.05</v>
      </c>
      <c r="N53" s="209">
        <v>0.05</v>
      </c>
      <c r="O53" s="209">
        <v>0.05</v>
      </c>
    </row>
    <row r="54" spans="1:15">
      <c r="B54" s="93" t="s">
        <v>303</v>
      </c>
      <c r="D54" s="1" t="s">
        <v>316</v>
      </c>
      <c r="F54" s="219">
        <v>0</v>
      </c>
      <c r="G54" s="211">
        <v>0.03</v>
      </c>
      <c r="H54" s="211">
        <v>0.03</v>
      </c>
      <c r="I54" s="211">
        <v>0.03</v>
      </c>
      <c r="J54" s="211">
        <v>0.03</v>
      </c>
      <c r="K54" s="211">
        <v>0.03</v>
      </c>
      <c r="L54" s="211">
        <v>0.03</v>
      </c>
      <c r="M54" s="211">
        <v>0.03</v>
      </c>
      <c r="N54" s="211">
        <v>0.03</v>
      </c>
      <c r="O54" s="211">
        <v>0.03</v>
      </c>
    </row>
    <row r="55" spans="1:15">
      <c r="B55" s="93" t="s">
        <v>304</v>
      </c>
      <c r="D55" s="1" t="s">
        <v>316</v>
      </c>
      <c r="E55" s="215">
        <v>0.02</v>
      </c>
      <c r="F55" s="160">
        <v>0</v>
      </c>
      <c r="G55" s="160">
        <f>MIN(G54+$E$55,1)</f>
        <v>0.05</v>
      </c>
      <c r="H55" s="160">
        <f t="shared" ref="H55:O55" si="17">MIN(H54+$E$55,1)</f>
        <v>0.05</v>
      </c>
      <c r="I55" s="160">
        <f t="shared" si="17"/>
        <v>0.05</v>
      </c>
      <c r="J55" s="160">
        <f t="shared" si="17"/>
        <v>0.05</v>
      </c>
      <c r="K55" s="160">
        <f t="shared" si="17"/>
        <v>0.05</v>
      </c>
      <c r="L55" s="160">
        <f t="shared" si="17"/>
        <v>0.05</v>
      </c>
      <c r="M55" s="160">
        <f t="shared" si="17"/>
        <v>0.05</v>
      </c>
      <c r="N55" s="160">
        <f t="shared" si="17"/>
        <v>0.05</v>
      </c>
      <c r="O55" s="160">
        <f t="shared" si="17"/>
        <v>0.05</v>
      </c>
    </row>
    <row r="56" spans="1:15">
      <c r="B56" s="93" t="s">
        <v>305</v>
      </c>
      <c r="D56" s="1" t="s">
        <v>316</v>
      </c>
      <c r="E56" s="215">
        <v>-0.02</v>
      </c>
      <c r="F56" s="208">
        <v>0</v>
      </c>
      <c r="G56" s="208">
        <f>+MIN(G54+$E$56,1)</f>
        <v>9.9999999999999985E-3</v>
      </c>
      <c r="H56" s="208">
        <f t="shared" ref="H56:O56" si="18">+MIN(H54+$E$56,1)</f>
        <v>9.9999999999999985E-3</v>
      </c>
      <c r="I56" s="208">
        <f t="shared" si="18"/>
        <v>9.9999999999999985E-3</v>
      </c>
      <c r="J56" s="208">
        <f t="shared" si="18"/>
        <v>9.9999999999999985E-3</v>
      </c>
      <c r="K56" s="208">
        <f t="shared" si="18"/>
        <v>9.9999999999999985E-3</v>
      </c>
      <c r="L56" s="208">
        <f t="shared" si="18"/>
        <v>9.9999999999999985E-3</v>
      </c>
      <c r="M56" s="208">
        <f t="shared" si="18"/>
        <v>9.9999999999999985E-3</v>
      </c>
      <c r="N56" s="208">
        <f t="shared" si="18"/>
        <v>9.9999999999999985E-3</v>
      </c>
      <c r="O56" s="208">
        <f t="shared" si="18"/>
        <v>9.9999999999999985E-3</v>
      </c>
    </row>
    <row r="58" spans="1:15" s="221" customFormat="1">
      <c r="A58" s="217"/>
      <c r="B58" s="218" t="s">
        <v>218</v>
      </c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</row>
    <row r="59" spans="1:15" s="204" customFormat="1">
      <c r="A59" s="206"/>
      <c r="B59" s="206" t="s">
        <v>206</v>
      </c>
      <c r="C59" s="206"/>
      <c r="D59" s="207" t="s">
        <v>316</v>
      </c>
      <c r="E59" s="206" t="s">
        <v>307</v>
      </c>
      <c r="F59" s="209" cm="1">
        <f t="array" ref="F59:O59">+_xlfn.XLOOKUP($B$6,B60:B62,F60:O62)</f>
        <v>0</v>
      </c>
      <c r="G59" s="209">
        <v>7.0000000000000007E-2</v>
      </c>
      <c r="H59" s="209">
        <v>7.0000000000000007E-2</v>
      </c>
      <c r="I59" s="209">
        <v>7.0000000000000007E-2</v>
      </c>
      <c r="J59" s="209">
        <v>7.0000000000000007E-2</v>
      </c>
      <c r="K59" s="209">
        <v>7.0000000000000007E-2</v>
      </c>
      <c r="L59" s="209">
        <v>7.0000000000000007E-2</v>
      </c>
      <c r="M59" s="209">
        <v>7.0000000000000007E-2</v>
      </c>
      <c r="N59" s="209">
        <v>7.0000000000000007E-2</v>
      </c>
      <c r="O59" s="209">
        <v>7.0000000000000007E-2</v>
      </c>
    </row>
    <row r="60" spans="1:15">
      <c r="B60" s="93" t="s">
        <v>303</v>
      </c>
      <c r="D60" s="1" t="s">
        <v>316</v>
      </c>
      <c r="F60" s="219">
        <v>0</v>
      </c>
      <c r="G60" s="211">
        <v>0.05</v>
      </c>
      <c r="H60" s="211">
        <v>0.05</v>
      </c>
      <c r="I60" s="211">
        <v>0.05</v>
      </c>
      <c r="J60" s="211">
        <v>0.05</v>
      </c>
      <c r="K60" s="211">
        <v>0.05</v>
      </c>
      <c r="L60" s="211">
        <v>0.05</v>
      </c>
      <c r="M60" s="211">
        <v>0.05</v>
      </c>
      <c r="N60" s="211">
        <v>0.05</v>
      </c>
      <c r="O60" s="211">
        <v>0.05</v>
      </c>
    </row>
    <row r="61" spans="1:15">
      <c r="B61" s="93" t="s">
        <v>304</v>
      </c>
      <c r="D61" s="1" t="s">
        <v>316</v>
      </c>
      <c r="E61" s="215">
        <v>0.02</v>
      </c>
      <c r="F61" s="210">
        <v>0</v>
      </c>
      <c r="G61" s="160">
        <f>MIN(G60+$E$61,1)</f>
        <v>7.0000000000000007E-2</v>
      </c>
      <c r="H61" s="160">
        <f t="shared" ref="H61:O61" si="19">MIN(H60+$E$61,1)</f>
        <v>7.0000000000000007E-2</v>
      </c>
      <c r="I61" s="160">
        <f t="shared" si="19"/>
        <v>7.0000000000000007E-2</v>
      </c>
      <c r="J61" s="160">
        <f t="shared" si="19"/>
        <v>7.0000000000000007E-2</v>
      </c>
      <c r="K61" s="160">
        <f t="shared" si="19"/>
        <v>7.0000000000000007E-2</v>
      </c>
      <c r="L61" s="160">
        <f t="shared" si="19"/>
        <v>7.0000000000000007E-2</v>
      </c>
      <c r="M61" s="160">
        <f t="shared" si="19"/>
        <v>7.0000000000000007E-2</v>
      </c>
      <c r="N61" s="160">
        <f t="shared" si="19"/>
        <v>7.0000000000000007E-2</v>
      </c>
      <c r="O61" s="160">
        <f t="shared" si="19"/>
        <v>7.0000000000000007E-2</v>
      </c>
    </row>
    <row r="62" spans="1:15">
      <c r="B62" s="93" t="s">
        <v>305</v>
      </c>
      <c r="D62" s="1" t="s">
        <v>316</v>
      </c>
      <c r="E62" s="215">
        <v>-0.02</v>
      </c>
      <c r="F62" s="213">
        <v>0</v>
      </c>
      <c r="G62" s="208">
        <f>+MIN(G60+$E$62,1)</f>
        <v>3.0000000000000002E-2</v>
      </c>
      <c r="H62" s="208">
        <f t="shared" ref="H62:O62" si="20">+MIN(H60+$E$62,1)</f>
        <v>3.0000000000000002E-2</v>
      </c>
      <c r="I62" s="208">
        <f t="shared" si="20"/>
        <v>3.0000000000000002E-2</v>
      </c>
      <c r="J62" s="208">
        <f t="shared" si="20"/>
        <v>3.0000000000000002E-2</v>
      </c>
      <c r="K62" s="208">
        <f t="shared" si="20"/>
        <v>3.0000000000000002E-2</v>
      </c>
      <c r="L62" s="208">
        <f t="shared" si="20"/>
        <v>3.0000000000000002E-2</v>
      </c>
      <c r="M62" s="208">
        <f t="shared" si="20"/>
        <v>3.0000000000000002E-2</v>
      </c>
      <c r="N62" s="208">
        <f t="shared" si="20"/>
        <v>3.0000000000000002E-2</v>
      </c>
      <c r="O62" s="208">
        <f t="shared" si="20"/>
        <v>3.0000000000000002E-2</v>
      </c>
    </row>
    <row r="64" spans="1:15" s="204" customFormat="1">
      <c r="A64" s="206"/>
      <c r="B64" s="206" t="s">
        <v>319</v>
      </c>
      <c r="C64" s="206"/>
      <c r="D64" s="207" t="s">
        <v>316</v>
      </c>
      <c r="E64" s="206" t="s">
        <v>307</v>
      </c>
      <c r="F64" s="209" cm="1">
        <f t="array" ref="F64:O64">+_xlfn.XLOOKUP($B$6,B65:B67,F65:O67)</f>
        <v>0</v>
      </c>
      <c r="G64" s="209">
        <v>0.05</v>
      </c>
      <c r="H64" s="209">
        <v>0.05</v>
      </c>
      <c r="I64" s="209">
        <v>0.05</v>
      </c>
      <c r="J64" s="209">
        <v>0.05</v>
      </c>
      <c r="K64" s="209">
        <v>0.05</v>
      </c>
      <c r="L64" s="209">
        <v>0.05</v>
      </c>
      <c r="M64" s="209">
        <v>0.05</v>
      </c>
      <c r="N64" s="209">
        <v>0.05</v>
      </c>
      <c r="O64" s="209">
        <v>0.05</v>
      </c>
    </row>
    <row r="65" spans="2:15">
      <c r="B65" s="93" t="s">
        <v>303</v>
      </c>
      <c r="D65" s="1" t="s">
        <v>316</v>
      </c>
      <c r="F65" s="219">
        <v>0</v>
      </c>
      <c r="G65" s="211">
        <v>0.03</v>
      </c>
      <c r="H65" s="211">
        <v>0.03</v>
      </c>
      <c r="I65" s="211">
        <v>0.03</v>
      </c>
      <c r="J65" s="211">
        <v>0.03</v>
      </c>
      <c r="K65" s="211">
        <v>0.03</v>
      </c>
      <c r="L65" s="211">
        <v>0.03</v>
      </c>
      <c r="M65" s="211">
        <v>0.03</v>
      </c>
      <c r="N65" s="211">
        <v>0.03</v>
      </c>
      <c r="O65" s="211">
        <v>0.03</v>
      </c>
    </row>
    <row r="66" spans="2:15">
      <c r="B66" s="93" t="s">
        <v>304</v>
      </c>
      <c r="D66" s="1" t="s">
        <v>316</v>
      </c>
      <c r="E66" s="215">
        <v>0.02</v>
      </c>
      <c r="F66" s="210">
        <v>0</v>
      </c>
      <c r="G66" s="160">
        <f>MIN(G65+$E$66,1)</f>
        <v>0.05</v>
      </c>
      <c r="H66" s="160">
        <f t="shared" ref="H66:O66" si="21">MIN(H65+$E$66,1)</f>
        <v>0.05</v>
      </c>
      <c r="I66" s="160">
        <f t="shared" si="21"/>
        <v>0.05</v>
      </c>
      <c r="J66" s="160">
        <f t="shared" si="21"/>
        <v>0.05</v>
      </c>
      <c r="K66" s="160">
        <f t="shared" si="21"/>
        <v>0.05</v>
      </c>
      <c r="L66" s="160">
        <f t="shared" si="21"/>
        <v>0.05</v>
      </c>
      <c r="M66" s="160">
        <f t="shared" si="21"/>
        <v>0.05</v>
      </c>
      <c r="N66" s="160">
        <f t="shared" si="21"/>
        <v>0.05</v>
      </c>
      <c r="O66" s="160">
        <f t="shared" si="21"/>
        <v>0.05</v>
      </c>
    </row>
    <row r="67" spans="2:15">
      <c r="B67" s="93" t="s">
        <v>305</v>
      </c>
      <c r="D67" s="1" t="s">
        <v>316</v>
      </c>
      <c r="E67" s="215">
        <v>-0.02</v>
      </c>
      <c r="F67" s="213">
        <v>0</v>
      </c>
      <c r="G67" s="208">
        <f>+MIN(G65+$E$67,1)</f>
        <v>9.9999999999999985E-3</v>
      </c>
      <c r="H67" s="208">
        <f t="shared" ref="H67:O67" si="22">+MIN(H65+$E$67,1)</f>
        <v>9.9999999999999985E-3</v>
      </c>
      <c r="I67" s="208">
        <f t="shared" si="22"/>
        <v>9.9999999999999985E-3</v>
      </c>
      <c r="J67" s="208">
        <f t="shared" si="22"/>
        <v>9.9999999999999985E-3</v>
      </c>
      <c r="K67" s="208">
        <f t="shared" si="22"/>
        <v>9.9999999999999985E-3</v>
      </c>
      <c r="L67" s="208">
        <f t="shared" si="22"/>
        <v>9.9999999999999985E-3</v>
      </c>
      <c r="M67" s="208">
        <f t="shared" si="22"/>
        <v>9.9999999999999985E-3</v>
      </c>
      <c r="N67" s="208">
        <f t="shared" si="22"/>
        <v>9.9999999999999985E-3</v>
      </c>
      <c r="O67" s="208">
        <f t="shared" si="22"/>
        <v>9.9999999999999985E-3</v>
      </c>
    </row>
  </sheetData>
  <dataValidations count="1">
    <dataValidation type="list" allowBlank="1" showInputMessage="1" showErrorMessage="1" sqref="B6" xr:uid="{449ED676-1D74-4AE2-B093-52FE0DC05AD2}">
      <formula1>$B$11:$B$13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5237-EB79-4A85-863F-B2BF3D71DF17}">
  <dimension ref="A2:P41"/>
  <sheetViews>
    <sheetView showGridLines="0" tabSelected="1" workbookViewId="0">
      <pane xSplit="2" ySplit="6" topLeftCell="C27" activePane="bottomRight" state="frozen"/>
      <selection pane="topRight" activeCell="C1" sqref="C1"/>
      <selection pane="bottomLeft" activeCell="A7" sqref="A7"/>
      <selection pane="bottomRight" activeCell="F42" sqref="F42"/>
    </sheetView>
  </sheetViews>
  <sheetFormatPr defaultRowHeight="13.8"/>
  <cols>
    <col min="2" max="2" width="24.69921875" bestFit="1" customWidth="1"/>
    <col min="3" max="3" width="13.3984375" bestFit="1" customWidth="1"/>
    <col min="4" max="4" width="9" bestFit="1" customWidth="1"/>
    <col min="5" max="6" width="9.19921875" bestFit="1" customWidth="1"/>
    <col min="7" max="7" width="8.796875" bestFit="1" customWidth="1"/>
    <col min="8" max="8" width="9.5" bestFit="1" customWidth="1"/>
    <col min="9" max="9" width="9" bestFit="1" customWidth="1"/>
    <col min="10" max="10" width="8.3984375" bestFit="1" customWidth="1"/>
    <col min="11" max="11" width="9.19921875" bestFit="1" customWidth="1"/>
    <col min="12" max="12" width="10.59765625" bestFit="1" customWidth="1"/>
    <col min="13" max="13" width="8.8984375" bestFit="1" customWidth="1"/>
    <col min="14" max="14" width="10.09765625" bestFit="1" customWidth="1"/>
    <col min="15" max="15" width="10" bestFit="1" customWidth="1"/>
    <col min="16" max="16" width="9.796875" style="228" bestFit="1" customWidth="1"/>
  </cols>
  <sheetData>
    <row r="2" spans="1:16" s="37" customFormat="1">
      <c r="A2" s="117"/>
      <c r="B2" s="117" t="s">
        <v>300</v>
      </c>
      <c r="C2" s="117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224"/>
    </row>
    <row r="3" spans="1:16" s="37" customFormat="1">
      <c r="A3"/>
      <c r="B3"/>
      <c r="C3" s="27" t="s">
        <v>332</v>
      </c>
      <c r="D3" s="162" t="s">
        <v>320</v>
      </c>
      <c r="E3" s="162" t="s">
        <v>321</v>
      </c>
      <c r="F3" s="162" t="s">
        <v>322</v>
      </c>
      <c r="G3" s="162" t="s">
        <v>323</v>
      </c>
      <c r="H3" s="162" t="s">
        <v>324</v>
      </c>
      <c r="I3" s="162" t="s">
        <v>325</v>
      </c>
      <c r="J3" s="162" t="s">
        <v>326</v>
      </c>
      <c r="K3" s="162" t="s">
        <v>327</v>
      </c>
      <c r="L3" s="162" t="s">
        <v>328</v>
      </c>
      <c r="M3" s="162" t="s">
        <v>329</v>
      </c>
      <c r="N3" s="162" t="s">
        <v>330</v>
      </c>
      <c r="O3" s="162" t="s">
        <v>331</v>
      </c>
      <c r="P3" s="225" t="s">
        <v>336</v>
      </c>
    </row>
    <row r="4" spans="1:16" s="37" customFormat="1">
      <c r="A4"/>
      <c r="B4"/>
      <c r="C4" s="27" t="s">
        <v>333</v>
      </c>
      <c r="D4" s="162">
        <v>45658</v>
      </c>
      <c r="E4" s="162">
        <v>45689</v>
      </c>
      <c r="F4" s="162">
        <v>45717</v>
      </c>
      <c r="G4" s="162">
        <v>45748</v>
      </c>
      <c r="H4" s="162">
        <v>45778</v>
      </c>
      <c r="I4" s="162">
        <v>45809</v>
      </c>
      <c r="J4" s="162">
        <v>45839</v>
      </c>
      <c r="K4" s="162">
        <v>45870</v>
      </c>
      <c r="L4" s="162">
        <v>45901</v>
      </c>
      <c r="M4" s="162">
        <v>45931</v>
      </c>
      <c r="N4" s="162">
        <v>45962</v>
      </c>
      <c r="O4" s="162">
        <v>45992</v>
      </c>
      <c r="P4" s="226">
        <f>+D4</f>
        <v>45658</v>
      </c>
    </row>
    <row r="5" spans="1:16" s="37" customFormat="1">
      <c r="A5"/>
      <c r="B5" s="83"/>
      <c r="C5" s="27" t="s">
        <v>334</v>
      </c>
      <c r="D5" s="222">
        <f>+EOMONTH(D4,0)</f>
        <v>45688</v>
      </c>
      <c r="E5" s="222">
        <f t="shared" ref="E5:O5" si="0">+EOMONTH(E4,0)</f>
        <v>45716</v>
      </c>
      <c r="F5" s="222">
        <f t="shared" si="0"/>
        <v>45747</v>
      </c>
      <c r="G5" s="222">
        <f t="shared" si="0"/>
        <v>45777</v>
      </c>
      <c r="H5" s="222">
        <f t="shared" si="0"/>
        <v>45808</v>
      </c>
      <c r="I5" s="222">
        <f t="shared" si="0"/>
        <v>45838</v>
      </c>
      <c r="J5" s="222">
        <f t="shared" si="0"/>
        <v>45869</v>
      </c>
      <c r="K5" s="222">
        <f t="shared" si="0"/>
        <v>45900</v>
      </c>
      <c r="L5" s="222">
        <f t="shared" si="0"/>
        <v>45930</v>
      </c>
      <c r="M5" s="222">
        <f t="shared" si="0"/>
        <v>45961</v>
      </c>
      <c r="N5" s="222">
        <f t="shared" si="0"/>
        <v>45991</v>
      </c>
      <c r="O5" s="222">
        <f t="shared" si="0"/>
        <v>46022</v>
      </c>
      <c r="P5" s="226">
        <f>+O5</f>
        <v>46022</v>
      </c>
    </row>
    <row r="6" spans="1:16" s="37" customFormat="1">
      <c r="A6"/>
      <c r="B6"/>
      <c r="C6" s="27" t="s">
        <v>335</v>
      </c>
      <c r="D6" s="108">
        <f>DAY(EOMONTH(D5,0))</f>
        <v>31</v>
      </c>
      <c r="E6" s="108">
        <f t="shared" ref="E6:O6" si="1">DAY(EOMONTH(E5,0))</f>
        <v>28</v>
      </c>
      <c r="F6" s="108">
        <f t="shared" si="1"/>
        <v>31</v>
      </c>
      <c r="G6" s="108">
        <f t="shared" si="1"/>
        <v>30</v>
      </c>
      <c r="H6" s="108">
        <f t="shared" si="1"/>
        <v>31</v>
      </c>
      <c r="I6" s="108">
        <f t="shared" si="1"/>
        <v>30</v>
      </c>
      <c r="J6" s="108">
        <f t="shared" si="1"/>
        <v>31</v>
      </c>
      <c r="K6" s="108">
        <f t="shared" si="1"/>
        <v>31</v>
      </c>
      <c r="L6" s="108">
        <f t="shared" si="1"/>
        <v>30</v>
      </c>
      <c r="M6" s="108">
        <f t="shared" si="1"/>
        <v>31</v>
      </c>
      <c r="N6" s="108">
        <f t="shared" si="1"/>
        <v>30</v>
      </c>
      <c r="O6" s="108">
        <f t="shared" si="1"/>
        <v>31</v>
      </c>
      <c r="P6" s="227">
        <f>SUM(D6:O6)</f>
        <v>365</v>
      </c>
    </row>
    <row r="8" spans="1:16">
      <c r="B8" s="192" t="s">
        <v>337</v>
      </c>
    </row>
    <row r="9" spans="1:16">
      <c r="B9" s="223" t="s">
        <v>311</v>
      </c>
    </row>
    <row r="10" spans="1:16">
      <c r="B10" t="s">
        <v>45</v>
      </c>
      <c r="D10" s="231">
        <v>0.08</v>
      </c>
      <c r="E10" s="231">
        <v>0.1</v>
      </c>
      <c r="F10" s="231">
        <v>0.1</v>
      </c>
      <c r="G10" s="231">
        <v>0.08</v>
      </c>
      <c r="H10" s="231">
        <v>0.08</v>
      </c>
      <c r="I10" s="231">
        <v>0.08</v>
      </c>
      <c r="J10" s="231">
        <v>0.08</v>
      </c>
      <c r="K10" s="231">
        <v>0.08</v>
      </c>
      <c r="L10" s="231">
        <v>0.08</v>
      </c>
      <c r="M10" s="231">
        <v>0.08</v>
      </c>
      <c r="N10" s="231">
        <v>0.06</v>
      </c>
      <c r="O10" s="231">
        <v>0.1</v>
      </c>
      <c r="P10" s="229">
        <f t="shared" ref="P10:P12" si="2">SUM(D10:O10)</f>
        <v>0.99999999999999989</v>
      </c>
    </row>
    <row r="11" spans="1:16">
      <c r="B11" t="s">
        <v>308</v>
      </c>
      <c r="D11" s="231">
        <v>0.08</v>
      </c>
      <c r="E11" s="231">
        <v>0.1</v>
      </c>
      <c r="F11" s="231">
        <v>0.1</v>
      </c>
      <c r="G11" s="231">
        <v>0.08</v>
      </c>
      <c r="H11" s="231">
        <v>0.08</v>
      </c>
      <c r="I11" s="231">
        <v>0.08</v>
      </c>
      <c r="J11" s="231">
        <v>0.08</v>
      </c>
      <c r="K11" s="231">
        <v>0.08</v>
      </c>
      <c r="L11" s="231">
        <v>0.08</v>
      </c>
      <c r="M11" s="231">
        <v>0.08</v>
      </c>
      <c r="N11" s="231">
        <v>0.06</v>
      </c>
      <c r="O11" s="231">
        <v>0.1</v>
      </c>
      <c r="P11" s="229">
        <f t="shared" si="2"/>
        <v>0.99999999999999989</v>
      </c>
    </row>
    <row r="12" spans="1:16">
      <c r="B12" t="s">
        <v>310</v>
      </c>
      <c r="D12" s="231">
        <v>0.08</v>
      </c>
      <c r="E12" s="231">
        <v>0.1</v>
      </c>
      <c r="F12" s="231">
        <v>0.1</v>
      </c>
      <c r="G12" s="231">
        <v>0.08</v>
      </c>
      <c r="H12" s="231">
        <v>0.08</v>
      </c>
      <c r="I12" s="231">
        <v>0.08</v>
      </c>
      <c r="J12" s="231">
        <v>0.08</v>
      </c>
      <c r="K12" s="231">
        <v>0.08</v>
      </c>
      <c r="L12" s="231">
        <v>0.08</v>
      </c>
      <c r="M12" s="231">
        <v>0.08</v>
      </c>
      <c r="N12" s="231">
        <v>0.06</v>
      </c>
      <c r="O12" s="231">
        <v>0.1</v>
      </c>
      <c r="P12" s="229">
        <f t="shared" si="2"/>
        <v>0.99999999999999989</v>
      </c>
    </row>
    <row r="13" spans="1:16">
      <c r="B13" t="s">
        <v>309</v>
      </c>
      <c r="D13" s="231">
        <v>0.08</v>
      </c>
      <c r="E13" s="231">
        <v>0.1</v>
      </c>
      <c r="F13" s="231">
        <v>0.1</v>
      </c>
      <c r="G13" s="231">
        <v>0.08</v>
      </c>
      <c r="H13" s="231">
        <v>0.08</v>
      </c>
      <c r="I13" s="231">
        <v>0.08</v>
      </c>
      <c r="J13" s="231">
        <v>0.08</v>
      </c>
      <c r="K13" s="231">
        <v>0.08</v>
      </c>
      <c r="L13" s="231">
        <v>0.08</v>
      </c>
      <c r="M13" s="231">
        <v>0.08</v>
      </c>
      <c r="N13" s="231">
        <v>0.06</v>
      </c>
      <c r="O13" s="231">
        <v>0.1</v>
      </c>
      <c r="P13" s="229">
        <f>SUM(D13:O13)</f>
        <v>0.99999999999999989</v>
      </c>
    </row>
    <row r="14" spans="1:16"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229"/>
    </row>
    <row r="15" spans="1:16">
      <c r="B15" s="192" t="s">
        <v>338</v>
      </c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229"/>
    </row>
    <row r="16" spans="1:16">
      <c r="B16" t="s">
        <v>55</v>
      </c>
      <c r="D16" s="231">
        <v>0.08</v>
      </c>
      <c r="E16" s="231">
        <v>0.1</v>
      </c>
      <c r="F16" s="231">
        <v>0.1</v>
      </c>
      <c r="G16" s="231">
        <v>0.08</v>
      </c>
      <c r="H16" s="231">
        <v>0.08</v>
      </c>
      <c r="I16" s="231">
        <v>0.08</v>
      </c>
      <c r="J16" s="231">
        <v>0.08</v>
      </c>
      <c r="K16" s="231">
        <v>0.08</v>
      </c>
      <c r="L16" s="231">
        <v>0.08</v>
      </c>
      <c r="M16" s="231">
        <v>0.08</v>
      </c>
      <c r="N16" s="231">
        <v>0.06</v>
      </c>
      <c r="O16" s="231">
        <v>0.1</v>
      </c>
      <c r="P16" s="229">
        <f t="shared" ref="P16:P20" si="3">SUM(D16:O16)</f>
        <v>0.99999999999999989</v>
      </c>
    </row>
    <row r="17" spans="2:16">
      <c r="B17" t="s">
        <v>318</v>
      </c>
      <c r="D17" s="231">
        <v>0.08</v>
      </c>
      <c r="E17" s="231">
        <v>0.1</v>
      </c>
      <c r="F17" s="231">
        <v>0.1</v>
      </c>
      <c r="G17" s="231">
        <v>0.08</v>
      </c>
      <c r="H17" s="231">
        <v>0.08</v>
      </c>
      <c r="I17" s="231">
        <v>0.08</v>
      </c>
      <c r="J17" s="231">
        <v>0.08</v>
      </c>
      <c r="K17" s="231">
        <v>0.08</v>
      </c>
      <c r="L17" s="231">
        <v>0.08</v>
      </c>
      <c r="M17" s="231">
        <v>0.08</v>
      </c>
      <c r="N17" s="231">
        <v>0.06</v>
      </c>
      <c r="O17" s="231">
        <v>0.1</v>
      </c>
      <c r="P17" s="229">
        <f t="shared" si="3"/>
        <v>0.99999999999999989</v>
      </c>
    </row>
    <row r="18" spans="2:16">
      <c r="B18" t="s">
        <v>81</v>
      </c>
      <c r="D18" s="231">
        <v>0.08</v>
      </c>
      <c r="E18" s="231">
        <v>0.1</v>
      </c>
      <c r="F18" s="231">
        <v>0.1</v>
      </c>
      <c r="G18" s="231">
        <v>0.08</v>
      </c>
      <c r="H18" s="231">
        <v>0.08</v>
      </c>
      <c r="I18" s="231">
        <v>0.08</v>
      </c>
      <c r="J18" s="231">
        <v>0.08</v>
      </c>
      <c r="K18" s="231">
        <v>0.08</v>
      </c>
      <c r="L18" s="231">
        <v>0.08</v>
      </c>
      <c r="M18" s="231">
        <v>0.08</v>
      </c>
      <c r="N18" s="231">
        <v>0.06</v>
      </c>
      <c r="O18" s="231">
        <v>0.1</v>
      </c>
      <c r="P18" s="229">
        <f t="shared" si="3"/>
        <v>0.99999999999999989</v>
      </c>
    </row>
    <row r="19" spans="2:16">
      <c r="B19" t="s">
        <v>82</v>
      </c>
      <c r="D19" s="231">
        <v>0.08</v>
      </c>
      <c r="E19" s="231">
        <v>0.1</v>
      </c>
      <c r="F19" s="231">
        <v>0.1</v>
      </c>
      <c r="G19" s="231">
        <v>0.08</v>
      </c>
      <c r="H19" s="231">
        <v>0.08</v>
      </c>
      <c r="I19" s="231">
        <v>0.08</v>
      </c>
      <c r="J19" s="231">
        <v>0.08</v>
      </c>
      <c r="K19" s="231">
        <v>0.08</v>
      </c>
      <c r="L19" s="231">
        <v>0.08</v>
      </c>
      <c r="M19" s="231">
        <v>0.08</v>
      </c>
      <c r="N19" s="231">
        <v>0.06</v>
      </c>
      <c r="O19" s="231">
        <v>0.1</v>
      </c>
      <c r="P19" s="229">
        <f t="shared" si="3"/>
        <v>0.99999999999999989</v>
      </c>
    </row>
    <row r="20" spans="2:16">
      <c r="B20" t="s">
        <v>339</v>
      </c>
      <c r="D20" s="231">
        <v>8.3333333333333329E-2</v>
      </c>
      <c r="E20" s="231">
        <v>8.3333333333333329E-2</v>
      </c>
      <c r="F20" s="231">
        <v>8.3333333333333329E-2</v>
      </c>
      <c r="G20" s="231">
        <v>8.3333333333333329E-2</v>
      </c>
      <c r="H20" s="231">
        <v>8.3333333333333329E-2</v>
      </c>
      <c r="I20" s="231">
        <v>8.3333333333333329E-2</v>
      </c>
      <c r="J20" s="231">
        <v>8.3333333333333329E-2</v>
      </c>
      <c r="K20" s="231">
        <v>8.3333333333333329E-2</v>
      </c>
      <c r="L20" s="231">
        <v>8.3333333333333329E-2</v>
      </c>
      <c r="M20" s="231">
        <v>8.3333333333333329E-2</v>
      </c>
      <c r="N20" s="231">
        <v>8.3333333333333329E-2</v>
      </c>
      <c r="O20" s="231">
        <v>8.3333333333333329E-2</v>
      </c>
      <c r="P20" s="232">
        <v>1</v>
      </c>
    </row>
    <row r="21" spans="2:16"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229"/>
    </row>
    <row r="22" spans="2:16">
      <c r="B22" s="192" t="s">
        <v>218</v>
      </c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229"/>
    </row>
    <row r="23" spans="2:16">
      <c r="B23" t="s">
        <v>340</v>
      </c>
      <c r="D23" s="231">
        <v>8.3333333333333329E-2</v>
      </c>
      <c r="E23" s="231">
        <v>8.3333333333333329E-2</v>
      </c>
      <c r="F23" s="231">
        <v>8.3333333333333329E-2</v>
      </c>
      <c r="G23" s="231">
        <v>8.3333333333333329E-2</v>
      </c>
      <c r="H23" s="231">
        <v>8.3333333333333329E-2</v>
      </c>
      <c r="I23" s="231">
        <v>8.3333333333333329E-2</v>
      </c>
      <c r="J23" s="231">
        <v>8.3333333333333329E-2</v>
      </c>
      <c r="K23" s="231">
        <v>8.3333333333333329E-2</v>
      </c>
      <c r="L23" s="231">
        <v>8.3333333333333329E-2</v>
      </c>
      <c r="M23" s="231">
        <v>8.3333333333333329E-2</v>
      </c>
      <c r="N23" s="231">
        <v>8.3333333333333329E-2</v>
      </c>
      <c r="O23" s="231">
        <v>8.3333333333333329E-2</v>
      </c>
      <c r="P23" s="229">
        <f>SUM(D23:O23)</f>
        <v>1</v>
      </c>
    </row>
    <row r="24" spans="2:16">
      <c r="B24" t="s">
        <v>226</v>
      </c>
      <c r="D24" s="231">
        <v>0.08</v>
      </c>
      <c r="E24" s="231">
        <v>0.1</v>
      </c>
      <c r="F24" s="231">
        <v>0.1</v>
      </c>
      <c r="G24" s="231">
        <v>0.08</v>
      </c>
      <c r="H24" s="231">
        <v>0.08</v>
      </c>
      <c r="I24" s="231">
        <v>0.08</v>
      </c>
      <c r="J24" s="231">
        <v>0.08</v>
      </c>
      <c r="K24" s="231">
        <v>0.08</v>
      </c>
      <c r="L24" s="231">
        <v>0.08</v>
      </c>
      <c r="M24" s="231">
        <v>0.08</v>
      </c>
      <c r="N24" s="231">
        <v>0.06</v>
      </c>
      <c r="O24" s="231">
        <v>0.1</v>
      </c>
      <c r="P24" s="229">
        <f>SUM(D24:O24)</f>
        <v>0.99999999999999989</v>
      </c>
    </row>
    <row r="25" spans="2:16">
      <c r="B25" t="s">
        <v>319</v>
      </c>
      <c r="D25" s="231">
        <v>8.3333333333333329E-2</v>
      </c>
      <c r="E25" s="231">
        <v>8.3333333333333329E-2</v>
      </c>
      <c r="F25" s="231">
        <v>8.3333333333333329E-2</v>
      </c>
      <c r="G25" s="231">
        <v>8.3333333333333329E-2</v>
      </c>
      <c r="H25" s="231">
        <v>8.3333333333333329E-2</v>
      </c>
      <c r="I25" s="231">
        <v>8.3333333333333329E-2</v>
      </c>
      <c r="J25" s="231">
        <v>8.3333333333333329E-2</v>
      </c>
      <c r="K25" s="231">
        <v>8.3333333333333329E-2</v>
      </c>
      <c r="L25" s="231">
        <v>8.3333333333333329E-2</v>
      </c>
      <c r="M25" s="231">
        <v>8.3333333333333329E-2</v>
      </c>
      <c r="N25" s="231">
        <v>8.3333333333333329E-2</v>
      </c>
      <c r="O25" s="231">
        <v>8.3333333333333329E-2</v>
      </c>
      <c r="P25" s="229">
        <f>SUM(D25:O25)</f>
        <v>1</v>
      </c>
    </row>
    <row r="26" spans="2:16">
      <c r="B26" t="s">
        <v>341</v>
      </c>
      <c r="D26" s="230">
        <v>0.08</v>
      </c>
      <c r="E26" s="230">
        <v>0.1</v>
      </c>
      <c r="F26" s="230">
        <v>0.1</v>
      </c>
      <c r="G26" s="230">
        <v>0.08</v>
      </c>
      <c r="H26" s="230">
        <v>0.08</v>
      </c>
      <c r="I26" s="230">
        <v>0.08</v>
      </c>
      <c r="J26" s="230">
        <v>0.08</v>
      </c>
      <c r="K26" s="230">
        <v>0.08</v>
      </c>
      <c r="L26" s="230">
        <v>0.08</v>
      </c>
      <c r="M26" s="230">
        <v>0.08</v>
      </c>
      <c r="N26" s="230">
        <v>0.06</v>
      </c>
      <c r="O26" s="230">
        <v>0.1</v>
      </c>
      <c r="P26" s="229">
        <f>SUM(D26:O26)</f>
        <v>0.99999999999999989</v>
      </c>
    </row>
    <row r="27" spans="2:16"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229"/>
    </row>
    <row r="28" spans="2:16">
      <c r="B28" s="192" t="s">
        <v>342</v>
      </c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229"/>
    </row>
    <row r="29" spans="2:16">
      <c r="B29" t="s">
        <v>100</v>
      </c>
      <c r="D29" s="231">
        <v>0.5</v>
      </c>
      <c r="E29" s="231">
        <v>0</v>
      </c>
      <c r="F29" s="231">
        <v>0</v>
      </c>
      <c r="G29" s="231">
        <v>0</v>
      </c>
      <c r="H29" s="231">
        <v>0</v>
      </c>
      <c r="I29" s="231">
        <v>0.5</v>
      </c>
      <c r="J29" s="231">
        <v>0</v>
      </c>
      <c r="K29" s="231">
        <v>0</v>
      </c>
      <c r="L29" s="231">
        <v>0</v>
      </c>
      <c r="M29" s="231">
        <v>0</v>
      </c>
      <c r="N29" s="231">
        <v>0</v>
      </c>
      <c r="O29" s="231">
        <v>0</v>
      </c>
      <c r="P29" s="233">
        <f t="shared" ref="P29:P34" si="4">SUM(D29:O29)</f>
        <v>1</v>
      </c>
    </row>
    <row r="30" spans="2:16">
      <c r="B30" t="s">
        <v>101</v>
      </c>
      <c r="D30" s="231">
        <v>0.5</v>
      </c>
      <c r="E30" s="231">
        <v>0</v>
      </c>
      <c r="F30" s="231">
        <v>0</v>
      </c>
      <c r="G30" s="231">
        <v>0</v>
      </c>
      <c r="H30" s="231">
        <v>0</v>
      </c>
      <c r="I30" s="231">
        <v>0.5</v>
      </c>
      <c r="J30" s="231">
        <v>0</v>
      </c>
      <c r="K30" s="231">
        <v>0</v>
      </c>
      <c r="L30" s="231">
        <v>0</v>
      </c>
      <c r="M30" s="231">
        <v>0</v>
      </c>
      <c r="N30" s="231">
        <v>0</v>
      </c>
      <c r="O30" s="231">
        <v>0</v>
      </c>
      <c r="P30" s="233">
        <f t="shared" si="4"/>
        <v>1</v>
      </c>
    </row>
    <row r="31" spans="2:16">
      <c r="B31" t="s">
        <v>278</v>
      </c>
      <c r="D31" s="231">
        <v>0.5</v>
      </c>
      <c r="E31" s="231">
        <v>0</v>
      </c>
      <c r="F31" s="231">
        <v>0</v>
      </c>
      <c r="G31" s="231">
        <v>0</v>
      </c>
      <c r="H31" s="231">
        <v>0</v>
      </c>
      <c r="I31" s="231">
        <v>0.5</v>
      </c>
      <c r="J31" s="231">
        <v>0</v>
      </c>
      <c r="K31" s="231">
        <v>0</v>
      </c>
      <c r="L31" s="231">
        <v>0</v>
      </c>
      <c r="M31" s="231">
        <v>0</v>
      </c>
      <c r="N31" s="231">
        <v>0</v>
      </c>
      <c r="O31" s="231">
        <v>0</v>
      </c>
      <c r="P31" s="233">
        <f t="shared" si="4"/>
        <v>1</v>
      </c>
    </row>
    <row r="32" spans="2:16">
      <c r="B32" t="s">
        <v>103</v>
      </c>
      <c r="D32" s="231">
        <v>0.5</v>
      </c>
      <c r="E32" s="231">
        <v>0</v>
      </c>
      <c r="F32" s="231">
        <v>0</v>
      </c>
      <c r="G32" s="231">
        <v>0</v>
      </c>
      <c r="H32" s="231">
        <v>0</v>
      </c>
      <c r="I32" s="231">
        <v>0.5</v>
      </c>
      <c r="J32" s="231">
        <v>0</v>
      </c>
      <c r="K32" s="231">
        <v>0</v>
      </c>
      <c r="L32" s="231">
        <v>0</v>
      </c>
      <c r="M32" s="231">
        <v>0</v>
      </c>
      <c r="N32" s="231">
        <v>0</v>
      </c>
      <c r="O32" s="231">
        <v>0</v>
      </c>
      <c r="P32" s="233">
        <f t="shared" si="4"/>
        <v>1</v>
      </c>
    </row>
    <row r="33" spans="2:16">
      <c r="B33" t="s">
        <v>163</v>
      </c>
      <c r="D33" s="231">
        <v>0.5</v>
      </c>
      <c r="E33" s="231">
        <v>0</v>
      </c>
      <c r="F33" s="231">
        <v>0</v>
      </c>
      <c r="G33" s="231">
        <v>0</v>
      </c>
      <c r="H33" s="231">
        <v>0</v>
      </c>
      <c r="I33" s="231">
        <v>0.5</v>
      </c>
      <c r="J33" s="231">
        <v>0</v>
      </c>
      <c r="K33" s="231">
        <v>0</v>
      </c>
      <c r="L33" s="231">
        <v>0</v>
      </c>
      <c r="M33" s="231">
        <v>0</v>
      </c>
      <c r="N33" s="231">
        <v>0</v>
      </c>
      <c r="O33" s="231">
        <v>0</v>
      </c>
      <c r="P33" s="233">
        <f t="shared" si="4"/>
        <v>1</v>
      </c>
    </row>
    <row r="34" spans="2:16">
      <c r="B34" t="s">
        <v>279</v>
      </c>
      <c r="D34" s="231">
        <v>0.5</v>
      </c>
      <c r="E34" s="231">
        <v>0</v>
      </c>
      <c r="F34" s="231">
        <v>0</v>
      </c>
      <c r="G34" s="231">
        <v>0</v>
      </c>
      <c r="H34" s="231">
        <v>0</v>
      </c>
      <c r="I34" s="231">
        <v>0.5</v>
      </c>
      <c r="J34" s="231">
        <v>0</v>
      </c>
      <c r="K34" s="231">
        <v>0</v>
      </c>
      <c r="L34" s="231">
        <v>0</v>
      </c>
      <c r="M34" s="231">
        <v>0</v>
      </c>
      <c r="N34" s="231">
        <v>0</v>
      </c>
      <c r="O34" s="231">
        <v>0</v>
      </c>
      <c r="P34" s="233">
        <f t="shared" si="4"/>
        <v>1</v>
      </c>
    </row>
    <row r="35" spans="2:16">
      <c r="B35" t="s">
        <v>226</v>
      </c>
      <c r="D35" s="230">
        <v>0.08</v>
      </c>
      <c r="E35" s="230">
        <v>0.1</v>
      </c>
      <c r="F35" s="230">
        <v>0.1</v>
      </c>
      <c r="G35" s="230">
        <v>0.08</v>
      </c>
      <c r="H35" s="230">
        <v>0.08</v>
      </c>
      <c r="I35" s="230">
        <v>0.08</v>
      </c>
      <c r="J35" s="230">
        <v>0.08</v>
      </c>
      <c r="K35" s="230">
        <v>0.08</v>
      </c>
      <c r="L35" s="230">
        <v>0.08</v>
      </c>
      <c r="M35" s="230">
        <v>0.08</v>
      </c>
      <c r="N35" s="230">
        <v>0.06</v>
      </c>
      <c r="O35" s="230">
        <v>0.1</v>
      </c>
      <c r="P35" s="229">
        <f>SUM(D35:O35)</f>
        <v>0.99999999999999989</v>
      </c>
    </row>
    <row r="36" spans="2:16"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229"/>
    </row>
    <row r="37" spans="2:16">
      <c r="B37" s="192" t="s">
        <v>343</v>
      </c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229"/>
    </row>
    <row r="38" spans="2:16">
      <c r="B38" t="s">
        <v>344</v>
      </c>
      <c r="D38" s="160">
        <v>1</v>
      </c>
      <c r="E38" s="160">
        <v>0</v>
      </c>
      <c r="F38" s="160">
        <v>0</v>
      </c>
      <c r="G38" s="160">
        <v>0</v>
      </c>
      <c r="H38" s="160">
        <v>0</v>
      </c>
      <c r="I38" s="160">
        <v>0</v>
      </c>
      <c r="J38" s="160">
        <v>0</v>
      </c>
      <c r="K38" s="160">
        <v>0</v>
      </c>
      <c r="L38" s="160">
        <v>0</v>
      </c>
      <c r="M38" s="160">
        <v>0</v>
      </c>
      <c r="N38" s="160">
        <v>0</v>
      </c>
      <c r="O38" s="160">
        <v>0</v>
      </c>
      <c r="P38" s="229">
        <f>SUM(D38:O38)</f>
        <v>1</v>
      </c>
    </row>
    <row r="39" spans="2:16">
      <c r="B39" t="s">
        <v>345</v>
      </c>
      <c r="D39" s="231">
        <v>8.3333333333333329E-2</v>
      </c>
      <c r="E39" s="231">
        <v>8.3333333333333329E-2</v>
      </c>
      <c r="F39" s="231">
        <v>8.3333333333333329E-2</v>
      </c>
      <c r="G39" s="231">
        <v>8.3333333333333329E-2</v>
      </c>
      <c r="H39" s="231">
        <v>8.3333333333333329E-2</v>
      </c>
      <c r="I39" s="231">
        <v>8.3333333333333329E-2</v>
      </c>
      <c r="J39" s="231">
        <v>8.3333333333333329E-2</v>
      </c>
      <c r="K39" s="231">
        <v>8.3333333333333329E-2</v>
      </c>
      <c r="L39" s="231">
        <v>8.3333333333333329E-2</v>
      </c>
      <c r="M39" s="231">
        <v>8.3333333333333329E-2</v>
      </c>
      <c r="N39" s="231">
        <v>8.3333333333333329E-2</v>
      </c>
      <c r="O39" s="231">
        <v>8.3333333333333329E-2</v>
      </c>
      <c r="P39" s="229">
        <f t="shared" ref="P39:P41" si="5">SUM(D39:O39)</f>
        <v>1</v>
      </c>
    </row>
    <row r="40" spans="2:16">
      <c r="B40" t="s">
        <v>346</v>
      </c>
      <c r="D40" s="231">
        <v>8.3333333333333329E-2</v>
      </c>
      <c r="E40" s="231">
        <v>8.3333333333333329E-2</v>
      </c>
      <c r="F40" s="231">
        <v>8.3333333333333329E-2</v>
      </c>
      <c r="G40" s="231">
        <v>8.3333333333333329E-2</v>
      </c>
      <c r="H40" s="231">
        <v>8.3333333333333329E-2</v>
      </c>
      <c r="I40" s="231">
        <v>8.3333333333333329E-2</v>
      </c>
      <c r="J40" s="231">
        <v>8.3333333333333329E-2</v>
      </c>
      <c r="K40" s="231">
        <v>8.3333333333333329E-2</v>
      </c>
      <c r="L40" s="231">
        <v>8.3333333333333329E-2</v>
      </c>
      <c r="M40" s="231">
        <v>8.3333333333333329E-2</v>
      </c>
      <c r="N40" s="231">
        <v>8.3333333333333329E-2</v>
      </c>
      <c r="O40" s="231">
        <v>8.3333333333333329E-2</v>
      </c>
      <c r="P40" s="229">
        <f t="shared" si="5"/>
        <v>1</v>
      </c>
    </row>
    <row r="41" spans="2:16">
      <c r="B41" t="s">
        <v>347</v>
      </c>
      <c r="D41" s="231">
        <v>0</v>
      </c>
      <c r="E41" s="231">
        <v>0</v>
      </c>
      <c r="F41" s="231">
        <v>0</v>
      </c>
      <c r="G41" s="231">
        <v>0</v>
      </c>
      <c r="H41" s="231">
        <v>0</v>
      </c>
      <c r="I41" s="231">
        <v>0</v>
      </c>
      <c r="J41" s="231">
        <v>0</v>
      </c>
      <c r="K41" s="231">
        <v>0</v>
      </c>
      <c r="L41" s="231">
        <v>0</v>
      </c>
      <c r="M41" s="231">
        <v>0</v>
      </c>
      <c r="N41" s="231">
        <v>0</v>
      </c>
      <c r="O41" s="231">
        <v>1</v>
      </c>
      <c r="P41" s="229">
        <f t="shared" si="5"/>
        <v>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 Up Assumptions</vt:lpstr>
      <vt:lpstr>Development Assumptions</vt:lpstr>
      <vt:lpstr>Payroll</vt:lpstr>
      <vt:lpstr>OpEx</vt:lpstr>
      <vt:lpstr>CapEx</vt:lpstr>
      <vt:lpstr>Depreciation</vt:lpstr>
      <vt:lpstr>Scenarios</vt:lpstr>
      <vt:lpstr>Monthly CF Budget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Jogani</dc:creator>
  <cp:lastModifiedBy>Prince Jogani</cp:lastModifiedBy>
  <dcterms:created xsi:type="dcterms:W3CDTF">2025-08-01T14:52:01Z</dcterms:created>
  <dcterms:modified xsi:type="dcterms:W3CDTF">2025-08-02T21:19:24Z</dcterms:modified>
</cp:coreProperties>
</file>