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8940" yWindow="340" windowWidth="19420" windowHeight="15960"/>
  </bookViews>
  <sheets>
    <sheet name="Lottery Budget" sheetId="1" r:id="rId1"/>
    <sheet name="Assumptions" sheetId="2" r:id="rId2"/>
  </sheets>
  <definedNames>
    <definedName name="_xlnm.Print_Area" localSheetId="0">'Lottery Budget'!$B$1:$G$50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E40" i="1"/>
  <c r="F41" i="1"/>
  <c r="F40" i="1"/>
  <c r="C9" i="2"/>
  <c r="F13" i="1"/>
  <c r="F14" i="1"/>
  <c r="F15" i="1"/>
  <c r="F31" i="1"/>
  <c r="C35" i="2"/>
  <c r="C37" i="2"/>
  <c r="F29" i="1"/>
  <c r="F28" i="1"/>
  <c r="E28" i="1"/>
  <c r="C36" i="2"/>
  <c r="E29" i="1"/>
  <c r="C28" i="2"/>
  <c r="C31" i="2"/>
  <c r="C30" i="2"/>
  <c r="C32" i="2"/>
  <c r="E27" i="1"/>
  <c r="C29" i="2"/>
  <c r="E26" i="1"/>
  <c r="F27" i="1"/>
  <c r="F26" i="1"/>
  <c r="F38" i="1"/>
  <c r="F36" i="1"/>
  <c r="C12" i="2"/>
  <c r="C13" i="2"/>
  <c r="C16" i="2"/>
  <c r="C17" i="2"/>
  <c r="E21" i="1"/>
  <c r="E34" i="1"/>
  <c r="F34" i="1"/>
  <c r="F33" i="1"/>
  <c r="F32" i="1"/>
  <c r="F25" i="1"/>
  <c r="F30" i="1"/>
  <c r="F24" i="1"/>
  <c r="F16" i="1"/>
  <c r="F12" i="1"/>
  <c r="E15" i="1"/>
  <c r="F23" i="1"/>
  <c r="E23" i="1"/>
  <c r="F17" i="1"/>
  <c r="F18" i="1"/>
  <c r="F19" i="1"/>
  <c r="F21" i="1"/>
  <c r="F20" i="1"/>
  <c r="F22" i="1"/>
  <c r="E3" i="1"/>
  <c r="E4" i="1"/>
  <c r="E6" i="1"/>
  <c r="E5" i="1"/>
  <c r="E7" i="1"/>
  <c r="E19" i="1"/>
  <c r="E32" i="1"/>
  <c r="C45" i="2"/>
  <c r="G31" i="1"/>
  <c r="E30" i="1"/>
  <c r="E25" i="1"/>
  <c r="E20" i="1"/>
  <c r="E14" i="1"/>
  <c r="E13" i="1"/>
  <c r="E17" i="1"/>
  <c r="E18" i="1"/>
  <c r="G45" i="1"/>
  <c r="G33" i="1"/>
  <c r="G32" i="1"/>
  <c r="G24" i="1"/>
  <c r="G16" i="1"/>
  <c r="G12" i="1"/>
  <c r="E22" i="1"/>
  <c r="G44" i="1"/>
  <c r="G48" i="1"/>
  <c r="G36" i="1"/>
  <c r="F44" i="1"/>
  <c r="F46" i="1"/>
  <c r="F47" i="1"/>
  <c r="F45" i="1"/>
  <c r="F43" i="1"/>
  <c r="F48" i="1"/>
  <c r="E2" i="1"/>
</calcChain>
</file>

<file path=xl/sharedStrings.xml><?xml version="1.0" encoding="utf-8"?>
<sst xmlns="http://schemas.openxmlformats.org/spreadsheetml/2006/main" count="106" uniqueCount="101">
  <si>
    <t>Item</t>
  </si>
  <si>
    <t xml:space="preserve">Description
</t>
  </si>
  <si>
    <t>TOTAL</t>
  </si>
  <si>
    <t>* Remember to account for inflation and exchange rate risk for future expenses(3%)</t>
  </si>
  <si>
    <t>Projected Start Date</t>
  </si>
  <si>
    <t>Projected End Date</t>
  </si>
  <si>
    <t>Total Months</t>
  </si>
  <si>
    <t>Total Working Days</t>
  </si>
  <si>
    <t>Total Projected Budget</t>
  </si>
  <si>
    <t>Budget</t>
  </si>
  <si>
    <t>Sample Size</t>
  </si>
  <si>
    <t>Assumptions</t>
  </si>
  <si>
    <t>Takeup Rate</t>
  </si>
  <si>
    <t>Field Lunch</t>
  </si>
  <si>
    <t>Portion of Respondents in Kibera</t>
  </si>
  <si>
    <t>Portion of Respondents in Viwandani</t>
  </si>
  <si>
    <t>FO Transportation -- Kibera</t>
  </si>
  <si>
    <t>FO Transportation -- Viwandani</t>
  </si>
  <si>
    <t>Recruitment Space Rentals</t>
  </si>
  <si>
    <t>Number of Respondents to Recruit</t>
  </si>
  <si>
    <t>Number of FO s recruiting</t>
  </si>
  <si>
    <t>Number of Respondents to Enroll</t>
  </si>
  <si>
    <t>Number of Working Days</t>
  </si>
  <si>
    <t>Community Mobilizer Fees</t>
  </si>
  <si>
    <t>Number of FO Days</t>
  </si>
  <si>
    <t>Field Officer Salaries</t>
  </si>
  <si>
    <t>Sample size to receive text messages</t>
  </si>
  <si>
    <t>Number of Days to Send Text Messages</t>
  </si>
  <si>
    <t>14% Country Management Fee</t>
  </si>
  <si>
    <t>Number of Safaricom Modems</t>
  </si>
  <si>
    <t>User-inputed</t>
  </si>
  <si>
    <t>Auto-generated</t>
  </si>
  <si>
    <t>Project Manager Rate per day</t>
  </si>
  <si>
    <t>Field Officer Rate Per Day</t>
  </si>
  <si>
    <t>PM Days Needed</t>
  </si>
  <si>
    <t>Project Associate Salary</t>
  </si>
  <si>
    <t>DIRECT COSTS</t>
  </si>
  <si>
    <t>INDIRECT COSTS</t>
  </si>
  <si>
    <t>CAI Usage Fee (per day)</t>
  </si>
  <si>
    <t>3. Recruitment - Kibera and Viwandani</t>
  </si>
  <si>
    <t>Ksh/USD Exchange Rate</t>
  </si>
  <si>
    <t>10% Buffer Unexpected Costs</t>
  </si>
  <si>
    <t>10% IPA Overhead</t>
  </si>
  <si>
    <t>7. Staffing Costs</t>
  </si>
  <si>
    <t>Lab</t>
  </si>
  <si>
    <t>Field</t>
  </si>
  <si>
    <t>Implementation Options (for Data Validation)</t>
  </si>
  <si>
    <t>Transport Reimbursement -- Viwandani</t>
  </si>
  <si>
    <t>Transport Reimbursement -- Kibera</t>
  </si>
  <si>
    <t>Endline average payoffs to participants</t>
  </si>
  <si>
    <t>Baseline average payoffs to participants</t>
  </si>
  <si>
    <t>Respondent "Thank you" gift</t>
  </si>
  <si>
    <t>1. Lab Recruitment - Kibera and Viwandani</t>
  </si>
  <si>
    <t>2. Field Recruitment -Kibera and Viwandani</t>
  </si>
  <si>
    <t>3. Payoffs to participants</t>
  </si>
  <si>
    <t>Recruit Lab or Field?</t>
  </si>
  <si>
    <t>Endline Lab or Field?</t>
  </si>
  <si>
    <t>Enrollments Per FO Per Day</t>
  </si>
  <si>
    <t>Lottery Savings (Pilot).</t>
  </si>
  <si>
    <t>Busara Respondent Fee</t>
  </si>
  <si>
    <t>4. Endline Lab</t>
  </si>
  <si>
    <t>5. Endline Field</t>
  </si>
  <si>
    <t>6. Management Costs</t>
  </si>
  <si>
    <t>7. Other Costs</t>
  </si>
  <si>
    <t>Project Associate Rate per day</t>
  </si>
  <si>
    <t>PA days Needed</t>
  </si>
  <si>
    <t>Field Officer (Office) Rate Per Day</t>
  </si>
  <si>
    <t>FO (Office) Days Needed</t>
  </si>
  <si>
    <t>SMS Phone</t>
  </si>
  <si>
    <t>1 smartphone @ $80</t>
  </si>
  <si>
    <t>Telerivet Subscription</t>
  </si>
  <si>
    <t>Airtime for SMS</t>
  </si>
  <si>
    <t>4. SMS System</t>
  </si>
  <si>
    <t>Programmer fee</t>
  </si>
  <si>
    <t>$7/week for 6 weeks</t>
  </si>
  <si>
    <t>Airtime for Calls</t>
  </si>
  <si>
    <t>Programming fee for custom automated SMS system</t>
  </si>
  <si>
    <t>Daily Winning Probability</t>
  </si>
  <si>
    <t>Weekly Winning Probability</t>
  </si>
  <si>
    <t>Daily Expected Payoffs</t>
  </si>
  <si>
    <t>Weekly Expected Payoffs</t>
  </si>
  <si>
    <t>Daily Prize (Ksh)</t>
  </si>
  <si>
    <t>Weekly Prize (Ksh)</t>
  </si>
  <si>
    <t>Length of Intervention (Weeks)</t>
  </si>
  <si>
    <t>Daily lottery payoffs</t>
  </si>
  <si>
    <t>Weekly lottery payoffs</t>
  </si>
  <si>
    <t>Daily matching payoffs</t>
  </si>
  <si>
    <t>Weekly matching payoffs</t>
  </si>
  <si>
    <t>Daily Expected Match</t>
  </si>
  <si>
    <t>Lottery compliance</t>
  </si>
  <si>
    <t>Matching Compliance</t>
  </si>
  <si>
    <t>Weekly Expected Match</t>
  </si>
  <si>
    <t>Daily Match Rate (Ksh/person)</t>
  </si>
  <si>
    <t>Weekly Match Rate (Ksh/person)</t>
  </si>
  <si>
    <t>3. Payoffs</t>
  </si>
  <si>
    <t>10% of Total Costs</t>
  </si>
  <si>
    <t>SMS daily cost</t>
  </si>
  <si>
    <t>Airtime daily cost</t>
  </si>
  <si>
    <t>SMS name registration</t>
  </si>
  <si>
    <t>Registration @ $80</t>
  </si>
  <si>
    <t>Sample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</si>
</sst>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"/>
    <numFmt numFmtId="165" formatCode="mm/dd/yy;@"/>
    <numFmt numFmtId="166" formatCode="_(* #,##0_);_(* \(#,##0\);_(* &quot;-&quot;??_);_(@_)"/>
    <numFmt numFmtId="167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6" tint="0.59999389629810485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10"/>
      <name val="Arial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 applyAlignment="1"/>
    <xf numFmtId="0" fontId="5" fillId="2" borderId="0" xfId="0" applyFont="1" applyFill="1" applyBorder="1" applyAlignment="1">
      <alignment vertical="center" wrapText="1"/>
    </xf>
    <xf numFmtId="0" fontId="3" fillId="2" borderId="0" xfId="0" applyFont="1" applyFill="1"/>
    <xf numFmtId="0" fontId="3" fillId="0" borderId="0" xfId="0" applyFont="1"/>
    <xf numFmtId="0" fontId="4" fillId="2" borderId="0" xfId="0" applyFont="1" applyFill="1" applyBorder="1" applyAlignment="1">
      <alignment horizontal="right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166" fontId="12" fillId="6" borderId="14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166" fontId="13" fillId="2" borderId="15" xfId="1" applyNumberFormat="1" applyFont="1" applyFill="1" applyBorder="1" applyAlignment="1" applyProtection="1">
      <alignment horizontal="center" vertical="center"/>
      <protection locked="0"/>
    </xf>
    <xf numFmtId="166" fontId="13" fillId="2" borderId="16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13" fillId="2" borderId="7" xfId="0" applyFont="1" applyFill="1" applyBorder="1" applyAlignment="1" applyProtection="1">
      <alignment vertical="center"/>
      <protection locked="0"/>
    </xf>
    <xf numFmtId="166" fontId="13" fillId="2" borderId="17" xfId="1" applyNumberFormat="1" applyFont="1" applyFill="1" applyBorder="1" applyAlignment="1" applyProtection="1">
      <alignment horizontal="center" vertical="center"/>
      <protection locked="0"/>
    </xf>
    <xf numFmtId="166" fontId="13" fillId="2" borderId="4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166" fontId="13" fillId="2" borderId="14" xfId="1" applyNumberFormat="1" applyFont="1" applyFill="1" applyBorder="1" applyAlignment="1" applyProtection="1">
      <alignment horizontal="center" vertical="center"/>
      <protection locked="0"/>
    </xf>
    <xf numFmtId="0" fontId="12" fillId="6" borderId="13" xfId="0" applyFont="1" applyFill="1" applyBorder="1" applyAlignment="1">
      <alignment vertical="center"/>
    </xf>
    <xf numFmtId="166" fontId="12" fillId="6" borderId="15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 applyProtection="1">
      <alignment vertical="center"/>
      <protection locked="0"/>
    </xf>
    <xf numFmtId="166" fontId="13" fillId="2" borderId="21" xfId="1" applyNumberFormat="1" applyFont="1" applyFill="1" applyBorder="1" applyAlignment="1" applyProtection="1">
      <alignment horizontal="center" vertical="center"/>
      <protection locked="0"/>
    </xf>
    <xf numFmtId="0" fontId="13" fillId="2" borderId="22" xfId="0" applyFont="1" applyFill="1" applyBorder="1" applyAlignment="1" applyProtection="1">
      <alignment vertical="center"/>
      <protection locked="0"/>
    </xf>
    <xf numFmtId="166" fontId="13" fillId="2" borderId="23" xfId="1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1" fillId="6" borderId="24" xfId="0" applyFont="1" applyFill="1" applyBorder="1" applyAlignment="1">
      <alignment vertical="center"/>
    </xf>
    <xf numFmtId="0" fontId="3" fillId="6" borderId="25" xfId="0" applyFont="1" applyFill="1" applyBorder="1" applyAlignment="1">
      <alignment vertical="center"/>
    </xf>
    <xf numFmtId="166" fontId="12" fillId="6" borderId="26" xfId="0" applyNumberFormat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166" fontId="13" fillId="7" borderId="16" xfId="1" applyNumberFormat="1" applyFont="1" applyFill="1" applyBorder="1" applyAlignment="1" applyProtection="1">
      <alignment horizontal="center" vertical="center"/>
      <protection locked="0"/>
    </xf>
    <xf numFmtId="166" fontId="13" fillId="7" borderId="4" xfId="1" applyNumberFormat="1" applyFont="1" applyFill="1" applyBorder="1" applyAlignment="1" applyProtection="1">
      <alignment horizontal="center" vertical="center"/>
      <protection locked="0"/>
    </xf>
    <xf numFmtId="166" fontId="12" fillId="6" borderId="26" xfId="1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center"/>
    </xf>
    <xf numFmtId="166" fontId="13" fillId="2" borderId="15" xfId="1" applyNumberFormat="1" applyFont="1" applyFill="1" applyBorder="1" applyAlignment="1">
      <alignment horizontal="center" vertical="center"/>
    </xf>
    <xf numFmtId="166" fontId="13" fillId="2" borderId="17" xfId="1" applyNumberFormat="1" applyFont="1" applyFill="1" applyBorder="1" applyAlignment="1">
      <alignment horizontal="center" vertical="center"/>
    </xf>
    <xf numFmtId="166" fontId="13" fillId="2" borderId="14" xfId="1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166" fontId="12" fillId="2" borderId="27" xfId="1" applyNumberFormat="1" applyFont="1" applyFill="1" applyBorder="1" applyAlignment="1">
      <alignment vertical="center"/>
    </xf>
    <xf numFmtId="167" fontId="16" fillId="2" borderId="8" xfId="1" applyNumberFormat="1" applyFont="1" applyFill="1" applyBorder="1" applyAlignment="1" applyProtection="1">
      <alignment vertical="center"/>
      <protection locked="0"/>
    </xf>
    <xf numFmtId="0" fontId="11" fillId="6" borderId="10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166" fontId="15" fillId="6" borderId="28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7" fillId="2" borderId="0" xfId="0" applyFont="1" applyFill="1" applyAlignment="1">
      <alignment vertical="center"/>
    </xf>
    <xf numFmtId="0" fontId="6" fillId="2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4" fillId="2" borderId="18" xfId="0" applyFont="1" applyFill="1" applyBorder="1" applyAlignment="1">
      <alignment horizontal="right" vertical="center"/>
    </xf>
    <xf numFmtId="165" fontId="6" fillId="3" borderId="18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3" fillId="2" borderId="7" xfId="0" applyFont="1" applyFill="1" applyBorder="1" applyAlignment="1" applyProtection="1">
      <alignment vertical="center" wrapText="1"/>
      <protection locked="0"/>
    </xf>
    <xf numFmtId="0" fontId="4" fillId="0" borderId="18" xfId="0" applyFont="1" applyFill="1" applyBorder="1" applyAlignment="1">
      <alignment horizontal="right" vertical="center"/>
    </xf>
    <xf numFmtId="0" fontId="6" fillId="3" borderId="18" xfId="0" applyFont="1" applyFill="1" applyBorder="1" applyAlignment="1">
      <alignment horizontal="center"/>
    </xf>
    <xf numFmtId="0" fontId="2" fillId="0" borderId="0" xfId="0" applyFont="1" applyAlignment="1"/>
    <xf numFmtId="166" fontId="12" fillId="2" borderId="16" xfId="1" applyNumberFormat="1" applyFont="1" applyFill="1" applyBorder="1" applyAlignment="1" applyProtection="1">
      <alignment vertical="center"/>
      <protection locked="0"/>
    </xf>
    <xf numFmtId="0" fontId="0" fillId="8" borderId="0" xfId="0" applyFill="1"/>
    <xf numFmtId="0" fontId="6" fillId="8" borderId="18" xfId="0" applyNumberFormat="1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/>
    </xf>
    <xf numFmtId="166" fontId="12" fillId="6" borderId="23" xfId="1" applyNumberFormat="1" applyFont="1" applyFill="1" applyBorder="1" applyAlignment="1">
      <alignment horizontal="center" vertical="center"/>
    </xf>
    <xf numFmtId="0" fontId="21" fillId="0" borderId="0" xfId="0" applyFont="1" applyAlignment="1"/>
    <xf numFmtId="0" fontId="12" fillId="6" borderId="19" xfId="0" applyFont="1" applyFill="1" applyBorder="1" applyAlignment="1">
      <alignment vertical="center"/>
    </xf>
    <xf numFmtId="0" fontId="3" fillId="6" borderId="31" xfId="0" applyFont="1" applyFill="1" applyBorder="1" applyAlignment="1">
      <alignment vertical="center"/>
    </xf>
    <xf numFmtId="0" fontId="6" fillId="3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/>
    <xf numFmtId="9" fontId="6" fillId="3" borderId="18" xfId="37" applyFont="1" applyFill="1" applyBorder="1" applyAlignment="1">
      <alignment horizontal="center" vertical="center"/>
    </xf>
    <xf numFmtId="10" fontId="6" fillId="3" borderId="18" xfId="37" applyNumberFormat="1" applyFont="1" applyFill="1" applyBorder="1" applyAlignment="1">
      <alignment horizontal="center" vertical="center"/>
    </xf>
    <xf numFmtId="1" fontId="6" fillId="8" borderId="18" xfId="0" applyNumberFormat="1" applyFont="1" applyFill="1" applyBorder="1" applyAlignment="1">
      <alignment horizontal="center" vertical="center"/>
    </xf>
    <xf numFmtId="10" fontId="6" fillId="8" borderId="18" xfId="37" applyNumberFormat="1" applyFont="1" applyFill="1" applyBorder="1" applyAlignment="1">
      <alignment horizontal="center" vertical="center"/>
    </xf>
    <xf numFmtId="9" fontId="6" fillId="3" borderId="18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</cellXfs>
  <cellStyles count="54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2" xfId="2"/>
    <cellStyle name="Percent" xfId="37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AR1144"/>
  <sheetViews>
    <sheetView tabSelected="1" topLeftCell="A7" zoomScale="125" zoomScaleNormal="125" zoomScalePageLayoutView="125" workbookViewId="0">
      <selection activeCell="A35" sqref="A35:XFD35"/>
    </sheetView>
  </sheetViews>
  <sheetFormatPr baseColWidth="10" defaultColWidth="8.83203125" defaultRowHeight="13" x14ac:dyDescent="0"/>
  <cols>
    <col min="1" max="1" width="2.5" style="4" customWidth="1"/>
    <col min="2" max="3" width="2.5" style="5" customWidth="1"/>
    <col min="4" max="4" width="29.33203125" style="5" customWidth="1"/>
    <col min="5" max="5" width="59" style="5" customWidth="1"/>
    <col min="6" max="6" width="12.6640625" style="5" customWidth="1"/>
    <col min="7" max="7" width="12.6640625" style="4" hidden="1" customWidth="1"/>
    <col min="8" max="33" width="11.33203125" style="4" customWidth="1"/>
    <col min="34" max="36" width="11.33203125" style="5" customWidth="1"/>
    <col min="37" max="16384" width="8.83203125" style="5"/>
  </cols>
  <sheetData>
    <row r="1" spans="1:44" ht="20.25" customHeight="1">
      <c r="A1" s="1"/>
      <c r="B1" s="2"/>
      <c r="C1" s="2"/>
      <c r="D1" s="85" t="s">
        <v>58</v>
      </c>
      <c r="E1" s="85"/>
      <c r="F1" s="3"/>
      <c r="H1" s="7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5.75" customHeight="1">
      <c r="A2" s="1"/>
      <c r="B2" s="2"/>
      <c r="C2" s="2"/>
      <c r="D2" s="6" t="s">
        <v>8</v>
      </c>
      <c r="E2" s="8">
        <f>F48</f>
        <v>9079.4963868519317</v>
      </c>
      <c r="F2" s="7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15.75" customHeight="1">
      <c r="A3" s="1"/>
      <c r="B3" s="2"/>
      <c r="C3" s="2"/>
      <c r="D3" s="6" t="s">
        <v>4</v>
      </c>
      <c r="E3" s="9">
        <f>Assumptions!C2</f>
        <v>41548</v>
      </c>
      <c r="F3" s="7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15.75" customHeight="1">
      <c r="A4" s="1"/>
      <c r="B4" s="10"/>
      <c r="C4" s="10"/>
      <c r="D4" s="6" t="s">
        <v>5</v>
      </c>
      <c r="E4" s="9">
        <f>Assumptions!C3</f>
        <v>41608</v>
      </c>
      <c r="F4" s="7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15.75" customHeight="1">
      <c r="A5" s="1"/>
      <c r="B5" s="2"/>
      <c r="C5" s="2"/>
      <c r="D5" s="6" t="s">
        <v>6</v>
      </c>
      <c r="E5" s="78">
        <f>ROUNDUP(E6/22,1)</f>
        <v>2</v>
      </c>
      <c r="F5" s="11"/>
      <c r="G5" s="1"/>
    </row>
    <row r="6" spans="1:44" ht="15">
      <c r="A6" s="1"/>
      <c r="B6" s="10"/>
      <c r="C6" s="10"/>
      <c r="D6" s="6" t="s">
        <v>7</v>
      </c>
      <c r="E6" s="78">
        <f>NETWORKDAYS(E3,E4)</f>
        <v>44</v>
      </c>
      <c r="F6" s="6"/>
      <c r="G6" s="1"/>
    </row>
    <row r="7" spans="1:44" ht="15">
      <c r="A7" s="1"/>
      <c r="B7" s="10"/>
      <c r="C7" s="10"/>
      <c r="D7" s="6" t="s">
        <v>10</v>
      </c>
      <c r="E7" s="78">
        <f>Assumptions!C4</f>
        <v>180</v>
      </c>
      <c r="F7" s="6"/>
      <c r="G7" s="1"/>
    </row>
    <row r="8" spans="1:44" ht="15">
      <c r="A8" s="1"/>
      <c r="B8" s="10"/>
      <c r="C8" s="10"/>
      <c r="D8" s="6" t="s">
        <v>55</v>
      </c>
      <c r="E8" s="58" t="s">
        <v>44</v>
      </c>
      <c r="F8" s="6"/>
      <c r="G8" s="1"/>
    </row>
    <row r="9" spans="1:44" ht="16" thickBot="1">
      <c r="A9" s="1"/>
      <c r="B9" s="10"/>
      <c r="C9" s="10"/>
      <c r="D9" s="6" t="s">
        <v>56</v>
      </c>
      <c r="E9" s="58" t="s">
        <v>44</v>
      </c>
      <c r="F9" s="6"/>
      <c r="G9" s="1"/>
    </row>
    <row r="10" spans="1:44" ht="18.75" customHeight="1">
      <c r="B10" s="90" t="s">
        <v>0</v>
      </c>
      <c r="C10" s="91"/>
      <c r="D10" s="92"/>
      <c r="E10" s="96" t="s">
        <v>1</v>
      </c>
      <c r="F10" s="86" t="s">
        <v>9</v>
      </c>
      <c r="G10" s="88"/>
      <c r="J10" s="12"/>
      <c r="K10" s="12"/>
    </row>
    <row r="11" spans="1:44" ht="41.25" customHeight="1" thickBot="1">
      <c r="B11" s="93"/>
      <c r="C11" s="94"/>
      <c r="D11" s="95"/>
      <c r="E11" s="94"/>
      <c r="F11" s="87"/>
      <c r="G11" s="89"/>
      <c r="H11" s="12"/>
    </row>
    <row r="12" spans="1:44" s="25" customFormat="1" ht="17.25" customHeight="1">
      <c r="A12" s="12"/>
      <c r="B12" s="13" t="s">
        <v>52</v>
      </c>
      <c r="C12" s="14"/>
      <c r="D12" s="77"/>
      <c r="E12" s="27"/>
      <c r="F12" s="15">
        <f>IF(E8="Lab",SUM(F13:F15),0)</f>
        <v>2329.4117647058824</v>
      </c>
      <c r="G12" s="15">
        <f>SUM(G13:G14)</f>
        <v>5000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44" s="25" customFormat="1" ht="17.25" customHeight="1">
      <c r="A13" s="12"/>
      <c r="B13" s="18"/>
      <c r="C13" s="16"/>
      <c r="D13" s="16" t="s">
        <v>47</v>
      </c>
      <c r="E13" s="22" t="str">
        <f>"Transport @ Ksh450/person for "&amp;Assumptions!C4*Assumptions!C9&amp;" respondents"</f>
        <v>Transport @ Ksh450/person for 0 respondents</v>
      </c>
      <c r="F13" s="19">
        <f>450*Assumptions!C4*Assumptions!C9/Assumptions!C5</f>
        <v>0</v>
      </c>
      <c r="G13" s="20">
        <v>5000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44" s="25" customFormat="1" ht="17.25" customHeight="1">
      <c r="A14" s="12"/>
      <c r="B14" s="18"/>
      <c r="C14" s="16"/>
      <c r="D14" s="16" t="s">
        <v>48</v>
      </c>
      <c r="E14" s="22" t="str">
        <f>"Transport @ Ksh250/person for "&amp;Assumptions!C4*Assumptions!C8&amp;" respondents"</f>
        <v>Transport @ Ksh250/person for 180 respondents</v>
      </c>
      <c r="F14" s="23">
        <f>250*Assumptions!C4*Assumptions!C8/Assumptions!C5</f>
        <v>529.41176470588232</v>
      </c>
      <c r="G14" s="2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44" s="25" customFormat="1" ht="17.25" customHeight="1">
      <c r="A15" s="12"/>
      <c r="B15" s="18"/>
      <c r="C15" s="16"/>
      <c r="D15" s="16" t="s">
        <v>59</v>
      </c>
      <c r="E15" s="31" t="str">
        <f>"(Discounted rate) @ $10/person for "&amp;Assumptions!$C$4&amp;" respondents"</f>
        <v>(Discounted rate) @ $10/person for 180 respondents</v>
      </c>
      <c r="F15" s="32">
        <f>10*Assumptions!$C$4</f>
        <v>1800</v>
      </c>
      <c r="G15" s="3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44" s="25" customFormat="1" ht="17.25" customHeight="1">
      <c r="A16" s="12"/>
      <c r="B16" s="35" t="s">
        <v>53</v>
      </c>
      <c r="C16" s="36"/>
      <c r="D16" s="36"/>
      <c r="E16" s="76"/>
      <c r="F16" s="37">
        <f>IF(E8="Field",SUM(F17:F23),0)</f>
        <v>0</v>
      </c>
      <c r="G16" s="28">
        <f>SUM(G17:G22)</f>
        <v>1695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s="25" customFormat="1" ht="17.25" customHeight="1">
      <c r="A17" s="12"/>
      <c r="B17" s="18"/>
      <c r="C17" s="16"/>
      <c r="D17" s="16" t="s">
        <v>17</v>
      </c>
      <c r="E17" s="29" t="str">
        <f>"Transport @ Ksh200/day for "&amp;Assumptions!C14&amp;" FO's and "&amp;ROUNDUP(Assumptions!C17*Assumptions!C9,0)&amp;" working days"</f>
        <v>Transport @ Ksh200/day for 5 FO's and 0 working days</v>
      </c>
      <c r="F17" s="30">
        <f>(200*Assumptions!C14*ROUNDUP(Assumptions!C17*Assumptions!C9,0))/Assumptions!C5</f>
        <v>0</v>
      </c>
      <c r="G17" s="20">
        <v>1100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s="25" customFormat="1" ht="17.25" customHeight="1">
      <c r="A18" s="12"/>
      <c r="B18" s="18"/>
      <c r="C18" s="16"/>
      <c r="D18" s="16" t="s">
        <v>16</v>
      </c>
      <c r="E18" s="31" t="str">
        <f>"Transport @ Ksh100/day for "&amp;Assumptions!C14&amp;" FO's and "&amp;ROUNDUP(Assumptions!C17*Assumptions!C8,0)&amp;" working days"</f>
        <v>Transport @ Ksh100/day for 5 FO's and 9 working days</v>
      </c>
      <c r="F18" s="32">
        <f>(100*Assumptions!C14*ROUNDUP(Assumptions!C17*Assumptions!C8,0))/Assumptions!C5</f>
        <v>52.941176470588232</v>
      </c>
      <c r="G18" s="24">
        <v>495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25" customFormat="1" ht="17.25" customHeight="1">
      <c r="A19" s="12"/>
      <c r="B19" s="18"/>
      <c r="C19" s="16"/>
      <c r="D19" s="16" t="s">
        <v>13</v>
      </c>
      <c r="E19" s="31" t="str">
        <f>"Field Officer Lunch @ Ksh200/day for "&amp;Assumptions!C14&amp;" FO's working "&amp;Assumptions!C17&amp;" days"</f>
        <v>Field Officer Lunch @ Ksh200/day for 5 FO's working 9 days</v>
      </c>
      <c r="F19" s="32">
        <f>(200*Assumptions!C14*Assumptions!C17)/Assumptions!C5</f>
        <v>105.88235294117646</v>
      </c>
      <c r="G19" s="2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25" customFormat="1" ht="17.25" customHeight="1">
      <c r="A20" s="12"/>
      <c r="B20" s="18"/>
      <c r="C20" s="16"/>
      <c r="D20" s="16" t="s">
        <v>51</v>
      </c>
      <c r="E20" s="31" t="str">
        <f>"Gift @ Ksh100/respondent for "&amp;Assumptions!C4&amp;" respondents"</f>
        <v>Gift @ Ksh100/respondent for 180 respondents</v>
      </c>
      <c r="F20" s="32">
        <f>100*Assumptions!C4/Assumptions!C5</f>
        <v>211.76470588235293</v>
      </c>
      <c r="G20" s="24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s="25" customFormat="1" ht="17.25" customHeight="1">
      <c r="A21" s="12"/>
      <c r="B21" s="18"/>
      <c r="C21" s="16"/>
      <c r="D21" s="16" t="s">
        <v>18</v>
      </c>
      <c r="E21" s="31" t="str">
        <f>"Ksh500 per area per day for "&amp;Assumptions!C17&amp;" days"</f>
        <v>Ksh500 per area per day for 9 days</v>
      </c>
      <c r="F21" s="32">
        <f>(500*Assumptions!C17)/Assumptions!C5</f>
        <v>52.941176470588232</v>
      </c>
      <c r="G21" s="2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25" customFormat="1" ht="17.25" customHeight="1">
      <c r="A22" s="12"/>
      <c r="B22" s="18"/>
      <c r="C22" s="16"/>
      <c r="D22" s="16" t="s">
        <v>23</v>
      </c>
      <c r="E22" s="31" t="str">
        <f>"Ksh10 per respondent enrolled for "&amp;Assumptions!C12&amp;" respondents"</f>
        <v>Ksh10 per respondent enrolled for 180 respondents</v>
      </c>
      <c r="F22" s="32">
        <f>(10*Assumptions!C12)/Assumptions!C5</f>
        <v>21.176470588235293</v>
      </c>
      <c r="G22" s="24">
        <v>100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s="25" customFormat="1" ht="17.25" customHeight="1">
      <c r="A23" s="12"/>
      <c r="B23" s="18"/>
      <c r="C23" s="16"/>
      <c r="D23" s="16" t="s">
        <v>25</v>
      </c>
      <c r="E23" s="31" t="str">
        <f>"FO Staffing @ $"&amp;Assumptions!$C$41&amp;"/day for "&amp;Assumptions!$C$14&amp;" FO's working "&amp;Assumptions!$C$17&amp;" days each"</f>
        <v>FO Staffing @ $30/day for 5 FO's working 9 days each</v>
      </c>
      <c r="F23" s="32">
        <f>Assumptions!$C$41*Assumptions!$C$14*Assumptions!$C$17</f>
        <v>1350</v>
      </c>
      <c r="G23" s="3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s="25" customFormat="1" ht="17.25" customHeight="1">
      <c r="A24" s="12"/>
      <c r="B24" s="35" t="s">
        <v>54</v>
      </c>
      <c r="C24" s="36"/>
      <c r="D24" s="36"/>
      <c r="E24" s="33"/>
      <c r="F24" s="37">
        <f>SUM(F25:F30)</f>
        <v>967.25127012303346</v>
      </c>
      <c r="G24" s="37">
        <f t="shared" ref="G24" si="0">SUM(G25:G30)</f>
        <v>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s="25" customFormat="1" ht="14" customHeight="1">
      <c r="A25" s="12"/>
      <c r="B25" s="38"/>
      <c r="C25" s="16"/>
      <c r="D25" s="16" t="s">
        <v>50</v>
      </c>
      <c r="E25" s="66" t="str">
        <f>"Payoffs @ Ksh200/respondent for "&amp;Assumptions!C4&amp;" respondents"</f>
        <v>Payoffs @ Ksh200/respondent for 180 respondents</v>
      </c>
      <c r="F25" s="19">
        <f>200*Assumptions!C$4/Assumptions!C$5</f>
        <v>423.52941176470586</v>
      </c>
      <c r="G25" s="39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s="25" customFormat="1" ht="14" customHeight="1">
      <c r="A26" s="12"/>
      <c r="B26" s="38"/>
      <c r="C26" s="16"/>
      <c r="D26" s="16" t="s">
        <v>84</v>
      </c>
      <c r="E26" s="66" t="str">
        <f>"Expected payoffs @ "&amp;Assumptions!C29&amp;"/day for "&amp;Assumptions!C25*7&amp;" days (Prize = Ksh"&amp;Assumptions!C27&amp;")"</f>
        <v>Expected payoffs @ 49.9479708636837/day for 35 days (Prize = Ksh1000)</v>
      </c>
      <c r="F26" s="23">
        <f>Assumptions!C29*Assumptions!C25*7/Assumptions!C5</f>
        <v>20.566811532105042</v>
      </c>
      <c r="G26" s="4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25" customFormat="1" ht="14" customHeight="1">
      <c r="A27" s="12"/>
      <c r="B27" s="38"/>
      <c r="C27" s="16"/>
      <c r="D27" s="16" t="s">
        <v>85</v>
      </c>
      <c r="E27" s="66" t="str">
        <f>"Expected payoffs @ "&amp;Assumptions!C32&amp;"/week for "&amp;Assumptions!C25&amp;" weeks (Prize = Ksh"&amp;Assumptions!C30&amp;")"</f>
        <v>Expected payoffs @ 349.635796045786/week for 5 weeks (Prize = Ksh7000)</v>
      </c>
      <c r="F27" s="23">
        <f>Assumptions!C32*Assumptions!C25/Assumptions!C5</f>
        <v>20.566811532105042</v>
      </c>
      <c r="G27" s="40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s="25" customFormat="1" ht="16" customHeight="1">
      <c r="A28" s="12"/>
      <c r="B28" s="38"/>
      <c r="C28" s="16"/>
      <c r="D28" s="16" t="s">
        <v>86</v>
      </c>
      <c r="E28" s="66" t="str">
        <f>"Expected payoffs @ "&amp;Assumptions!C35&amp;"/day for "&amp;Assumptions!C25*7&amp;" day (Match = Ksh"&amp;Assumptions!C34&amp;")"</f>
        <v>Expected payoffs @ 96/day for 35 day (Match = Ksh2)</v>
      </c>
      <c r="F28" s="23">
        <f>Assumptions!C35*Assumptions!C$25*7/Assumptions!C$5</f>
        <v>39.529411764705884</v>
      </c>
      <c r="G28" s="40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s="25" customFormat="1" ht="16" customHeight="1">
      <c r="A29" s="12"/>
      <c r="B29" s="38"/>
      <c r="C29" s="16"/>
      <c r="D29" s="16" t="s">
        <v>87</v>
      </c>
      <c r="E29" s="66" t="str">
        <f>"Expected payoffs @ "&amp;Assumptions!C37&amp;"/week for "&amp;Assumptions!C25&amp;" weeks (Match = Ksh"&amp;Assumptions!C36&amp;")"</f>
        <v>Expected payoffs @ 672/week for 5 weeks (Match = Ksh14)</v>
      </c>
      <c r="F29" s="23">
        <f>Assumptions!C37*Assumptions!C$25/Assumptions!C$5</f>
        <v>39.529411764705884</v>
      </c>
      <c r="G29" s="40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25" customFormat="1" ht="17.25" customHeight="1">
      <c r="A30" s="12"/>
      <c r="B30" s="18"/>
      <c r="C30" s="16"/>
      <c r="D30" s="16" t="s">
        <v>49</v>
      </c>
      <c r="E30" s="66" t="str">
        <f>"Payoffs @ Ksh200/respondent for "&amp;Assumptions!C4&amp;" respondents"</f>
        <v>Payoffs @ Ksh200/respondent for 180 respondents</v>
      </c>
      <c r="F30" s="26">
        <f>200*Assumptions!C$4/Assumptions!C$5</f>
        <v>423.52941176470586</v>
      </c>
      <c r="G30" s="40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s="25" customFormat="1" ht="17.25" customHeight="1">
      <c r="A31" s="12"/>
      <c r="B31" s="35" t="s">
        <v>60</v>
      </c>
      <c r="C31" s="36"/>
      <c r="D31" s="36"/>
      <c r="E31" s="33"/>
      <c r="F31" s="41">
        <f>IF(E9="Lab",SUM(F13:F15),0)</f>
        <v>2329.4117647058824</v>
      </c>
      <c r="G31" s="41" t="e">
        <f>SUM(#REF!)</f>
        <v>#REF!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25" customFormat="1" ht="17.25" customHeight="1">
      <c r="A32" s="12"/>
      <c r="B32" s="35" t="s">
        <v>61</v>
      </c>
      <c r="C32" s="36"/>
      <c r="D32" s="36"/>
      <c r="E32" s="33" t="str">
        <f>"(add 50% buffer for tracking)"</f>
        <v>(add 50% buffer for tracking)</v>
      </c>
      <c r="F32" s="41">
        <f>IF(E9="Field",(SUM(F17:F23)-F20)*1.5+F20,0)</f>
        <v>0</v>
      </c>
      <c r="G32" s="41" t="e">
        <f>SUM(#REF!)</f>
        <v>#REF!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s="25" customFormat="1" ht="17.25" customHeight="1">
      <c r="A33" s="12"/>
      <c r="B33" s="35" t="s">
        <v>62</v>
      </c>
      <c r="C33" s="36"/>
      <c r="D33" s="36"/>
      <c r="E33" s="33"/>
      <c r="F33" s="41">
        <f>SUM(F34:F35)</f>
        <v>500</v>
      </c>
      <c r="G33" s="41">
        <f>SUM(G35:G35)</f>
        <v>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s="25" customFormat="1" ht="17.25" customHeight="1">
      <c r="A34" s="12"/>
      <c r="B34" s="65"/>
      <c r="C34" s="34"/>
      <c r="D34" s="16" t="s">
        <v>35</v>
      </c>
      <c r="E34" s="42" t="str">
        <f>"Project Associate @ $"&amp;Assumptions!C39&amp;"/day for "&amp;Assumptions!C44&amp;" days"</f>
        <v>Project Associate @ $100/day for 5 days</v>
      </c>
      <c r="F34" s="43">
        <f>Assumptions!C39*Assumptions!C44</f>
        <v>500</v>
      </c>
      <c r="G34" s="7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25" customFormat="1" ht="17.25" customHeight="1">
      <c r="A35" s="12"/>
      <c r="B35" s="18"/>
      <c r="C35" s="16"/>
      <c r="D35" s="16"/>
      <c r="E35" s="42"/>
      <c r="F35" s="44"/>
      <c r="G35" s="2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25" customFormat="1" ht="17.25" customHeight="1">
      <c r="A36" s="12"/>
      <c r="B36" s="35" t="s">
        <v>63</v>
      </c>
      <c r="C36" s="36"/>
      <c r="D36" s="36"/>
      <c r="E36" s="33"/>
      <c r="F36" s="41">
        <f>SUM(F37:F42)</f>
        <v>1114.3529411764707</v>
      </c>
      <c r="G36" s="41" t="e">
        <f>SUM(G44:G45)</f>
        <v>#REF!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s="25" customFormat="1" ht="17.25" customHeight="1">
      <c r="A37" s="12"/>
      <c r="B37" s="18"/>
      <c r="C37" s="16"/>
      <c r="D37" s="16" t="s">
        <v>68</v>
      </c>
      <c r="E37" s="42" t="s">
        <v>69</v>
      </c>
      <c r="F37" s="44">
        <v>80</v>
      </c>
      <c r="G37" s="24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25" customFormat="1" ht="17.25" customHeight="1">
      <c r="A38" s="12"/>
      <c r="B38" s="18"/>
      <c r="C38" s="16"/>
      <c r="D38" s="16" t="s">
        <v>70</v>
      </c>
      <c r="E38" s="42" t="s">
        <v>74</v>
      </c>
      <c r="F38" s="44">
        <f>7*6</f>
        <v>42</v>
      </c>
      <c r="G38" s="24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25" customFormat="1" ht="17.25" customHeight="1">
      <c r="A39" s="12"/>
      <c r="B39" s="18"/>
      <c r="C39" s="16"/>
      <c r="D39" s="16" t="s">
        <v>98</v>
      </c>
      <c r="E39" s="42" t="s">
        <v>99</v>
      </c>
      <c r="F39" s="44">
        <v>110</v>
      </c>
      <c r="G39" s="24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25" customFormat="1" ht="17.25" customHeight="1">
      <c r="A40" s="12"/>
      <c r="B40" s="18"/>
      <c r="C40" s="16"/>
      <c r="D40" s="16" t="s">
        <v>75</v>
      </c>
      <c r="E40" s="42" t="str">
        <f>"@ Ksh"&amp;Assumptions!C22&amp;"/day for "&amp;Assumptions!C$25*7&amp;" days"</f>
        <v>@ Ksh100/day for 35 days</v>
      </c>
      <c r="F40" s="44">
        <f>Assumptions!C22*Assumptions!C$25*7/Assumptions!C$5</f>
        <v>41.176470588235297</v>
      </c>
      <c r="G40" s="2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5" customFormat="1" ht="17.25" customHeight="1">
      <c r="A41" s="12"/>
      <c r="B41" s="18"/>
      <c r="C41" s="16"/>
      <c r="D41" s="16" t="s">
        <v>71</v>
      </c>
      <c r="E41" s="42" t="str">
        <f>"@ Ksh"&amp;Assumptions!C23&amp;"/day for "&amp;Assumptions!C$25*7&amp;" days"</f>
        <v>@ Ksh100/day for 35 days</v>
      </c>
      <c r="F41" s="44">
        <f>Assumptions!C23*Assumptions!C$25*7/Assumptions!C$5</f>
        <v>41.176470588235297</v>
      </c>
      <c r="G41" s="24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s="25" customFormat="1" ht="17.25" customHeight="1">
      <c r="A42" s="12"/>
      <c r="B42" s="18"/>
      <c r="C42" s="16"/>
      <c r="D42" s="16" t="s">
        <v>73</v>
      </c>
      <c r="E42" s="42" t="s">
        <v>76</v>
      </c>
      <c r="F42" s="44">
        <v>800</v>
      </c>
      <c r="G42" s="2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s="21" customFormat="1">
      <c r="A43" s="17"/>
      <c r="B43" s="18"/>
      <c r="C43" s="16"/>
      <c r="D43" s="16" t="s">
        <v>41</v>
      </c>
      <c r="E43" s="42" t="s">
        <v>95</v>
      </c>
      <c r="F43" s="45">
        <f>SUM(F33,F32,F24,F16,F12,F36)*0.1</f>
        <v>491.1015976005387</v>
      </c>
      <c r="G43" s="24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s="25" customFormat="1" ht="17.25" customHeight="1">
      <c r="A44" s="12"/>
      <c r="B44" s="35" t="s">
        <v>36</v>
      </c>
      <c r="C44" s="36"/>
      <c r="D44" s="36"/>
      <c r="E44" s="33"/>
      <c r="F44" s="41">
        <f>SUM(F36,F33,F32,F24,F16,F12,F31)</f>
        <v>7240.4277407112695</v>
      </c>
      <c r="G44" s="41" t="e">
        <f>SUM(G33,G32,#REF!,G24,G16,G12,#REF!)</f>
        <v>#REF!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25" customFormat="1" ht="17.25" customHeight="1">
      <c r="A45" s="12"/>
      <c r="B45" s="35" t="s">
        <v>37</v>
      </c>
      <c r="C45" s="36"/>
      <c r="D45" s="36"/>
      <c r="E45" s="33"/>
      <c r="F45" s="41">
        <f>SUM(F46:F47)</f>
        <v>1839.0686461406626</v>
      </c>
      <c r="G45" s="41">
        <f>G46</f>
        <v>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21" customFormat="1" ht="14" thickBot="1">
      <c r="A46" s="17"/>
      <c r="B46" s="46"/>
      <c r="C46" s="47"/>
      <c r="D46" s="64" t="s">
        <v>28</v>
      </c>
      <c r="E46" s="48"/>
      <c r="F46" s="49">
        <f>SUM(F44)*0.14</f>
        <v>1013.6598836995778</v>
      </c>
      <c r="G46" s="50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s="25" customFormat="1" ht="17.25" customHeight="1" thickBot="1">
      <c r="A47" s="12"/>
      <c r="B47" s="46"/>
      <c r="C47" s="47"/>
      <c r="D47" s="64" t="s">
        <v>42</v>
      </c>
      <c r="E47" s="48"/>
      <c r="F47" s="49">
        <f>0.1*(F46+F44)</f>
        <v>825.40876244108483</v>
      </c>
      <c r="G47" s="7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21" customFormat="1" ht="14" thickBot="1">
      <c r="A48" s="17"/>
      <c r="B48" s="51" t="s">
        <v>2</v>
      </c>
      <c r="C48" s="52"/>
      <c r="D48" s="52"/>
      <c r="E48" s="53"/>
      <c r="F48" s="54">
        <f>SUM(F44,F45)</f>
        <v>9079.4963868519317</v>
      </c>
      <c r="G48" s="54" t="e">
        <f>SUM(G44,G45)</f>
        <v>#REF!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41" s="16" customFormat="1">
      <c r="B49" s="55" t="s">
        <v>3</v>
      </c>
      <c r="C49" s="55"/>
      <c r="D49" s="55"/>
      <c r="E49" s="55"/>
      <c r="F49" s="5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41" s="16" customFormat="1">
      <c r="B50" s="12"/>
      <c r="C50" s="55"/>
      <c r="D50" s="55"/>
      <c r="E50" s="55"/>
      <c r="F50" s="5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41" s="21" customFormat="1">
      <c r="A51" s="17"/>
      <c r="B51" s="16"/>
      <c r="C51" s="57"/>
      <c r="D51" s="57"/>
      <c r="E51" s="17"/>
      <c r="F51" s="17"/>
      <c r="G51" s="1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17"/>
      <c r="AI51" s="17"/>
      <c r="AJ51" s="17"/>
      <c r="AK51" s="17"/>
      <c r="AL51" s="17"/>
      <c r="AM51" s="17"/>
      <c r="AN51" s="17"/>
      <c r="AO51" s="17"/>
    </row>
    <row r="52" spans="1:41">
      <c r="B52" s="4"/>
      <c r="C52" s="4"/>
      <c r="D52" s="4"/>
      <c r="E52" s="4"/>
      <c r="F52" s="4"/>
      <c r="AH52" s="4"/>
      <c r="AI52" s="4"/>
      <c r="AJ52" s="4"/>
      <c r="AK52" s="4"/>
      <c r="AL52" s="4"/>
      <c r="AM52" s="4"/>
      <c r="AN52" s="4"/>
      <c r="AO52" s="4"/>
    </row>
    <row r="53" spans="1:41" s="1" customFormat="1"/>
    <row r="54" spans="1:41" s="1" customFormat="1"/>
    <row r="55" spans="1:41" s="34" customFormat="1"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41" s="1" customFormat="1"/>
    <row r="57" spans="1:41" s="1" customFormat="1"/>
    <row r="58" spans="1:41" s="1" customFormat="1"/>
    <row r="59" spans="1:41" s="1" customFormat="1"/>
    <row r="60" spans="1:41" s="1" customFormat="1"/>
    <row r="61" spans="1:41" s="1" customFormat="1"/>
    <row r="62" spans="1:41" s="1" customFormat="1"/>
    <row r="63" spans="1:41" s="1" customFormat="1"/>
    <row r="64" spans="1:41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</sheetData>
  <sheetProtection insertRows="0"/>
  <mergeCells count="5">
    <mergeCell ref="D1:E1"/>
    <mergeCell ref="F10:F11"/>
    <mergeCell ref="G10:G11"/>
    <mergeCell ref="B10:D11"/>
    <mergeCell ref="E10:E11"/>
  </mergeCells>
  <pageMargins left="0.25" right="0.25" top="0.91339285714285712" bottom="0.75" header="0.3" footer="0.3"/>
  <pageSetup orientation="portrait" horizontalDpi="4294967292" verticalDpi="4294967292"/>
  <headerFooter>
    <oddHeader>&amp;L
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Assumptions!$C$48:$C$49</xm:f>
          </x14:formula1>
          <xm:sqref>E8</xm:sqref>
        </x14:dataValidation>
        <x14:dataValidation type="list" allowBlank="1" showInputMessage="1" showErrorMessage="1">
          <x14:formula1>
            <xm:f>Assumptions!C48:C49</xm:f>
          </x14:formula1>
          <xm:sqref>E9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4" zoomScale="140" zoomScaleNormal="140" zoomScalePageLayoutView="140" workbookViewId="0">
      <selection activeCell="C42" sqref="C42"/>
    </sheetView>
  </sheetViews>
  <sheetFormatPr baseColWidth="10" defaultColWidth="8.83203125" defaultRowHeight="14" x14ac:dyDescent="0"/>
  <cols>
    <col min="1" max="1" width="8.83203125" style="60"/>
    <col min="2" max="2" width="39" style="60" customWidth="1"/>
    <col min="3" max="3" width="24.83203125" style="60" customWidth="1"/>
    <col min="5" max="5" width="38" customWidth="1"/>
  </cols>
  <sheetData>
    <row r="1" spans="1:7" ht="18">
      <c r="B1" s="97" t="s">
        <v>11</v>
      </c>
      <c r="C1" s="97"/>
    </row>
    <row r="2" spans="1:7" ht="15">
      <c r="B2" s="61" t="s">
        <v>4</v>
      </c>
      <c r="C2" s="62">
        <v>41548</v>
      </c>
      <c r="E2" s="62"/>
      <c r="F2" t="s">
        <v>30</v>
      </c>
    </row>
    <row r="3" spans="1:7" ht="15">
      <c r="B3" s="61" t="s">
        <v>5</v>
      </c>
      <c r="C3" s="62">
        <v>41608</v>
      </c>
      <c r="E3" s="71"/>
      <c r="F3" t="s">
        <v>31</v>
      </c>
    </row>
    <row r="4" spans="1:7" ht="15">
      <c r="B4" s="61" t="s">
        <v>10</v>
      </c>
      <c r="C4" s="63">
        <v>180</v>
      </c>
    </row>
    <row r="5" spans="1:7" ht="15">
      <c r="B5" s="61" t="s">
        <v>40</v>
      </c>
      <c r="C5" s="63">
        <v>85</v>
      </c>
    </row>
    <row r="6" spans="1:7" s="59" customFormat="1" ht="15.75" customHeight="1">
      <c r="A6" s="98"/>
      <c r="B6" s="98"/>
      <c r="C6" s="99"/>
      <c r="E6"/>
      <c r="F6"/>
      <c r="G6"/>
    </row>
    <row r="7" spans="1:7" s="59" customFormat="1">
      <c r="A7" s="98" t="s">
        <v>100</v>
      </c>
      <c r="B7" s="98"/>
      <c r="C7" s="99"/>
      <c r="E7"/>
      <c r="F7"/>
      <c r="G7"/>
    </row>
    <row r="8" spans="1:7" ht="15">
      <c r="B8" s="67" t="s">
        <v>14</v>
      </c>
      <c r="C8" s="63">
        <v>1</v>
      </c>
    </row>
    <row r="9" spans="1:7" ht="15">
      <c r="B9" s="67" t="s">
        <v>15</v>
      </c>
      <c r="C9" s="73">
        <f>1-(C8)</f>
        <v>0</v>
      </c>
    </row>
    <row r="10" spans="1:7" s="59" customFormat="1">
      <c r="A10" s="98" t="s">
        <v>39</v>
      </c>
      <c r="B10" s="98"/>
      <c r="C10" s="98"/>
    </row>
    <row r="11" spans="1:7" ht="15">
      <c r="B11" s="61" t="s">
        <v>12</v>
      </c>
      <c r="C11" s="63">
        <v>1</v>
      </c>
    </row>
    <row r="12" spans="1:7" ht="15">
      <c r="B12" s="67" t="s">
        <v>21</v>
      </c>
      <c r="C12" s="63">
        <f>C4</f>
        <v>180</v>
      </c>
    </row>
    <row r="13" spans="1:7" ht="15">
      <c r="B13" s="67" t="s">
        <v>19</v>
      </c>
      <c r="C13" s="72">
        <f>ROUND(C12/C11,0)</f>
        <v>180</v>
      </c>
    </row>
    <row r="14" spans="1:7" ht="15">
      <c r="B14" s="67" t="s">
        <v>20</v>
      </c>
      <c r="C14" s="68">
        <v>5</v>
      </c>
    </row>
    <row r="15" spans="1:7" ht="15">
      <c r="B15" s="67" t="s">
        <v>57</v>
      </c>
      <c r="C15" s="63">
        <v>4</v>
      </c>
    </row>
    <row r="16" spans="1:7" ht="15">
      <c r="B16" s="67" t="s">
        <v>24</v>
      </c>
      <c r="C16" s="73">
        <f>ROUND(C13/C15,0)</f>
        <v>45</v>
      </c>
    </row>
    <row r="17" spans="1:3" ht="15">
      <c r="B17" s="67" t="s">
        <v>22</v>
      </c>
      <c r="C17" s="73">
        <f>ROUND(C16/C14,0)</f>
        <v>9</v>
      </c>
    </row>
    <row r="18" spans="1:3" s="59" customFormat="1">
      <c r="A18" s="69" t="s">
        <v>72</v>
      </c>
      <c r="B18" s="69"/>
      <c r="C18" s="69"/>
    </row>
    <row r="19" spans="1:3" ht="15">
      <c r="B19" s="61" t="s">
        <v>29</v>
      </c>
      <c r="C19" s="63">
        <v>1</v>
      </c>
    </row>
    <row r="20" spans="1:3" ht="15">
      <c r="B20" s="61" t="s">
        <v>27</v>
      </c>
      <c r="C20" s="63">
        <v>50</v>
      </c>
    </row>
    <row r="21" spans="1:3" ht="15">
      <c r="B21" s="61" t="s">
        <v>26</v>
      </c>
      <c r="C21" s="68">
        <v>1200</v>
      </c>
    </row>
    <row r="22" spans="1:3" ht="15">
      <c r="B22" s="61" t="s">
        <v>96</v>
      </c>
      <c r="C22" s="68">
        <v>100</v>
      </c>
    </row>
    <row r="23" spans="1:3" ht="15">
      <c r="B23" s="61" t="s">
        <v>97</v>
      </c>
      <c r="C23" s="68">
        <v>100</v>
      </c>
    </row>
    <row r="24" spans="1:3" s="59" customFormat="1">
      <c r="A24" s="69" t="s">
        <v>94</v>
      </c>
      <c r="B24" s="69"/>
      <c r="C24" s="69"/>
    </row>
    <row r="25" spans="1:3" ht="15">
      <c r="B25" s="61" t="s">
        <v>83</v>
      </c>
      <c r="C25" s="63">
        <v>5</v>
      </c>
    </row>
    <row r="26" spans="1:3" ht="15">
      <c r="B26" s="61" t="s">
        <v>89</v>
      </c>
      <c r="C26" s="84">
        <v>0.8</v>
      </c>
    </row>
    <row r="27" spans="1:3" ht="15">
      <c r="B27" s="61" t="s">
        <v>81</v>
      </c>
      <c r="C27" s="63">
        <v>1000</v>
      </c>
    </row>
    <row r="28" spans="1:3" ht="15">
      <c r="B28" s="61" t="s">
        <v>77</v>
      </c>
      <c r="C28" s="81">
        <f>1/(31^2)</f>
        <v>1.0405827263267431E-3</v>
      </c>
    </row>
    <row r="29" spans="1:3" ht="15">
      <c r="B29" s="61" t="s">
        <v>79</v>
      </c>
      <c r="C29" s="82">
        <f>C4/3*C28*C27*C26</f>
        <v>49.947970863683672</v>
      </c>
    </row>
    <row r="30" spans="1:3" ht="15">
      <c r="B30" s="61" t="s">
        <v>82</v>
      </c>
      <c r="C30" s="72">
        <f>C27*7</f>
        <v>7000</v>
      </c>
    </row>
    <row r="31" spans="1:3" ht="15">
      <c r="B31" s="61" t="s">
        <v>78</v>
      </c>
      <c r="C31" s="83">
        <f>C28</f>
        <v>1.0405827263267431E-3</v>
      </c>
    </row>
    <row r="32" spans="1:3" ht="15">
      <c r="B32" s="61" t="s">
        <v>80</v>
      </c>
      <c r="C32" s="82">
        <f>C4/3*C31*C30*C26</f>
        <v>349.6357960457857</v>
      </c>
    </row>
    <row r="33" spans="1:3" ht="15">
      <c r="B33" s="61" t="s">
        <v>90</v>
      </c>
      <c r="C33" s="80">
        <v>0.8</v>
      </c>
    </row>
    <row r="34" spans="1:3" ht="15">
      <c r="B34" s="61" t="s">
        <v>92</v>
      </c>
      <c r="C34" s="63">
        <v>2</v>
      </c>
    </row>
    <row r="35" spans="1:3" ht="15">
      <c r="B35" s="61" t="s">
        <v>88</v>
      </c>
      <c r="C35" s="63">
        <f>C4/3*C34*C33</f>
        <v>96</v>
      </c>
    </row>
    <row r="36" spans="1:3" ht="15">
      <c r="B36" s="61" t="s">
        <v>93</v>
      </c>
      <c r="C36" s="72">
        <f>C34*7</f>
        <v>14</v>
      </c>
    </row>
    <row r="37" spans="1:3" ht="15">
      <c r="B37" s="61" t="s">
        <v>91</v>
      </c>
      <c r="C37" s="73">
        <f>C35*7</f>
        <v>672</v>
      </c>
    </row>
    <row r="38" spans="1:3">
      <c r="A38" s="69" t="s">
        <v>43</v>
      </c>
    </row>
    <row r="39" spans="1:3" ht="15">
      <c r="B39" s="61" t="s">
        <v>64</v>
      </c>
      <c r="C39" s="63">
        <v>100</v>
      </c>
    </row>
    <row r="40" spans="1:3" ht="15">
      <c r="B40" s="61" t="s">
        <v>32</v>
      </c>
      <c r="C40" s="63">
        <v>0</v>
      </c>
    </row>
    <row r="41" spans="1:3" ht="15">
      <c r="B41" s="61" t="s">
        <v>33</v>
      </c>
      <c r="C41" s="63">
        <v>30</v>
      </c>
    </row>
    <row r="42" spans="1:3" ht="15">
      <c r="B42" s="61" t="s">
        <v>66</v>
      </c>
      <c r="C42" s="63">
        <v>15</v>
      </c>
    </row>
    <row r="43" spans="1:3" ht="15">
      <c r="B43" s="61" t="s">
        <v>67</v>
      </c>
      <c r="C43" s="63">
        <v>30</v>
      </c>
    </row>
    <row r="44" spans="1:3" ht="15">
      <c r="B44" s="61" t="s">
        <v>65</v>
      </c>
      <c r="C44" s="68">
        <v>5</v>
      </c>
    </row>
    <row r="45" spans="1:3" ht="15">
      <c r="B45" s="61" t="s">
        <v>34</v>
      </c>
      <c r="C45" s="73">
        <f>(DAYS360(C2,C3)/30)*24</f>
        <v>47.199999999999996</v>
      </c>
    </row>
    <row r="46" spans="1:3" ht="15">
      <c r="B46" s="61" t="s">
        <v>38</v>
      </c>
      <c r="C46" s="68">
        <v>150</v>
      </c>
    </row>
    <row r="48" spans="1:3">
      <c r="B48" s="75" t="s">
        <v>46</v>
      </c>
      <c r="C48" s="60" t="s">
        <v>44</v>
      </c>
    </row>
    <row r="49" spans="3:3">
      <c r="C49" s="60" t="s">
        <v>45</v>
      </c>
    </row>
  </sheetData>
  <mergeCells count="4">
    <mergeCell ref="B1:C1"/>
    <mergeCell ref="A6:C6"/>
    <mergeCell ref="A7:C7"/>
    <mergeCell ref="A10:C10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Lottery Budget</vt:lpstr>
      <vt:lpstr>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mcollins</dc:creator>
  <cp:lastModifiedBy>Eric Jang</cp:lastModifiedBy>
  <dcterms:created xsi:type="dcterms:W3CDTF">2013-04-15T06:48:18Z</dcterms:created>
  <dcterms:modified xsi:type="dcterms:W3CDTF">2013-11-15T17:35:27Z</dcterms:modified>
</cp:coreProperties>
</file>