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RITESH\Downloads\"/>
    </mc:Choice>
  </mc:AlternateContent>
  <xr:revisionPtr revIDLastSave="0" documentId="13_ncr:1_{6BAE9FCF-7838-4BD6-9CAB-70900E4DF1D5}" xr6:coauthVersionLast="47" xr6:coauthVersionMax="47" xr10:uidLastSave="{00000000-0000-0000-0000-000000000000}"/>
  <bookViews>
    <workbookView xWindow="-110" yWindow="-110" windowWidth="19420" windowHeight="10300" firstSheet="15" activeTab="17" xr2:uid="{005C61A9-0BB1-4A7C-BF32-7972F0A69984}"/>
  </bookViews>
  <sheets>
    <sheet name="Key Stats" sheetId="9" r:id="rId1"/>
    <sheet name="Income Statement" sheetId="10" r:id="rId2"/>
    <sheet name="Balance Sheet" sheetId="11" r:id="rId3"/>
    <sheet name="Cash Flow" sheetId="12" r:id="rId4"/>
    <sheet name="IS Pro Forma" sheetId="3" r:id="rId5"/>
    <sheet name="BS Pro Forma" sheetId="4" r:id="rId6"/>
    <sheet name="WACC" sheetId="8" r:id="rId7"/>
    <sheet name="FCFF Valuation" sheetId="19" r:id="rId8"/>
    <sheet name="Transaction Summary" sheetId="20" r:id="rId9"/>
    <sheet name="Assets" sheetId="6" r:id="rId10"/>
    <sheet name="Liabilities " sheetId="7" r:id="rId11"/>
    <sheet name="Revenue " sheetId="1" r:id="rId12"/>
    <sheet name="COST " sheetId="2" r:id="rId13"/>
    <sheet name="Multiples" sheetId="13" r:id="rId14"/>
    <sheet name="Historical Capitalization" sheetId="14" r:id="rId15"/>
    <sheet name="Capital Structure Summary" sheetId="15" r:id="rId16"/>
    <sheet name="Capital Structure Details" sheetId="16" r:id="rId17"/>
    <sheet name="Ratios" sheetId="17" r:id="rId18"/>
  </sheets>
  <externalReferences>
    <externalReference r:id="rId19"/>
    <externalReference r:id="rId20"/>
  </externalReferences>
  <definedNames>
    <definedName name="_xlnm.Print_Titles" localSheetId="2">'Balance Sheet'!$1:$3</definedName>
    <definedName name="_xlnm.Print_Titles" localSheetId="16">'Capital Structure Details'!$1:$3</definedName>
    <definedName name="_xlnm.Print_Titles" localSheetId="15">'Capital Structure Summary'!$1:$3</definedName>
    <definedName name="_xlnm.Print_Titles" localSheetId="3">'Cash Flow'!$1:$3</definedName>
    <definedName name="_xlnm.Print_Titles" localSheetId="14">'Historical Capitalization'!$1:$3</definedName>
    <definedName name="_xlnm.Print_Titles" localSheetId="1">'Income Statement'!$1:$3</definedName>
    <definedName name="_xlnm.Print_Titles" localSheetId="0">'Key Stats'!$1:$3</definedName>
    <definedName name="_xlnm.Print_Titles" localSheetId="13">Multiples!$1:$3</definedName>
    <definedName name="_xlnm.Print_Titles" localSheetId="17">Ratios!$1:$3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20" l="1"/>
  <c r="I34" i="3"/>
  <c r="H33" i="3"/>
  <c r="I29" i="3" l="1"/>
  <c r="I31" i="3" s="1"/>
  <c r="J29" i="3"/>
  <c r="J31" i="3" s="1"/>
  <c r="K29" i="3"/>
  <c r="K31" i="3" s="1"/>
  <c r="L29" i="3"/>
  <c r="L31" i="3" s="1"/>
  <c r="H29" i="3"/>
  <c r="H31" i="3" s="1"/>
  <c r="O246" i="8" l="1"/>
  <c r="N246" i="8"/>
  <c r="O245" i="8"/>
  <c r="N245" i="8"/>
  <c r="O244" i="8"/>
  <c r="N244" i="8"/>
  <c r="O243" i="8"/>
  <c r="N243" i="8"/>
  <c r="O242" i="8"/>
  <c r="N242" i="8"/>
  <c r="O241" i="8"/>
  <c r="N241" i="8"/>
  <c r="O240" i="8"/>
  <c r="N240" i="8"/>
  <c r="P240" i="8" s="1"/>
  <c r="O239" i="8"/>
  <c r="N239" i="8"/>
  <c r="O238" i="8"/>
  <c r="N238" i="8"/>
  <c r="O237" i="8"/>
  <c r="N237" i="8"/>
  <c r="P237" i="8" s="1"/>
  <c r="O236" i="8"/>
  <c r="N236" i="8"/>
  <c r="O235" i="8"/>
  <c r="N235" i="8"/>
  <c r="O234" i="8"/>
  <c r="N234" i="8"/>
  <c r="O233" i="8"/>
  <c r="N233" i="8"/>
  <c r="O232" i="8"/>
  <c r="N232" i="8"/>
  <c r="O231" i="8"/>
  <c r="N231" i="8"/>
  <c r="O230" i="8"/>
  <c r="N230" i="8"/>
  <c r="O229" i="8"/>
  <c r="N229" i="8"/>
  <c r="O228" i="8"/>
  <c r="N228" i="8"/>
  <c r="O227" i="8"/>
  <c r="N227" i="8"/>
  <c r="O226" i="8"/>
  <c r="N226" i="8"/>
  <c r="O225" i="8"/>
  <c r="N225" i="8"/>
  <c r="P225" i="8" s="1"/>
  <c r="O224" i="8"/>
  <c r="N224" i="8"/>
  <c r="O223" i="8"/>
  <c r="N223" i="8"/>
  <c r="O222" i="8"/>
  <c r="N222" i="8"/>
  <c r="O221" i="8"/>
  <c r="N221" i="8"/>
  <c r="O220" i="8"/>
  <c r="N220" i="8"/>
  <c r="O219" i="8"/>
  <c r="N219" i="8"/>
  <c r="O218" i="8"/>
  <c r="N218" i="8"/>
  <c r="O217" i="8"/>
  <c r="N217" i="8"/>
  <c r="O216" i="8"/>
  <c r="N216" i="8"/>
  <c r="P216" i="8" s="1"/>
  <c r="O215" i="8"/>
  <c r="N215" i="8"/>
  <c r="O214" i="8"/>
  <c r="N214" i="8"/>
  <c r="O213" i="8"/>
  <c r="N213" i="8"/>
  <c r="O212" i="8"/>
  <c r="N212" i="8"/>
  <c r="O211" i="8"/>
  <c r="N211" i="8"/>
  <c r="O210" i="8"/>
  <c r="N210" i="8"/>
  <c r="O209" i="8"/>
  <c r="N209" i="8"/>
  <c r="O208" i="8"/>
  <c r="N208" i="8"/>
  <c r="O207" i="8"/>
  <c r="N207" i="8"/>
  <c r="O206" i="8"/>
  <c r="N206" i="8"/>
  <c r="O205" i="8"/>
  <c r="N205" i="8"/>
  <c r="O204" i="8"/>
  <c r="N204" i="8"/>
  <c r="O203" i="8"/>
  <c r="N203" i="8"/>
  <c r="O202" i="8"/>
  <c r="N202" i="8"/>
  <c r="O201" i="8"/>
  <c r="N201" i="8"/>
  <c r="P201" i="8" s="1"/>
  <c r="O200" i="8"/>
  <c r="N200" i="8"/>
  <c r="O199" i="8"/>
  <c r="N199" i="8"/>
  <c r="O198" i="8"/>
  <c r="N198" i="8"/>
  <c r="O197" i="8"/>
  <c r="N197" i="8"/>
  <c r="O196" i="8"/>
  <c r="N196" i="8"/>
  <c r="O195" i="8"/>
  <c r="N195" i="8"/>
  <c r="O194" i="8"/>
  <c r="N194" i="8"/>
  <c r="O193" i="8"/>
  <c r="N193" i="8"/>
  <c r="O192" i="8"/>
  <c r="N192" i="8"/>
  <c r="O191" i="8"/>
  <c r="N191" i="8"/>
  <c r="O190" i="8"/>
  <c r="N190" i="8"/>
  <c r="O189" i="8"/>
  <c r="N189" i="8"/>
  <c r="O188" i="8"/>
  <c r="N188" i="8"/>
  <c r="O187" i="8"/>
  <c r="N187" i="8"/>
  <c r="O186" i="8"/>
  <c r="N186" i="8"/>
  <c r="O185" i="8"/>
  <c r="N185" i="8"/>
  <c r="O184" i="8"/>
  <c r="N184" i="8"/>
  <c r="O183" i="8"/>
  <c r="N183" i="8"/>
  <c r="O182" i="8"/>
  <c r="N182" i="8"/>
  <c r="O181" i="8"/>
  <c r="N181" i="8"/>
  <c r="O180" i="8"/>
  <c r="N180" i="8"/>
  <c r="O179" i="8"/>
  <c r="N179" i="8"/>
  <c r="P179" i="8" s="1"/>
  <c r="O178" i="8"/>
  <c r="N178" i="8"/>
  <c r="O177" i="8"/>
  <c r="N177" i="8"/>
  <c r="O176" i="8"/>
  <c r="N176" i="8"/>
  <c r="O175" i="8"/>
  <c r="N175" i="8"/>
  <c r="O174" i="8"/>
  <c r="N174" i="8"/>
  <c r="O173" i="8"/>
  <c r="N173" i="8"/>
  <c r="O172" i="8"/>
  <c r="N172" i="8"/>
  <c r="O171" i="8"/>
  <c r="N171" i="8"/>
  <c r="O170" i="8"/>
  <c r="N170" i="8"/>
  <c r="O169" i="8"/>
  <c r="N169" i="8"/>
  <c r="O168" i="8"/>
  <c r="N168" i="8"/>
  <c r="O167" i="8"/>
  <c r="N167" i="8"/>
  <c r="O166" i="8"/>
  <c r="N166" i="8"/>
  <c r="O165" i="8"/>
  <c r="N165" i="8"/>
  <c r="O164" i="8"/>
  <c r="N164" i="8"/>
  <c r="O163" i="8"/>
  <c r="N163" i="8"/>
  <c r="O162" i="8"/>
  <c r="N162" i="8"/>
  <c r="O161" i="8"/>
  <c r="N161" i="8"/>
  <c r="O160" i="8"/>
  <c r="N160" i="8"/>
  <c r="O159" i="8"/>
  <c r="N159" i="8"/>
  <c r="O158" i="8"/>
  <c r="N158" i="8"/>
  <c r="O157" i="8"/>
  <c r="N157" i="8"/>
  <c r="O156" i="8"/>
  <c r="N156" i="8"/>
  <c r="O155" i="8"/>
  <c r="N155" i="8"/>
  <c r="P155" i="8" s="1"/>
  <c r="O154" i="8"/>
  <c r="N154" i="8"/>
  <c r="O153" i="8"/>
  <c r="N153" i="8"/>
  <c r="O152" i="8"/>
  <c r="N152" i="8"/>
  <c r="O151" i="8"/>
  <c r="N151" i="8"/>
  <c r="O150" i="8"/>
  <c r="N150" i="8"/>
  <c r="O149" i="8"/>
  <c r="N149" i="8"/>
  <c r="P149" i="8" s="1"/>
  <c r="O148" i="8"/>
  <c r="N148" i="8"/>
  <c r="O147" i="8"/>
  <c r="N147" i="8"/>
  <c r="O146" i="8"/>
  <c r="N146" i="8"/>
  <c r="O145" i="8"/>
  <c r="N145" i="8"/>
  <c r="O144" i="8"/>
  <c r="N144" i="8"/>
  <c r="O143" i="8"/>
  <c r="N143" i="8"/>
  <c r="P143" i="8" s="1"/>
  <c r="O142" i="8"/>
  <c r="N142" i="8"/>
  <c r="O141" i="8"/>
  <c r="N141" i="8"/>
  <c r="O140" i="8"/>
  <c r="N140" i="8"/>
  <c r="O139" i="8"/>
  <c r="N139" i="8"/>
  <c r="O138" i="8"/>
  <c r="N138" i="8"/>
  <c r="O137" i="8"/>
  <c r="N137" i="8"/>
  <c r="O136" i="8"/>
  <c r="N136" i="8"/>
  <c r="O135" i="8"/>
  <c r="N135" i="8"/>
  <c r="O134" i="8"/>
  <c r="N134" i="8"/>
  <c r="O133" i="8"/>
  <c r="N133" i="8"/>
  <c r="O132" i="8"/>
  <c r="N132" i="8"/>
  <c r="O131" i="8"/>
  <c r="N131" i="8"/>
  <c r="O130" i="8"/>
  <c r="N130" i="8"/>
  <c r="O129" i="8"/>
  <c r="N129" i="8"/>
  <c r="O128" i="8"/>
  <c r="N128" i="8"/>
  <c r="O127" i="8"/>
  <c r="N127" i="8"/>
  <c r="O126" i="8"/>
  <c r="N126" i="8"/>
  <c r="O125" i="8"/>
  <c r="N125" i="8"/>
  <c r="O124" i="8"/>
  <c r="N124" i="8"/>
  <c r="O123" i="8"/>
  <c r="N123" i="8"/>
  <c r="O122" i="8"/>
  <c r="N122" i="8"/>
  <c r="O121" i="8"/>
  <c r="N121" i="8"/>
  <c r="O120" i="8"/>
  <c r="N120" i="8"/>
  <c r="O119" i="8"/>
  <c r="N119" i="8"/>
  <c r="O118" i="8"/>
  <c r="N118" i="8"/>
  <c r="O117" i="8"/>
  <c r="N117" i="8"/>
  <c r="O116" i="8"/>
  <c r="N116" i="8"/>
  <c r="O115" i="8"/>
  <c r="N115" i="8"/>
  <c r="O114" i="8"/>
  <c r="N114" i="8"/>
  <c r="O113" i="8"/>
  <c r="N113" i="8"/>
  <c r="O112" i="8"/>
  <c r="N112" i="8"/>
  <c r="O111" i="8"/>
  <c r="N111" i="8"/>
  <c r="O110" i="8"/>
  <c r="N110" i="8"/>
  <c r="O109" i="8"/>
  <c r="N109" i="8"/>
  <c r="O108" i="8"/>
  <c r="N108" i="8"/>
  <c r="O107" i="8"/>
  <c r="N107" i="8"/>
  <c r="P107" i="8" s="1"/>
  <c r="O106" i="8"/>
  <c r="N106" i="8"/>
  <c r="O105" i="8"/>
  <c r="N105" i="8"/>
  <c r="O104" i="8"/>
  <c r="N104" i="8"/>
  <c r="O103" i="8"/>
  <c r="N103" i="8"/>
  <c r="O102" i="8"/>
  <c r="N102" i="8"/>
  <c r="O101" i="8"/>
  <c r="N101" i="8"/>
  <c r="O100" i="8"/>
  <c r="N100" i="8"/>
  <c r="O99" i="8"/>
  <c r="N99" i="8"/>
  <c r="O98" i="8"/>
  <c r="N98" i="8"/>
  <c r="O97" i="8"/>
  <c r="N97" i="8"/>
  <c r="O96" i="8"/>
  <c r="N96" i="8"/>
  <c r="O95" i="8"/>
  <c r="N95" i="8"/>
  <c r="O94" i="8"/>
  <c r="N94" i="8"/>
  <c r="O93" i="8"/>
  <c r="N93" i="8"/>
  <c r="O92" i="8"/>
  <c r="N92" i="8"/>
  <c r="O91" i="8"/>
  <c r="N91" i="8"/>
  <c r="O90" i="8"/>
  <c r="N90" i="8"/>
  <c r="O89" i="8"/>
  <c r="N89" i="8"/>
  <c r="O88" i="8"/>
  <c r="N88" i="8"/>
  <c r="O87" i="8"/>
  <c r="N87" i="8"/>
  <c r="O86" i="8"/>
  <c r="N86" i="8"/>
  <c r="O85" i="8"/>
  <c r="N85" i="8"/>
  <c r="O84" i="8"/>
  <c r="N84" i="8"/>
  <c r="O83" i="8"/>
  <c r="N83" i="8"/>
  <c r="O82" i="8"/>
  <c r="N82" i="8"/>
  <c r="O81" i="8"/>
  <c r="N81" i="8"/>
  <c r="O80" i="8"/>
  <c r="N80" i="8"/>
  <c r="O79" i="8"/>
  <c r="N79" i="8"/>
  <c r="O78" i="8"/>
  <c r="N78" i="8"/>
  <c r="O77" i="8"/>
  <c r="N77" i="8"/>
  <c r="O76" i="8"/>
  <c r="N76" i="8"/>
  <c r="O75" i="8"/>
  <c r="N75" i="8"/>
  <c r="O74" i="8"/>
  <c r="N74" i="8"/>
  <c r="O73" i="8"/>
  <c r="N73" i="8"/>
  <c r="O72" i="8"/>
  <c r="N72" i="8"/>
  <c r="P72" i="8" s="1"/>
  <c r="O71" i="8"/>
  <c r="N71" i="8"/>
  <c r="O70" i="8"/>
  <c r="N70" i="8"/>
  <c r="O69" i="8"/>
  <c r="N69" i="8"/>
  <c r="O68" i="8"/>
  <c r="N68" i="8"/>
  <c r="O67" i="8"/>
  <c r="N67" i="8"/>
  <c r="O66" i="8"/>
  <c r="N66" i="8"/>
  <c r="O65" i="8"/>
  <c r="N65" i="8"/>
  <c r="O64" i="8"/>
  <c r="N64" i="8"/>
  <c r="O63" i="8"/>
  <c r="N63" i="8"/>
  <c r="O62" i="8"/>
  <c r="N62" i="8"/>
  <c r="P62" i="8" s="1"/>
  <c r="O61" i="8"/>
  <c r="N61" i="8"/>
  <c r="O60" i="8"/>
  <c r="N60" i="8"/>
  <c r="P60" i="8" s="1"/>
  <c r="O59" i="8"/>
  <c r="N59" i="8"/>
  <c r="O58" i="8"/>
  <c r="N58" i="8"/>
  <c r="O57" i="8"/>
  <c r="N57" i="8"/>
  <c r="O56" i="8"/>
  <c r="N56" i="8"/>
  <c r="O55" i="8"/>
  <c r="N55" i="8"/>
  <c r="O54" i="8"/>
  <c r="N54" i="8"/>
  <c r="P54" i="8" s="1"/>
  <c r="O53" i="8"/>
  <c r="N53" i="8"/>
  <c r="O52" i="8"/>
  <c r="N52" i="8"/>
  <c r="O51" i="8"/>
  <c r="N51" i="8"/>
  <c r="O50" i="8"/>
  <c r="N50" i="8"/>
  <c r="P50" i="8" s="1"/>
  <c r="O49" i="8"/>
  <c r="N49" i="8"/>
  <c r="P48" i="8"/>
  <c r="O48" i="8"/>
  <c r="N48" i="8"/>
  <c r="O47" i="8"/>
  <c r="N47" i="8"/>
  <c r="O46" i="8"/>
  <c r="N46" i="8"/>
  <c r="O45" i="8"/>
  <c r="N45" i="8"/>
  <c r="O44" i="8"/>
  <c r="N44" i="8"/>
  <c r="O43" i="8"/>
  <c r="N43" i="8"/>
  <c r="O42" i="8"/>
  <c r="N42" i="8"/>
  <c r="O41" i="8"/>
  <c r="N41" i="8"/>
  <c r="O40" i="8"/>
  <c r="N40" i="8"/>
  <c r="O39" i="8"/>
  <c r="N39" i="8"/>
  <c r="O38" i="8"/>
  <c r="N38" i="8"/>
  <c r="O37" i="8"/>
  <c r="N37" i="8"/>
  <c r="O36" i="8"/>
  <c r="N36" i="8"/>
  <c r="O35" i="8"/>
  <c r="N35" i="8"/>
  <c r="O34" i="8"/>
  <c r="N34" i="8"/>
  <c r="O33" i="8"/>
  <c r="N33" i="8"/>
  <c r="O32" i="8"/>
  <c r="N32" i="8"/>
  <c r="O31" i="8"/>
  <c r="N31" i="8"/>
  <c r="O30" i="8"/>
  <c r="N30" i="8"/>
  <c r="O29" i="8"/>
  <c r="N29" i="8"/>
  <c r="O28" i="8"/>
  <c r="N28" i="8"/>
  <c r="O27" i="8"/>
  <c r="N27" i="8"/>
  <c r="O26" i="8"/>
  <c r="N26" i="8"/>
  <c r="O25" i="8"/>
  <c r="N25" i="8"/>
  <c r="P26" i="8" s="1"/>
  <c r="O24" i="8"/>
  <c r="N24" i="8"/>
  <c r="P24" i="8" s="1"/>
  <c r="O23" i="8"/>
  <c r="N23" i="8"/>
  <c r="O22" i="8"/>
  <c r="N22" i="8"/>
  <c r="O21" i="8"/>
  <c r="N21" i="8"/>
  <c r="O20" i="8"/>
  <c r="N20" i="8"/>
  <c r="O19" i="8"/>
  <c r="N19" i="8"/>
  <c r="O18" i="8"/>
  <c r="N18" i="8"/>
  <c r="O17" i="8"/>
  <c r="N17" i="8"/>
  <c r="O16" i="8"/>
  <c r="N16" i="8"/>
  <c r="O15" i="8"/>
  <c r="N15" i="8"/>
  <c r="O14" i="8"/>
  <c r="N14" i="8"/>
  <c r="O13" i="8"/>
  <c r="N13" i="8"/>
  <c r="P13" i="8" s="1"/>
  <c r="O12" i="8"/>
  <c r="N12" i="8"/>
  <c r="P12" i="8" s="1"/>
  <c r="O11" i="8"/>
  <c r="N11" i="8"/>
  <c r="O10" i="8"/>
  <c r="N10" i="8"/>
  <c r="O9" i="8"/>
  <c r="N9" i="8"/>
  <c r="O8" i="8"/>
  <c r="N8" i="8"/>
  <c r="O7" i="8"/>
  <c r="N7" i="8"/>
  <c r="O6" i="8"/>
  <c r="N6" i="8"/>
  <c r="O5" i="8"/>
  <c r="N5" i="8"/>
  <c r="O4" i="8"/>
  <c r="N4" i="8"/>
  <c r="N3" i="8"/>
  <c r="C4" i="8"/>
  <c r="C5" i="8" s="1"/>
  <c r="M34" i="3"/>
  <c r="M33" i="3"/>
  <c r="M8" i="3"/>
  <c r="M5" i="3"/>
  <c r="M29" i="3" s="1"/>
  <c r="F6" i="7"/>
  <c r="E27" i="7"/>
  <c r="E26" i="7"/>
  <c r="E25" i="7"/>
  <c r="E24" i="7"/>
  <c r="E23" i="7"/>
  <c r="F25" i="7" s="1"/>
  <c r="E9" i="7"/>
  <c r="F7" i="7" s="1"/>
  <c r="E8" i="7"/>
  <c r="F8" i="7" s="1"/>
  <c r="E7" i="7"/>
  <c r="E6" i="7"/>
  <c r="E5" i="7"/>
  <c r="F5" i="7" s="1"/>
  <c r="E82" i="6"/>
  <c r="E86" i="6"/>
  <c r="E85" i="6"/>
  <c r="E84" i="6"/>
  <c r="E83" i="6"/>
  <c r="G61" i="6"/>
  <c r="F61" i="6"/>
  <c r="E61" i="6"/>
  <c r="D61" i="6"/>
  <c r="C61" i="6"/>
  <c r="D40" i="6"/>
  <c r="E40" i="6"/>
  <c r="F40" i="6"/>
  <c r="G40" i="6"/>
  <c r="C40" i="6"/>
  <c r="H23" i="6"/>
  <c r="G23" i="6"/>
  <c r="E24" i="6"/>
  <c r="E23" i="6"/>
  <c r="E22" i="6"/>
  <c r="H26" i="6"/>
  <c r="G26" i="6"/>
  <c r="E26" i="6"/>
  <c r="H25" i="6"/>
  <c r="G25" i="6"/>
  <c r="E25" i="6"/>
  <c r="H24" i="6"/>
  <c r="G24" i="6"/>
  <c r="E8" i="6"/>
  <c r="E7" i="6"/>
  <c r="E6" i="6"/>
  <c r="E5" i="6"/>
  <c r="E4" i="6"/>
  <c r="J34" i="3"/>
  <c r="K34" i="3"/>
  <c r="L34" i="3"/>
  <c r="H34" i="3"/>
  <c r="I33" i="3"/>
  <c r="J33" i="3"/>
  <c r="K33" i="3"/>
  <c r="L33" i="3"/>
  <c r="G10" i="2"/>
  <c r="G6" i="2"/>
  <c r="I7" i="2"/>
  <c r="I8" i="2"/>
  <c r="I9" i="2"/>
  <c r="I10" i="2"/>
  <c r="I6" i="2"/>
  <c r="G7" i="2"/>
  <c r="G8" i="2"/>
  <c r="G9" i="2"/>
  <c r="E7" i="2"/>
  <c r="E8" i="2"/>
  <c r="E9" i="2"/>
  <c r="E10" i="2"/>
  <c r="E6" i="2"/>
  <c r="D5" i="1"/>
  <c r="D6" i="1"/>
  <c r="D7" i="1"/>
  <c r="D4" i="1"/>
  <c r="P18" i="8" l="1"/>
  <c r="P93" i="8"/>
  <c r="F24" i="7"/>
  <c r="P63" i="8"/>
  <c r="P243" i="8"/>
  <c r="P46" i="8"/>
  <c r="E4" i="1"/>
  <c r="E5" i="1"/>
  <c r="E6" i="1"/>
  <c r="E3" i="1"/>
  <c r="C8" i="1" s="1"/>
  <c r="D8" i="1" s="1"/>
  <c r="E7" i="1"/>
  <c r="F83" i="6"/>
  <c r="F9" i="7"/>
  <c r="P49" i="8"/>
  <c r="F23" i="7"/>
  <c r="F26" i="7"/>
  <c r="P202" i="8"/>
  <c r="F84" i="6"/>
  <c r="F27" i="7"/>
  <c r="P15" i="8"/>
  <c r="P146" i="8"/>
  <c r="P51" i="8"/>
  <c r="P14" i="8"/>
  <c r="P108" i="8"/>
  <c r="P117" i="8"/>
  <c r="P129" i="8"/>
  <c r="P132" i="8"/>
  <c r="P135" i="8"/>
  <c r="P141" i="8"/>
  <c r="P215" i="8"/>
  <c r="P29" i="8"/>
  <c r="P32" i="8"/>
  <c r="P38" i="8"/>
  <c r="P85" i="8"/>
  <c r="P91" i="8"/>
  <c r="P144" i="8"/>
  <c r="P165" i="8"/>
  <c r="P94" i="8"/>
  <c r="P10" i="8"/>
  <c r="P27" i="8"/>
  <c r="P36" i="8"/>
  <c r="P65" i="8"/>
  <c r="P68" i="8"/>
  <c r="P74" i="8"/>
  <c r="P193" i="8"/>
  <c r="P199" i="8"/>
  <c r="M31" i="3"/>
  <c r="G19" i="19" s="1"/>
  <c r="E11" i="2"/>
  <c r="L6" i="4" s="1"/>
  <c r="G11" i="2"/>
  <c r="H5" i="4" s="1"/>
  <c r="P30" i="8"/>
  <c r="P66" i="8"/>
  <c r="P77" i="8"/>
  <c r="P121" i="8"/>
  <c r="P127" i="8"/>
  <c r="P153" i="8"/>
  <c r="P182" i="8"/>
  <c r="P185" i="8"/>
  <c r="P191" i="8"/>
  <c r="P229" i="8"/>
  <c r="P235" i="8"/>
  <c r="P8" i="8"/>
  <c r="P22" i="8"/>
  <c r="P41" i="8"/>
  <c r="P83" i="8"/>
  <c r="P25" i="8"/>
  <c r="P61" i="8"/>
  <c r="P130" i="8"/>
  <c r="P168" i="8"/>
  <c r="P171" i="8"/>
  <c r="P177" i="8"/>
  <c r="P238" i="8"/>
  <c r="P6" i="8"/>
  <c r="P17" i="8"/>
  <c r="P20" i="8"/>
  <c r="P34" i="8"/>
  <c r="P39" i="8"/>
  <c r="P42" i="8"/>
  <c r="P53" i="8"/>
  <c r="P56" i="8"/>
  <c r="P70" i="8"/>
  <c r="P75" i="8"/>
  <c r="P81" i="8"/>
  <c r="P110" i="8"/>
  <c r="P113" i="8"/>
  <c r="P119" i="8"/>
  <c r="P157" i="8"/>
  <c r="P163" i="8"/>
  <c r="P180" i="8"/>
  <c r="P189" i="8"/>
  <c r="P218" i="8"/>
  <c r="P221" i="8"/>
  <c r="P227" i="8"/>
  <c r="P5" i="8"/>
  <c r="P44" i="8"/>
  <c r="P58" i="8"/>
  <c r="P4" i="8"/>
  <c r="P37" i="8"/>
  <c r="P73" i="8"/>
  <c r="P96" i="8"/>
  <c r="P99" i="8"/>
  <c r="P105" i="8"/>
  <c r="P166" i="8"/>
  <c r="P204" i="8"/>
  <c r="P207" i="8"/>
  <c r="P213" i="8"/>
  <c r="P89" i="8"/>
  <c r="P97" i="8"/>
  <c r="P111" i="8"/>
  <c r="P122" i="8"/>
  <c r="P147" i="8"/>
  <c r="P161" i="8"/>
  <c r="P169" i="8"/>
  <c r="P183" i="8"/>
  <c r="P194" i="8"/>
  <c r="P211" i="8"/>
  <c r="P230" i="8"/>
  <c r="P241" i="8"/>
  <c r="P11" i="8"/>
  <c r="P23" i="8"/>
  <c r="P35" i="8"/>
  <c r="P47" i="8"/>
  <c r="P59" i="8"/>
  <c r="P71" i="8"/>
  <c r="P106" i="8"/>
  <c r="P142" i="8"/>
  <c r="P178" i="8"/>
  <c r="P214" i="8"/>
  <c r="P9" i="8"/>
  <c r="P21" i="8"/>
  <c r="P33" i="8"/>
  <c r="P45" i="8"/>
  <c r="P57" i="8"/>
  <c r="P69" i="8"/>
  <c r="P79" i="8"/>
  <c r="P84" i="8"/>
  <c r="P87" i="8"/>
  <c r="P98" i="8"/>
  <c r="P101" i="8"/>
  <c r="P109" i="8"/>
  <c r="P115" i="8"/>
  <c r="P120" i="8"/>
  <c r="P123" i="8"/>
  <c r="P134" i="8"/>
  <c r="P137" i="8"/>
  <c r="P145" i="8"/>
  <c r="P151" i="8"/>
  <c r="P156" i="8"/>
  <c r="P159" i="8"/>
  <c r="P170" i="8"/>
  <c r="P173" i="8"/>
  <c r="P181" i="8"/>
  <c r="P187" i="8"/>
  <c r="P192" i="8"/>
  <c r="P195" i="8"/>
  <c r="P206" i="8"/>
  <c r="P209" i="8"/>
  <c r="P217" i="8"/>
  <c r="P223" i="8"/>
  <c r="P228" i="8"/>
  <c r="P231" i="8"/>
  <c r="P242" i="8"/>
  <c r="P245" i="8"/>
  <c r="P86" i="8"/>
  <c r="P103" i="8"/>
  <c r="P125" i="8"/>
  <c r="P133" i="8"/>
  <c r="P139" i="8"/>
  <c r="P158" i="8"/>
  <c r="P175" i="8"/>
  <c r="P197" i="8"/>
  <c r="P205" i="8"/>
  <c r="P219" i="8"/>
  <c r="P233" i="8"/>
  <c r="P7" i="8"/>
  <c r="P16" i="8"/>
  <c r="P19" i="8"/>
  <c r="P28" i="8"/>
  <c r="P31" i="8"/>
  <c r="P40" i="8"/>
  <c r="P43" i="8"/>
  <c r="P52" i="8"/>
  <c r="P55" i="8"/>
  <c r="P64" i="8"/>
  <c r="P67" i="8"/>
  <c r="P76" i="8"/>
  <c r="P82" i="8"/>
  <c r="P95" i="8"/>
  <c r="P118" i="8"/>
  <c r="P131" i="8"/>
  <c r="P154" i="8"/>
  <c r="P167" i="8"/>
  <c r="P190" i="8"/>
  <c r="P203" i="8"/>
  <c r="P226" i="8"/>
  <c r="P239" i="8"/>
  <c r="P80" i="8"/>
  <c r="P92" i="8"/>
  <c r="P116" i="8"/>
  <c r="P128" i="8"/>
  <c r="P140" i="8"/>
  <c r="P152" i="8"/>
  <c r="P188" i="8"/>
  <c r="P200" i="8"/>
  <c r="P224" i="8"/>
  <c r="P236" i="8"/>
  <c r="P78" i="8"/>
  <c r="P90" i="8"/>
  <c r="P102" i="8"/>
  <c r="P114" i="8"/>
  <c r="P126" i="8"/>
  <c r="P138" i="8"/>
  <c r="P150" i="8"/>
  <c r="P162" i="8"/>
  <c r="P174" i="8"/>
  <c r="P186" i="8"/>
  <c r="P198" i="8"/>
  <c r="P210" i="8"/>
  <c r="P222" i="8"/>
  <c r="P234" i="8"/>
  <c r="P246" i="8"/>
  <c r="P104" i="8"/>
  <c r="P164" i="8"/>
  <c r="P176" i="8"/>
  <c r="P212" i="8"/>
  <c r="P88" i="8"/>
  <c r="P100" i="8"/>
  <c r="P112" i="8"/>
  <c r="P124" i="8"/>
  <c r="P136" i="8"/>
  <c r="P148" i="8"/>
  <c r="P160" i="8"/>
  <c r="P172" i="8"/>
  <c r="P184" i="8"/>
  <c r="P196" i="8"/>
  <c r="P208" i="8"/>
  <c r="P220" i="8"/>
  <c r="P232" i="8"/>
  <c r="P244" i="8"/>
  <c r="F22" i="6"/>
  <c r="F82" i="6"/>
  <c r="F86" i="6"/>
  <c r="G62" i="6"/>
  <c r="F85" i="6"/>
  <c r="D62" i="6"/>
  <c r="I4" i="4"/>
  <c r="H2" i="3"/>
  <c r="H4" i="4"/>
  <c r="I2" i="3"/>
  <c r="J2" i="3"/>
  <c r="K4" i="4"/>
  <c r="K2" i="3"/>
  <c r="L4" i="4"/>
  <c r="J4" i="4"/>
  <c r="L2" i="3"/>
  <c r="G31" i="3"/>
  <c r="I11" i="2"/>
  <c r="H7" i="3" s="1"/>
  <c r="L3" i="3"/>
  <c r="M3" i="3" s="1"/>
  <c r="I5" i="4"/>
  <c r="H3" i="3"/>
  <c r="K5" i="4"/>
  <c r="H6" i="4"/>
  <c r="I7" i="3"/>
  <c r="K7" i="3"/>
  <c r="I9" i="4"/>
  <c r="J7" i="3"/>
  <c r="J9" i="4"/>
  <c r="F62" i="6"/>
  <c r="C62" i="6"/>
  <c r="E62" i="6"/>
  <c r="F6" i="6"/>
  <c r="F23" i="6"/>
  <c r="F7" i="6"/>
  <c r="F25" i="6"/>
  <c r="F4" i="6"/>
  <c r="F5" i="6"/>
  <c r="F8" i="6"/>
  <c r="F26" i="6"/>
  <c r="F24" i="6"/>
  <c r="H15" i="3" l="1"/>
  <c r="H18" i="3" s="1"/>
  <c r="H13" i="3"/>
  <c r="I13" i="3" s="1"/>
  <c r="J13" i="3" s="1"/>
  <c r="J22" i="3" s="1"/>
  <c r="H9" i="4"/>
  <c r="L7" i="3"/>
  <c r="M7" i="3" s="1"/>
  <c r="K4" i="3"/>
  <c r="M6" i="4"/>
  <c r="I4" i="3"/>
  <c r="I20" i="3" s="1"/>
  <c r="L4" i="3"/>
  <c r="M4" i="3" s="1"/>
  <c r="K3" i="3"/>
  <c r="J3" i="3"/>
  <c r="L9" i="4"/>
  <c r="L5" i="4"/>
  <c r="M5" i="4"/>
  <c r="J5" i="4"/>
  <c r="I3" i="3"/>
  <c r="K9" i="4"/>
  <c r="M9" i="4"/>
  <c r="C15" i="8"/>
  <c r="C6" i="8" s="1"/>
  <c r="C9" i="8" s="1"/>
  <c r="H22" i="3"/>
  <c r="H4" i="3"/>
  <c r="J4" i="3"/>
  <c r="I6" i="4"/>
  <c r="K6" i="4"/>
  <c r="J6" i="4"/>
  <c r="I22" i="3"/>
  <c r="H3" i="4" l="1"/>
  <c r="I15" i="3"/>
  <c r="I3" i="4" s="1"/>
  <c r="I21" i="3"/>
  <c r="I25" i="3" s="1"/>
  <c r="H21" i="3"/>
  <c r="H20" i="3"/>
  <c r="H25" i="3" s="1"/>
  <c r="J21" i="3"/>
  <c r="K13" i="3"/>
  <c r="L13" i="3" s="1"/>
  <c r="M13" i="3" s="1"/>
  <c r="C7" i="19"/>
  <c r="D7" i="19"/>
  <c r="B7" i="19"/>
  <c r="I18" i="3"/>
  <c r="J15" i="3"/>
  <c r="J20" i="3"/>
  <c r="H2" i="4" l="1"/>
  <c r="H27" i="3"/>
  <c r="I16" i="4"/>
  <c r="I22" i="4"/>
  <c r="K22" i="3"/>
  <c r="H22" i="4"/>
  <c r="H28" i="4"/>
  <c r="B8" i="19" s="1"/>
  <c r="H16" i="4"/>
  <c r="H24" i="4" s="1"/>
  <c r="H20" i="4"/>
  <c r="J25" i="3"/>
  <c r="J2" i="4" s="1"/>
  <c r="E7" i="19"/>
  <c r="J39" i="4"/>
  <c r="J38" i="4"/>
  <c r="I27" i="3"/>
  <c r="I2" i="4"/>
  <c r="H38" i="4"/>
  <c r="H39" i="4"/>
  <c r="I28" i="4"/>
  <c r="I20" i="4"/>
  <c r="J18" i="3"/>
  <c r="J27" i="3" s="1"/>
  <c r="J3" i="4"/>
  <c r="J22" i="4" s="1"/>
  <c r="K21" i="3"/>
  <c r="K15" i="3"/>
  <c r="K20" i="3"/>
  <c r="H35" i="4" l="1"/>
  <c r="H61" i="4" s="1"/>
  <c r="C8" i="19"/>
  <c r="J44" i="4"/>
  <c r="L22" i="3"/>
  <c r="H44" i="4"/>
  <c r="I38" i="4"/>
  <c r="I39" i="4"/>
  <c r="K25" i="3"/>
  <c r="K2" i="4" s="1"/>
  <c r="J28" i="4"/>
  <c r="J20" i="4"/>
  <c r="J16" i="4"/>
  <c r="K18" i="3"/>
  <c r="K3" i="4"/>
  <c r="K22" i="4" s="1"/>
  <c r="I24" i="4"/>
  <c r="L21" i="3"/>
  <c r="L15" i="3"/>
  <c r="L3" i="4" s="1"/>
  <c r="L20" i="3"/>
  <c r="B9" i="19" l="1"/>
  <c r="F7" i="19"/>
  <c r="D8" i="19"/>
  <c r="I35" i="4"/>
  <c r="I61" i="4" s="1"/>
  <c r="M22" i="3"/>
  <c r="M21" i="3"/>
  <c r="M15" i="3"/>
  <c r="M20" i="3"/>
  <c r="K39" i="4"/>
  <c r="K38" i="4"/>
  <c r="I44" i="4"/>
  <c r="L18" i="3"/>
  <c r="L22" i="4"/>
  <c r="L25" i="3"/>
  <c r="K28" i="4"/>
  <c r="K20" i="4"/>
  <c r="K16" i="4"/>
  <c r="J24" i="4"/>
  <c r="K27" i="3"/>
  <c r="E8" i="19" l="1"/>
  <c r="C9" i="19"/>
  <c r="J35" i="4"/>
  <c r="J61" i="4" s="1"/>
  <c r="D9" i="19"/>
  <c r="G7" i="19"/>
  <c r="M25" i="3"/>
  <c r="M2" i="4" s="1"/>
  <c r="M39" i="4" s="1"/>
  <c r="M18" i="3"/>
  <c r="M3" i="4"/>
  <c r="M22" i="4" s="1"/>
  <c r="K44" i="4"/>
  <c r="L27" i="3"/>
  <c r="L2" i="4"/>
  <c r="L28" i="4"/>
  <c r="L20" i="4"/>
  <c r="L16" i="4"/>
  <c r="K24" i="4"/>
  <c r="K35" i="4" l="1"/>
  <c r="K61" i="4" s="1"/>
  <c r="E9" i="19"/>
  <c r="F8" i="19"/>
  <c r="M27" i="3"/>
  <c r="M36" i="3" s="1"/>
  <c r="M41" i="3" s="1"/>
  <c r="M28" i="4"/>
  <c r="M16" i="4"/>
  <c r="M20" i="4"/>
  <c r="M38" i="4"/>
  <c r="L38" i="4"/>
  <c r="L44" i="4" s="1"/>
  <c r="L39" i="4"/>
  <c r="L24" i="4"/>
  <c r="L35" i="4" s="1"/>
  <c r="L61" i="4" s="1"/>
  <c r="G8" i="19" l="1"/>
  <c r="M43" i="3"/>
  <c r="M44" i="3" s="1"/>
  <c r="M48" i="3" s="1"/>
  <c r="M51" i="3" s="1"/>
  <c r="G5" i="19"/>
  <c r="M44" i="4"/>
  <c r="M24" i="4"/>
  <c r="F9" i="19"/>
  <c r="M35" i="4" l="1"/>
  <c r="M61" i="4" s="1"/>
  <c r="G9" i="19"/>
  <c r="G10" i="19" s="1"/>
  <c r="G18" i="19" s="1"/>
  <c r="I36" i="3" l="1"/>
  <c r="I41" i="3" s="1"/>
  <c r="I43" i="3" s="1"/>
  <c r="J36" i="3" l="1"/>
  <c r="J41" i="3" s="1"/>
  <c r="D19" i="19"/>
  <c r="K36" i="3"/>
  <c r="K41" i="3" s="1"/>
  <c r="K43" i="3" s="1"/>
  <c r="K44" i="3" s="1"/>
  <c r="K48" i="3" s="1"/>
  <c r="K51" i="3" s="1"/>
  <c r="E19" i="19"/>
  <c r="L36" i="3"/>
  <c r="L41" i="3" s="1"/>
  <c r="F19" i="19"/>
  <c r="C5" i="19"/>
  <c r="C19" i="19"/>
  <c r="I44" i="3"/>
  <c r="I48" i="3" s="1"/>
  <c r="I51" i="3" s="1"/>
  <c r="J43" i="3" l="1"/>
  <c r="J44" i="3" s="1"/>
  <c r="J48" i="3" s="1"/>
  <c r="J51" i="3" s="1"/>
  <c r="E5" i="19"/>
  <c r="E10" i="19" s="1"/>
  <c r="E18" i="19" s="1"/>
  <c r="L43" i="3"/>
  <c r="L44" i="3" s="1"/>
  <c r="L48" i="3" s="1"/>
  <c r="L51" i="3" s="1"/>
  <c r="F5" i="19"/>
  <c r="F10" i="19" s="1"/>
  <c r="F18" i="19" s="1"/>
  <c r="D5" i="19"/>
  <c r="C10" i="19"/>
  <c r="C18" i="19" s="1"/>
  <c r="B19" i="19"/>
  <c r="H36" i="3"/>
  <c r="H41" i="3" s="1"/>
  <c r="H43" i="3" s="1"/>
  <c r="D10" i="19" l="1"/>
  <c r="D18" i="19" s="1"/>
  <c r="B5" i="19"/>
  <c r="B10" i="19" s="1"/>
  <c r="B18" i="19" s="1"/>
  <c r="H44" i="3"/>
  <c r="H48" i="3" s="1"/>
  <c r="H51" i="3" s="1"/>
  <c r="H54" i="4" s="1"/>
  <c r="H57" i="4" s="1"/>
  <c r="H59" i="4" s="1"/>
  <c r="H50" i="4" l="1"/>
  <c r="H8" i="4" s="1"/>
  <c r="H46" i="4" s="1"/>
  <c r="C4" i="20" s="1"/>
  <c r="I54" i="4"/>
  <c r="I57" i="4" s="1"/>
  <c r="I59" i="4" s="1"/>
  <c r="I50" i="4" s="1"/>
  <c r="I8" i="4" s="1"/>
  <c r="B20" i="19" l="1"/>
  <c r="B21" i="19" s="1"/>
  <c r="J54" i="4"/>
  <c r="I46" i="4"/>
  <c r="K54" i="4" l="1"/>
  <c r="L54" i="4" s="1"/>
  <c r="J57" i="4"/>
  <c r="J59" i="4" s="1"/>
  <c r="J50" i="4" s="1"/>
  <c r="J8" i="4" s="1"/>
  <c r="J46" i="4" s="1"/>
  <c r="C20" i="19"/>
  <c r="C21" i="19" s="1"/>
  <c r="K57" i="4" l="1"/>
  <c r="K59" i="4" s="1"/>
  <c r="K50" i="4" s="1"/>
  <c r="K8" i="4" s="1"/>
  <c r="K46" i="4" s="1"/>
  <c r="D20" i="19"/>
  <c r="D21" i="19" s="1"/>
  <c r="M54" i="4"/>
  <c r="M57" i="4" s="1"/>
  <c r="M59" i="4" s="1"/>
  <c r="M50" i="4" s="1"/>
  <c r="M8" i="4" s="1"/>
  <c r="L57" i="4"/>
  <c r="L59" i="4" s="1"/>
  <c r="L50" i="4" l="1"/>
  <c r="L8" i="4" s="1"/>
  <c r="L46" i="4" s="1"/>
  <c r="E20" i="19"/>
  <c r="E21" i="19" s="1"/>
  <c r="M46" i="4"/>
  <c r="F20" i="19" l="1"/>
  <c r="F21" i="19" s="1"/>
  <c r="G20" i="19"/>
  <c r="G21" i="19" s="1"/>
  <c r="B23" i="19" l="1"/>
  <c r="B12" i="19" s="1"/>
  <c r="B25" i="19" l="1"/>
  <c r="C3" i="20"/>
  <c r="C5" i="20" l="1"/>
  <c r="C6" i="20"/>
  <c r="C14" i="20" s="1"/>
  <c r="C1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C1BC507C-4598-40AC-AAF1-F3B34A50A7B6}">
      <text>
        <r>
          <rPr>
            <sz val="8"/>
            <rFont val="Tahoma"/>
            <family val="2"/>
          </rPr>
          <t>Name: [No Name]
Comment: [No Comment]
Period: FY2022
Filing Date: Mar-06-2023</t>
        </r>
      </text>
    </comment>
    <comment ref="F16" authorId="0" shapeId="0" xr:uid="{D2D8F47F-B44F-4076-9A11-836538F3BA41}">
      <text>
        <r>
          <rPr>
            <sz val="8"/>
            <rFont val="Tahoma"/>
            <family val="2"/>
          </rPr>
          <t>Name: [No Name]
Comment: [No Comment]
Period: FY2022
Filing Date: Mar-06-2023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AB5DAD15-42BB-4C01-8064-EDE4663EF5A5}">
      <text>
        <r>
          <rPr>
            <sz val="8"/>
            <rFont val="Tahoma"/>
            <family val="2"/>
          </rPr>
          <t>Name: [No Name]
Comment: [No Comment]
Period: FY2022
Filing Date: Mar-06-2023</t>
        </r>
      </text>
    </comment>
    <comment ref="F16" authorId="0" shapeId="0" xr:uid="{F36DDCD4-DE41-45F8-A651-DA492A2D37A7}">
      <text>
        <r>
          <rPr>
            <sz val="8"/>
            <rFont val="Tahoma"/>
            <family val="2"/>
          </rPr>
          <t>Name: [No Name]
Comment: [No Comment]
Period: FY2022
Filing Date: Mar-06-2023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D1E6BDB5-7FDE-459C-B4C5-EBFFAFAC7985}">
      <text>
        <r>
          <rPr>
            <sz val="8"/>
            <rFont val="Tahoma"/>
            <family val="2"/>
          </rPr>
          <t>Name: [No Name]
Comment: [No Comment]
Period: FY2022
Filing Date: Mar-06-2023</t>
        </r>
      </text>
    </comment>
    <comment ref="F16" authorId="0" shapeId="0" xr:uid="{BFC280B6-507D-4BFA-A905-D6F5A33F192A}">
      <text>
        <r>
          <rPr>
            <sz val="8"/>
            <rFont val="Tahoma"/>
            <family val="2"/>
          </rPr>
          <t>Name: [No Name]
Comment: [No Comment]
Period: FY2022
Filing Date: Mar-06-2023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3" authorId="0" shapeId="0" xr:uid="{6107D73F-6414-458E-B846-2A4F666A084A}">
      <text>
        <r>
          <rPr>
            <sz val="8"/>
            <rFont val="Tahoma"/>
            <family val="2"/>
          </rPr>
          <t>Name: [No Name]
Comment: [No Comment]
Period: FY2022
Filing Date: Mar-06-2023</t>
        </r>
      </text>
    </comment>
  </commentList>
</comments>
</file>

<file path=xl/sharedStrings.xml><?xml version="1.0" encoding="utf-8"?>
<sst xmlns="http://schemas.openxmlformats.org/spreadsheetml/2006/main" count="2351" uniqueCount="575">
  <si>
    <t xml:space="preserve">For the Fiscal Period Ending
</t>
  </si>
  <si>
    <t>12 months
Dec-31-2018</t>
  </si>
  <si>
    <t>12 months
Dec-31-2019</t>
  </si>
  <si>
    <t>12 months
Dec-31-2020</t>
  </si>
  <si>
    <t>12 months
Dec-31-2021</t>
  </si>
  <si>
    <t>12 months
Dec-31-2022</t>
  </si>
  <si>
    <t>Revenue</t>
  </si>
  <si>
    <t>LTM
Press Release
12 months
Mar-31-2023</t>
  </si>
  <si>
    <t xml:space="preserve">Change in Revenue </t>
  </si>
  <si>
    <t>Dec-31-2018</t>
  </si>
  <si>
    <t xml:space="preserve">
Dec-31-2020</t>
  </si>
  <si>
    <t>Dec-31-2023</t>
  </si>
  <si>
    <t>Dec-31-2022</t>
  </si>
  <si>
    <t>Dec-31-2021</t>
  </si>
  <si>
    <t>Dec-31-2020</t>
  </si>
  <si>
    <t>Dec-31-2019</t>
  </si>
  <si>
    <t>Average Growth</t>
  </si>
  <si>
    <t>Selling General &amp; Admin Exp.</t>
  </si>
  <si>
    <t>R &amp; D Exp.</t>
  </si>
  <si>
    <t>Depreciation &amp; Amort.</t>
  </si>
  <si>
    <t xml:space="preserve">SGA </t>
  </si>
  <si>
    <t>SGA/Rev</t>
  </si>
  <si>
    <t>D&amp;A</t>
  </si>
  <si>
    <t>D&amp;A / Rev</t>
  </si>
  <si>
    <t>R &amp; D / Rev</t>
  </si>
  <si>
    <t>Income Statement</t>
  </si>
  <si>
    <t>Currency</t>
  </si>
  <si>
    <t>USD</t>
  </si>
  <si>
    <t xml:space="preserve"> </t>
  </si>
  <si>
    <t>Other Revenue</t>
  </si>
  <si>
    <t>-</t>
  </si>
  <si>
    <t xml:space="preserve">  Total Revenue</t>
  </si>
  <si>
    <t>Cost Of Goods Sold</t>
  </si>
  <si>
    <t xml:space="preserve">  Gross Profit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</si>
  <si>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</si>
  <si>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</si>
  <si>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</si>
  <si>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</si>
  <si>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</si>
  <si>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</si>
  <si>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</si>
  <si>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Currency Exchange Gains (Loss)</t>
  </si>
  <si>
    <t>Other Non-Operating Inc. (Exp.)</t>
  </si>
  <si>
    <t xml:space="preserve">  EBT Excl. Unusual Items</t>
  </si>
  <si>
    <t>Merger &amp; Related Restruct. Charges</t>
  </si>
  <si>
    <t>Impairment of Goodwill</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</si>
  <si>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</si>
  <si>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</si>
  <si>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</si>
  <si>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</si>
  <si>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</si>
  <si>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</si>
  <si>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</si>
  <si>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</si>
  <si>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</si>
  <si>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Parameters</t>
  </si>
  <si>
    <t>D_REV</t>
  </si>
  <si>
    <t>SG&amp;A/REV</t>
  </si>
  <si>
    <t>LTD Rate</t>
  </si>
  <si>
    <t>Tax Rate</t>
  </si>
  <si>
    <t>DIV</t>
  </si>
  <si>
    <t>R&amp;D/REV</t>
  </si>
  <si>
    <t>Dec-31-2024</t>
  </si>
  <si>
    <t>Dec-31-2025</t>
  </si>
  <si>
    <t>Dec-31-2026</t>
  </si>
  <si>
    <t>Dec-31-2027</t>
  </si>
  <si>
    <t>Dec-31-2028</t>
  </si>
  <si>
    <t>Dep/Rev</t>
  </si>
  <si>
    <t>Paying Taxes (investinisrael.gov.il)</t>
  </si>
  <si>
    <t>Balance Sheet</t>
  </si>
  <si>
    <t xml:space="preserve">Balance Sheet as of:
</t>
  </si>
  <si>
    <t>Press Release
Mar-31-2023</t>
  </si>
  <si>
    <t>ASSETS</t>
  </si>
  <si>
    <t>Cash And Equivalents</t>
  </si>
  <si>
    <t xml:space="preserve">  Total Cash &amp; ST Investments</t>
  </si>
  <si>
    <t>Accounts Receivable</t>
  </si>
  <si>
    <t>Other Receivables</t>
  </si>
  <si>
    <t xml:space="preserve">  Total Receivables</t>
  </si>
  <si>
    <t>Prepaid Exp.</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</si>
  <si>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</si>
  <si>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</si>
  <si>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</si>
  <si>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</si>
  <si>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</si>
  <si>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</si>
  <si>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</si>
  <si>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</si>
  <si>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</si>
  <si>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</si>
  <si>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Total Assets</t>
  </si>
  <si>
    <t>LIABILITIES</t>
  </si>
  <si>
    <t>Accounts Payable</t>
  </si>
  <si>
    <t>Accrued Exp.</t>
  </si>
  <si>
    <t>Curr. Port. of LT Debt</t>
  </si>
  <si>
    <t>Curr. Port. of Leases</t>
  </si>
  <si>
    <t>Curr. Income Taxes Payable</t>
  </si>
  <si>
    <t>Other Current Liabilities</t>
  </si>
  <si>
    <t xml:space="preserve">  Total Current Liabilities</t>
  </si>
  <si>
    <t>Long-Term Debt</t>
  </si>
  <si>
    <t>Long-Term Leases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</si>
  <si>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</si>
  <si>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</si>
  <si>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</si>
  <si>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</si>
  <si>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</si>
  <si>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</si>
  <si>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</si>
  <si>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</si>
  <si>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</si>
  <si>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Total Equity</t>
  </si>
  <si>
    <t>Total Liabilities And Equity</t>
  </si>
  <si>
    <t>Supplemental Items</t>
  </si>
  <si>
    <t>Total Shares Out. on Filing Date</t>
  </si>
  <si>
    <t>NA</t>
  </si>
  <si>
    <t>Total Shares Out. on Balance Sheet Date</t>
  </si>
  <si>
    <t>Book Value/Share</t>
  </si>
  <si>
    <t>Tangible Book Value</t>
  </si>
  <si>
    <t>Tangible Book Value/Share</t>
  </si>
  <si>
    <t>Total Debt</t>
  </si>
  <si>
    <t>Net Debt</t>
  </si>
  <si>
    <t>Debt Equiv. of Unfunded Proj. Benefit Obligation</t>
  </si>
  <si>
    <t>Debt Equivalent Oper. Leases</t>
  </si>
  <si>
    <t>Equity Method Investments</t>
  </si>
  <si>
    <t>Inventory Method</t>
  </si>
  <si>
    <t>Machinery</t>
  </si>
  <si>
    <t>Leasehold Improvements</t>
  </si>
  <si>
    <t>Full Time Employees</t>
  </si>
  <si>
    <t>Filing Date</t>
  </si>
  <si>
    <t>Restatement Type</t>
  </si>
  <si>
    <t>NC</t>
  </si>
  <si>
    <t>P</t>
  </si>
  <si>
    <t>O</t>
  </si>
  <si>
    <t>Calculation Type</t>
  </si>
  <si>
    <t>RUP</t>
  </si>
  <si>
    <t>REP</t>
  </si>
  <si>
    <t xml:space="preserve">Currency - USD </t>
  </si>
  <si>
    <t>Cash and Cash EQ</t>
  </si>
  <si>
    <t>Year</t>
  </si>
  <si>
    <t>Cash/Revenue</t>
  </si>
  <si>
    <t xml:space="preserve">Average </t>
  </si>
  <si>
    <t>Recievables</t>
  </si>
  <si>
    <t>Total Receivables</t>
  </si>
  <si>
    <t>Receivables/Revenue</t>
  </si>
  <si>
    <t>Average Rec/Rev</t>
  </si>
  <si>
    <t xml:space="preserve">Revenue Growth </t>
  </si>
  <si>
    <t>Receivable Growth</t>
  </si>
  <si>
    <t xml:space="preserve">Total Current Assets </t>
  </si>
  <si>
    <t xml:space="preserve">Revenue </t>
  </si>
  <si>
    <t xml:space="preserve">Current Asset / Revenue </t>
  </si>
  <si>
    <t xml:space="preserve">Prepaid Expenses </t>
  </si>
  <si>
    <t xml:space="preserve">Prepaid / Revenue </t>
  </si>
  <si>
    <t>Net PPE</t>
  </si>
  <si>
    <t xml:space="preserve">  PPE/Revenue</t>
  </si>
  <si>
    <t>Average</t>
  </si>
  <si>
    <t xml:space="preserve">Net PPE  </t>
  </si>
  <si>
    <t xml:space="preserve">Accounts Payable </t>
  </si>
  <si>
    <t xml:space="preserve">Other Expenses </t>
  </si>
  <si>
    <t>AccPay/Expenses</t>
  </si>
  <si>
    <t xml:space="preserve">Accrued Exp. </t>
  </si>
  <si>
    <t>Cost</t>
  </si>
  <si>
    <t xml:space="preserve">Exp. </t>
  </si>
  <si>
    <t xml:space="preserve">EFN </t>
  </si>
  <si>
    <t>EFN</t>
  </si>
  <si>
    <t>WACC</t>
  </si>
  <si>
    <t>E/V</t>
  </si>
  <si>
    <t>D/V</t>
  </si>
  <si>
    <t>r_E</t>
  </si>
  <si>
    <t>r_D</t>
  </si>
  <si>
    <t>t</t>
  </si>
  <si>
    <t>CAPM</t>
  </si>
  <si>
    <t>CAPM Beta</t>
  </si>
  <si>
    <t>Rf</t>
  </si>
  <si>
    <t>E[Rm - Rf]</t>
  </si>
  <si>
    <t>NeoGames S.A. (NasdaqGM:NGMS) &gt; Financials &gt; Key Stats</t>
  </si>
  <si>
    <t>In Millions of the trading currency, except per share items.</t>
  </si>
  <si>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</si>
  <si>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</si>
  <si>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</si>
  <si>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</si>
  <si>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</si>
  <si>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</si>
  <si>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</si>
  <si>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</si>
  <si>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</si>
  <si>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</si>
  <si>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</si>
  <si>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</si>
  <si>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</si>
  <si>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</si>
  <si>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12 months
Dec-31-2018A</t>
  </si>
  <si>
    <t>12 months
Dec-31-2019A</t>
  </si>
  <si>
    <t>12 months
Dec-31-2020A</t>
  </si>
  <si>
    <t>12 months
Dec-31-2021A</t>
  </si>
  <si>
    <t>12 months
Dec-31-2022A</t>
  </si>
  <si>
    <t>LTM²
Press Release
12 months
Mar-31-2023A</t>
  </si>
  <si>
    <t>12 months†
Dec-31-2023E</t>
  </si>
  <si>
    <t>Total Revenue</t>
  </si>
  <si>
    <t xml:space="preserve">  Growth Over Prior Year</t>
  </si>
  <si>
    <t>Gross Profit</t>
  </si>
  <si>
    <t xml:space="preserve">  Margin %</t>
  </si>
  <si>
    <t>EBITDA</t>
  </si>
  <si>
    <t>EBIT</t>
  </si>
  <si>
    <t>Earnings from Cont. Ops.</t>
  </si>
  <si>
    <t>Net Income</t>
  </si>
  <si>
    <t>Diluted EPS Excl. Extra Items³</t>
  </si>
  <si>
    <t>NM</t>
  </si>
  <si>
    <t>Exchange Rate</t>
  </si>
  <si>
    <t>Conversion Method</t>
  </si>
  <si>
    <t>H</t>
  </si>
  <si>
    <t>S</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</si>
  <si>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</si>
  <si>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</si>
  <si>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³All forward period figures are consensus mean estimates provided by the brokers and may not be on a comparable basis as financials.</t>
  </si>
  <si>
    <t>†Growth rates for forward periods are calculated against prior period estimates or actual pro forma results as disclosed on the Estimates Consensus page.</t>
  </si>
  <si>
    <t>Growth Rates are calculated in originally reported currency only and will not reflect any currency conversion selected above.</t>
  </si>
  <si>
    <t>Current Capitalization (Millions of USD)</t>
  </si>
  <si>
    <t>Share Price</t>
  </si>
  <si>
    <t>Shares Out.</t>
  </si>
  <si>
    <t>Market Capitalization</t>
  </si>
  <si>
    <t>- Cash &amp; Short Term Investments</t>
  </si>
  <si>
    <t>+ Total Debt</t>
  </si>
  <si>
    <t>+ Pref. Equity</t>
  </si>
  <si>
    <t>+ Total Minority Interest</t>
  </si>
  <si>
    <t>- Long Term Marketable Securities</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</si>
  <si>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</si>
  <si>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</si>
  <si>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</si>
  <si>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</si>
  <si>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</si>
  <si>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</si>
  <si>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</si>
  <si>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</si>
  <si>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</si>
  <si>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Press Release
12 months
Mar-31-2023A</t>
  </si>
  <si>
    <t>12 months
Dec-31-2023E</t>
  </si>
  <si>
    <t>12 months
Dec-31-2024E</t>
  </si>
  <si>
    <t>12 months
Dec-31-2025E</t>
  </si>
  <si>
    <t>TEV/Total Revenue</t>
  </si>
  <si>
    <t>TEV/EBITDA</t>
  </si>
  <si>
    <t>TEV/EBIT</t>
  </si>
  <si>
    <t>P/Diluted EPS Before Extra</t>
  </si>
  <si>
    <t>P/BV</t>
  </si>
  <si>
    <t>Price/Tang BV</t>
  </si>
  <si>
    <t xml:space="preserve">
               </t>
  </si>
  <si>
    <t>NeoGames S.A. (NasdaqGM:NGMS) &gt; Financials &gt; Income Statement</t>
  </si>
  <si>
    <t>In Millions of the reported currency, except per share items.</t>
  </si>
  <si>
    <t>Template:</t>
  </si>
  <si>
    <t>Standard</t>
  </si>
  <si>
    <t>Restatement:</t>
  </si>
  <si>
    <t>Latest Filings</t>
  </si>
  <si>
    <t>Period Type:</t>
  </si>
  <si>
    <t>Annual</t>
  </si>
  <si>
    <t>Reported Currency</t>
  </si>
  <si>
    <t>Source:</t>
  </si>
  <si>
    <t>Capital IQ &amp; Proprietary Data</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</si>
  <si>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</si>
  <si>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</si>
  <si>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</si>
  <si>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</si>
  <si>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</si>
  <si>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</si>
  <si>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</si>
  <si>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</si>
  <si>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</si>
  <si>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</si>
  <si>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</si>
  <si>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</si>
  <si>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</si>
  <si>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EBITA</t>
  </si>
  <si>
    <t>EBITDAR</t>
  </si>
  <si>
    <t>Effective Tax Rate %</t>
  </si>
  <si>
    <t>Total Current Taxes</t>
  </si>
  <si>
    <t>Total Deferred Taxes</t>
  </si>
  <si>
    <t>Normalized Net Income</t>
  </si>
  <si>
    <t>Interest on Long Term Debt</t>
  </si>
  <si>
    <t>LTM</t>
  </si>
  <si>
    <t>Supplemental Operating Expense Items</t>
  </si>
  <si>
    <t>Selling and Marketing Exp.</t>
  </si>
  <si>
    <t>General and Administrative Exp.</t>
  </si>
  <si>
    <t>R&amp;D Exp.</t>
  </si>
  <si>
    <t>Net Rental Exp.</t>
  </si>
  <si>
    <t>Imputed Oper. Lease Interest Exp.</t>
  </si>
  <si>
    <t>Imputed Oper. Lease Depreciation</t>
  </si>
  <si>
    <t>Stock-Based Comp., Unallocated</t>
  </si>
  <si>
    <t xml:space="preserve">  Stock-Based Comp., Total</t>
  </si>
  <si>
    <t>Note: For multiple class companies, per share items are primary class equivalent, and for foreign companies listed as primary ADRs, per share items are ADR-equivalent.</t>
  </si>
  <si>
    <t>Data items have been saved at different times with multiple currencies. Values are converted where necessary to the most common currency of the filing.</t>
  </si>
  <si>
    <t>NeoGames S.A. (NasdaqGM:NGMS) &gt; Financials &gt; Balance Sheet</t>
  </si>
  <si>
    <t>Note: For multiple class companies, total share counts are primary class equivalent, and for foreign companies listed as primary ADRs, total share counts are ADR-equivalent.</t>
  </si>
  <si>
    <t>NeoGames S.A. (NasdaqGM:NGMS) &gt; Financials &gt; Cash Flow</t>
  </si>
  <si>
    <t>Cash Flow</t>
  </si>
  <si>
    <t>Restated
12 months
Dec-31-2019</t>
  </si>
  <si>
    <t>Restated
12 months
Dec-31-2020</t>
  </si>
  <si>
    <t>Restated
12 months
Dec-31-2021</t>
  </si>
  <si>
    <t>Amort. of Goodwill and Intangibles</t>
  </si>
  <si>
    <t>Depreciation &amp; Amort., Total</t>
  </si>
  <si>
    <t>Other Amortization</t>
  </si>
  <si>
    <t>(Gain) Loss From Sale Of Assets</t>
  </si>
  <si>
    <t>(Income) Loss on Equity Invest.</t>
  </si>
  <si>
    <t>Stock-Based Compensation</t>
  </si>
  <si>
    <t>Other Operating Activities</t>
  </si>
  <si>
    <t>Change in Acc. Receivable</t>
  </si>
  <si>
    <t>Change in Acc. Payable</t>
  </si>
  <si>
    <t>Change in Other Net Operating Assets</t>
  </si>
  <si>
    <t xml:space="preserve">  Cash from Ops.</t>
  </si>
  <si>
    <t>Capital Expenditure</t>
  </si>
  <si>
    <t>Cash Acquisitions</t>
  </si>
  <si>
    <t>Divestitures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</si>
  <si>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</si>
  <si>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</si>
  <si>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</si>
  <si>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</si>
  <si>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</si>
  <si>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</si>
  <si>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</si>
  <si>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</si>
  <si>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</si>
  <si>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</si>
  <si>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</si>
  <si>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</si>
  <si>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Total Dividends Paid</t>
  </si>
  <si>
    <t>Special Dividend Paid</t>
  </si>
  <si>
    <t>Other Financing Activities</t>
  </si>
  <si>
    <t xml:space="preserve">  Cash from Financing</t>
  </si>
  <si>
    <t>Foreign Exchange Rate Adj.</t>
  </si>
  <si>
    <t xml:space="preserve">  Net Change in Cash</t>
  </si>
  <si>
    <t>Cash Interest Paid</t>
  </si>
  <si>
    <t>Cash Taxes Paid</t>
  </si>
  <si>
    <t>Levered Free Cash Flow</t>
  </si>
  <si>
    <t>Unlevered Free Cash Flow</t>
  </si>
  <si>
    <t>Change in Net Working Capital</t>
  </si>
  <si>
    <t>Net Debt Issued</t>
  </si>
  <si>
    <t>RS</t>
  </si>
  <si>
    <t>NV</t>
  </si>
  <si>
    <t>NeoGames S.A. (NasdaqGM:NGMS) &gt; Financials &gt; Multiples</t>
  </si>
  <si>
    <t>View:</t>
  </si>
  <si>
    <t>Data</t>
  </si>
  <si>
    <t>Frequency:</t>
  </si>
  <si>
    <t>Quarterly</t>
  </si>
  <si>
    <t>Multiples Detail
                     In Millions of the reported currency, except per share items.</t>
  </si>
  <si>
    <t>For Quarter Ending</t>
  </si>
  <si>
    <t>TEV/LTM Total Revenue</t>
  </si>
  <si>
    <t>High</t>
  </si>
  <si>
    <t>Low</t>
  </si>
  <si>
    <t>Close</t>
  </si>
  <si>
    <t>TEV/NTM Total Revenues</t>
  </si>
  <si>
    <t>TEV/LTM EBITDA</t>
  </si>
  <si>
    <t>TEV/NTM EBITDA</t>
  </si>
  <si>
    <t>TEV/LTM EBIT</t>
  </si>
  <si>
    <t>TEV/NTM EBIT</t>
  </si>
  <si>
    <t>P/LTM EPS</t>
  </si>
  <si>
    <t>P/NTM EPS</t>
  </si>
  <si>
    <t>P/LTM Normalized EPS</t>
  </si>
  <si>
    <t>P/Tangible BV</t>
  </si>
  <si>
    <t>P/NTM CFPS</t>
  </si>
  <si>
    <t>Average multiples are calculated using positive close values on each trading day within the frequency periods selected. Negative values are excluded from the calculation. When the Multiples are not meaningful, due to negative values, then they will not be displayed in the chart.</t>
  </si>
  <si>
    <t>When a mismatch exists between the currency of the equity listing and the reported financial results such results are translated into the currency of the listing at the exchange rate applicable on the financial period end date.</t>
  </si>
  <si>
    <t>Historical Equity Pricing Data supplied by Interactive Data Pricing and Reference Data LLC</t>
  </si>
  <si>
    <t>NeoGames S.A. (NasdaqGM:NGMS) &gt; Financials &gt; Historical Capitalization</t>
  </si>
  <si>
    <t>Historical Capitalization</t>
  </si>
  <si>
    <t>Pricing as of*</t>
  </si>
  <si>
    <t>Capitalization Detail</t>
  </si>
  <si>
    <t>* Pricing as of the filing date of the balance sheet period end date. For TEV calculation purposes on this page Capital IQ only uses balance sheet components from the original filing that is publicly available as of a given pricing date and does not use restated balance sheet data from a later filing. In the cases where a company did not disclose balance sheet values for a particular period, TEV is calculated using balance sheet components from the last reported balance sheet as of this date. The table above is organized along period end dates.</t>
  </si>
  <si>
    <t>** 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</si>
  <si>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NeoGames S.A. (NasdaqGM:NGMS) &gt; Financials &gt; Capital Structure Summary</t>
  </si>
  <si>
    <t>In Millions of the reported currency, except ratios and % of Total values.</t>
  </si>
  <si>
    <t>Capital Structure Data</t>
  </si>
  <si>
    <t xml:space="preserve"> For the Fiscal Period Ending
</t>
  </si>
  <si>
    <t xml:space="preserve"> 12 months Dec-31-2018</t>
  </si>
  <si>
    <t xml:space="preserve"> 12 months Dec-31-2019</t>
  </si>
  <si>
    <t xml:space="preserve"> 12 months Dec-31-2020</t>
  </si>
  <si>
    <t xml:space="preserve"> 12 months Dec-31-2021</t>
  </si>
  <si>
    <t xml:space="preserve"> 12 months Dec-31-2022</t>
  </si>
  <si>
    <t xml:space="preserve"> Currency</t>
  </si>
  <si>
    <t xml:space="preserve"> USD</t>
  </si>
  <si>
    <t xml:space="preserve"> Units</t>
  </si>
  <si>
    <t xml:space="preserve"> Millions</t>
  </si>
  <si>
    <t>% of Total</t>
  </si>
  <si>
    <t>Total Common Equity</t>
  </si>
  <si>
    <t xml:space="preserve">  Total Capital</t>
  </si>
  <si>
    <t>Debt Summary Data</t>
  </si>
  <si>
    <t>Total Revolving Credit</t>
  </si>
  <si>
    <t>Total Term Loans</t>
  </si>
  <si>
    <t>Total Senior Bonds and Notes</t>
  </si>
  <si>
    <t>Total Lease Liabilities</t>
  </si>
  <si>
    <t>General/Other Borrowings</t>
  </si>
  <si>
    <t xml:space="preserve">  Total Principal Due</t>
  </si>
  <si>
    <t>Total Unamortized Discount</t>
  </si>
  <si>
    <t>Total Adjustments</t>
  </si>
  <si>
    <t xml:space="preserve">  Total Debt Outstanding</t>
  </si>
  <si>
    <t>Additional Totals</t>
  </si>
  <si>
    <t>Total Cash &amp; ST Investments</t>
  </si>
  <si>
    <t>Total Senior Debt</t>
  </si>
  <si>
    <t>Curr. Port. of LT Debt/Cap. Leases</t>
  </si>
  <si>
    <t>Long-Term Debt (Incl. Cap. Leases)</t>
  </si>
  <si>
    <t>Total Bank Debt</t>
  </si>
  <si>
    <t>Total Secured Debt</t>
  </si>
  <si>
    <t>Senior Secured Loans</t>
  </si>
  <si>
    <t>Total Senior Secured Debt</t>
  </si>
  <si>
    <t>Total Unsecured Debt</t>
  </si>
  <si>
    <t>Senior Unsecured Bonds and Notes</t>
  </si>
  <si>
    <t>Fixed Rate Debt</t>
  </si>
  <si>
    <t>Variable Rate Debt</t>
  </si>
  <si>
    <t>Credit Ratios</t>
  </si>
  <si>
    <t>Net Debt/EBITDA</t>
  </si>
  <si>
    <t>Total Debt/EBITDA</t>
  </si>
  <si>
    <t>Total Senior Debt/EBITDA</t>
  </si>
  <si>
    <t>Total Senior Secured/EBITDA</t>
  </si>
  <si>
    <t>Net Debt/(EBITDA-CAPEX)</t>
  </si>
  <si>
    <t>Total Debt/(EBITDA-CAPEX)</t>
  </si>
  <si>
    <t>Total Senior Debt/(EBITDA-CAPEX)</t>
  </si>
  <si>
    <t>Total Senior Secured/(EBITDA-CAPEX)</t>
  </si>
  <si>
    <t>Fixed Payment Schedule</t>
  </si>
  <si>
    <t>LT Debt (Incl. Cap. Leases) Due +1</t>
  </si>
  <si>
    <t>LT Debt (Incl. Cap. Leases) Due, Next 5 Yrs</t>
  </si>
  <si>
    <t>LT Debt (Incl. Cap. Leases) Due, After 5 Yrs</t>
  </si>
  <si>
    <t>Cap. Lease Payment Due +1</t>
  </si>
  <si>
    <t>Cap. Lease Payment Due, Next 5 Yrs</t>
  </si>
  <si>
    <t>Cap. Lease Payment Due, After 5 Yrs</t>
  </si>
  <si>
    <t>Contractual Obligations Due +1</t>
  </si>
  <si>
    <t>Contractual Obligations Due, Next 5 Yrs</t>
  </si>
  <si>
    <t>Total Contractual Obligations</t>
  </si>
  <si>
    <t>Interest Rate Data</t>
  </si>
  <si>
    <t>NeoGames S.A. (NasdaqGM:NGMS) &gt; Financials &gt; Capital Structure Details</t>
  </si>
  <si>
    <t>Principal Due in Millions of the reported currency.</t>
  </si>
  <si>
    <t>A 2022 filed Apr-28-2023</t>
  </si>
  <si>
    <t>FY 2022 (Dec-31-2022) Capital Structure As Reported Details</t>
  </si>
  <si>
    <t>Description</t>
  </si>
  <si>
    <t>Type</t>
  </si>
  <si>
    <t>Principal Due (USD)</t>
  </si>
  <si>
    <t>Coupon/Base Rate</t>
  </si>
  <si>
    <t>Floating Rate</t>
  </si>
  <si>
    <t>Maturity</t>
  </si>
  <si>
    <t>Seniority</t>
  </si>
  <si>
    <t>Secured</t>
  </si>
  <si>
    <t>Convertible</t>
  </si>
  <si>
    <t>Repayment Currency</t>
  </si>
  <si>
    <t>Capital Notes and Accrued Interest Due to Aspire Group</t>
  </si>
  <si>
    <t>Bonds and Notes</t>
  </si>
  <si>
    <t>1.000%</t>
  </si>
  <si>
    <t>Senior</t>
  </si>
  <si>
    <t>No</t>
  </si>
  <si>
    <t>Lease Liabilities</t>
  </si>
  <si>
    <t>Capital Lease</t>
  </si>
  <si>
    <t>Yes</t>
  </si>
  <si>
    <t>Revolving Credit Facility</t>
  </si>
  <si>
    <t>Revolving Credit</t>
  </si>
  <si>
    <t>EURIBOR + 6.250%</t>
  </si>
  <si>
    <t>EUR</t>
  </si>
  <si>
    <t>Term Loan Facility</t>
  </si>
  <si>
    <t>Term Loans</t>
  </si>
  <si>
    <t>Tranche B Loan</t>
  </si>
  <si>
    <t>Tranche C Loan</t>
  </si>
  <si>
    <t>Tranche D Loan</t>
  </si>
  <si>
    <t>Tranche E Loan</t>
  </si>
  <si>
    <t>FY 2021 (Dec-31-2021) Capital Structure As Reported Details</t>
  </si>
  <si>
    <t>NeoGames S.A. (NasdaqGM:NGMS) &gt; Financials &gt; Ratios</t>
  </si>
  <si>
    <t>Ratios</t>
  </si>
  <si>
    <t>Profitability</t>
  </si>
  <si>
    <t xml:space="preserve">  Return on Assets %</t>
  </si>
  <si>
    <t xml:space="preserve">  Return on Capital %</t>
  </si>
  <si>
    <t xml:space="preserve">  Return on Equity %</t>
  </si>
  <si>
    <t xml:space="preserve">  Return on Common Equity %</t>
  </si>
  <si>
    <t>Margin Analysis</t>
  </si>
  <si>
    <t xml:space="preserve">  Gross Margin %</t>
  </si>
  <si>
    <t xml:space="preserve">  SG&amp;A Margin %</t>
  </si>
  <si>
    <t xml:space="preserve">  EBITDA Margin %</t>
  </si>
  <si>
    <t xml:space="preserve">  EBITA Margin %</t>
  </si>
  <si>
    <t xml:space="preserve">  EBIT Margin %</t>
  </si>
  <si>
    <t xml:space="preserve">  Earnings from Cont. Ops Margin %</t>
  </si>
  <si>
    <t xml:space="preserve">  Net Income Margin %</t>
  </si>
  <si>
    <t xml:space="preserve">  Net Income Avail. for Common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</si>
  <si>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</si>
  <si>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</si>
  <si>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</si>
  <si>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</si>
  <si>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</si>
  <si>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</si>
  <si>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 xml:space="preserve">  Accounts Receivable Turnover</t>
  </si>
  <si>
    <t xml:space="preserve">  Inventory Turnover</t>
  </si>
  <si>
    <t>Short Term Liquidity</t>
  </si>
  <si>
    <t xml:space="preserve">  Current Ratio</t>
  </si>
  <si>
    <t xml:space="preserve">  Quick Ratio</t>
  </si>
  <si>
    <t xml:space="preserve">  Cash from Ops. to Curr. Liab.</t>
  </si>
  <si>
    <t xml:space="preserve">  Avg. Days Sales Out.</t>
  </si>
  <si>
    <t xml:space="preserve">  Avg. Days Inventory Out.</t>
  </si>
  <si>
    <t xml:space="preserve">  Avg. Days Payable Out.</t>
  </si>
  <si>
    <t xml:space="preserve">  Avg. Cash Conversion Cycle</t>
  </si>
  <si>
    <t>Long Term Solvency</t>
  </si>
  <si>
    <t xml:space="preserve">  Total Debt/Equity</t>
  </si>
  <si>
    <t xml:space="preserve">  Total Debt/Capital</t>
  </si>
  <si>
    <t xml:space="preserve">  LT Debt/Equity</t>
  </si>
  <si>
    <t xml:space="preserve">  LT Debt/Capital</t>
  </si>
  <si>
    <t xml:space="preserve">  Total Liabilities/Total Assets</t>
  </si>
  <si>
    <t xml:space="preserve">  EBIT / Interest Exp.</t>
  </si>
  <si>
    <t xml:space="preserve">  EBITDA / Interest Exp.</t>
  </si>
  <si>
    <t xml:space="preserve">  (EBITDA-CAPEX) / Interest Exp.</t>
  </si>
  <si>
    <t xml:space="preserve">  Total Debt/EBITDA</t>
  </si>
  <si>
    <t xml:space="preserve">  Net Debt/EBITDA</t>
  </si>
  <si>
    <t xml:space="preserve">  Total Debt/(EBITDA-CAPEX)</t>
  </si>
  <si>
    <t xml:space="preserve">  Net Debt/(EBITDA-CAPEX)</t>
  </si>
  <si>
    <t xml:space="preserve">  Altman Z Score</t>
  </si>
  <si>
    <t>Growth Over Prior Year</t>
  </si>
  <si>
    <t xml:space="preserve">  EBITDA</t>
  </si>
  <si>
    <t xml:space="preserve">  EBITA</t>
  </si>
  <si>
    <t xml:space="preserve">  EBIT</t>
  </si>
  <si>
    <t xml:space="preserve">  Normalized Net Income</t>
  </si>
  <si>
    <t xml:space="preserve">  Diluted EPS before Extra</t>
  </si>
  <si>
    <t xml:space="preserve">  Accounts Receivable</t>
  </si>
  <si>
    <t xml:space="preserve">  Inventory</t>
  </si>
  <si>
    <t xml:space="preserve">  Net PP&amp;E</t>
  </si>
  <si>
    <t xml:space="preserve">  Total Assets</t>
  </si>
  <si>
    <t xml:space="preserve">  Tangible Book Value</t>
  </si>
  <si>
    <t xml:space="preserve">  Common Equity</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</si>
  <si>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</si>
  <si>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</si>
  <si>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</si>
  <si>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</si>
  <si>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</si>
  <si>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</si>
  <si>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</si>
  <si>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Date</t>
  </si>
  <si>
    <t>Adj Close S&amp;P **</t>
  </si>
  <si>
    <t xml:space="preserve">Adj Close NeoGames </t>
  </si>
  <si>
    <t>S&amp;P Return</t>
  </si>
  <si>
    <t xml:space="preserve">Neo Games Return </t>
  </si>
  <si>
    <t xml:space="preserve">For Beta Calculation </t>
  </si>
  <si>
    <t>FCFF</t>
  </si>
  <si>
    <t>EBITDA × (1-t)</t>
  </si>
  <si>
    <r>
      <t xml:space="preserve">t </t>
    </r>
    <r>
      <rPr>
        <sz val="8"/>
        <rFont val="Calibri"/>
        <family val="2"/>
      </rPr>
      <t>× DEP</t>
    </r>
  </si>
  <si>
    <t>FC_INV</t>
  </si>
  <si>
    <t>WC_INV</t>
  </si>
  <si>
    <t>Firm Value</t>
  </si>
  <si>
    <t>FCFE</t>
  </si>
  <si>
    <t>INT × (1-t)</t>
  </si>
  <si>
    <t>Net Borrowing</t>
  </si>
  <si>
    <t>Equity Value</t>
  </si>
  <si>
    <t>Revenue Synergy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</si>
  <si>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</si>
  <si>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</si>
  <si>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</si>
  <si>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</si>
  <si>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</si>
  <si>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</si>
  <si>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</si>
  <si>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</si>
  <si>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</si>
  <si>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</si>
  <si>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</si>
  <si>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</si>
  <si>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</si>
  <si>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</si>
  <si>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</si>
  <si>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</si>
  <si>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</si>
  <si>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</si>
  <si>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</si>
  <si>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</si>
  <si>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</si>
  <si>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</si>
  <si>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</si>
  <si>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</si>
  <si>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</si>
  <si>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 xml:space="preserve">Balance Sheet </t>
  </si>
  <si>
    <t>https://www.marketscreener.com/quote/stock/ARISTOCRAT-LEISURE-LIMITE-6491399/news/Aristocrat-Boosts-Real-Money-Gaming-Strategy-43869765/</t>
  </si>
  <si>
    <t xml:space="preserve">Equity Value </t>
  </si>
  <si>
    <t xml:space="preserve">Debt </t>
  </si>
  <si>
    <t>Based on our Valuation</t>
  </si>
  <si>
    <t xml:space="preserve">Actual Deal </t>
  </si>
  <si>
    <t xml:space="preserve">Share price </t>
  </si>
  <si>
    <t xml:space="preserve">Premium </t>
  </si>
  <si>
    <t>Premium per share</t>
  </si>
  <si>
    <r>
      <t>Equity Value</t>
    </r>
    <r>
      <rPr>
        <sz val="11"/>
        <color theme="1"/>
        <rFont val="Calibri"/>
        <family val="2"/>
        <scheme val="minor"/>
      </rPr>
      <t>*</t>
    </r>
  </si>
  <si>
    <t>*Synergy Included</t>
  </si>
  <si>
    <t>The revenue growth is consistent with other analysts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</si>
</sst>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quot;$&quot;#,##0.00_);[Red]\(&quot;$&quot;#,##0.00\)"/>
    <numFmt numFmtId="165" formatCode="_(&quot;$&quot;* #,##0.00_);_(&quot;$&quot;* \(#,##0.00\);_(&quot;$&quot;* &quot;-&quot;??_);_(@_)"/>
    <numFmt numFmtId="166" formatCode="_(* #,##0.00_);_(* \(#,##0.00\);_(* &quot;-&quot;??_);_(@_)"/>
    <numFmt numFmtId="167" formatCode="_(* #,##0_);_(* \(#,##0\);_(* &quot;-&quot;??_);_(@_)"/>
    <numFmt numFmtId="168" formatCode="_(* #,##0.0_);_(* \(#,##0.0\)_)\ ;_(* 0_)"/>
    <numFmt numFmtId="169" formatCode="_(#,##0.0%_);_(\(#,##0.0%\)_);_(#,##0.0%_)"/>
    <numFmt numFmtId="170" formatCode="_(* #,##0.0#_);_(* \(#,##0.0#\)_)\ ;_(* 0_)"/>
    <numFmt numFmtId="171" formatCode="_(#,##0.00%_);_(\(#,##0.00%\)_);_(#,##0.00%_)"/>
    <numFmt numFmtId="172" formatCode="_(&quot;$&quot;#,##0.0#_);_(\(&quot;$&quot;#,##0.0#\)_);_(&quot;$&quot;&quot; - &quot;_)"/>
    <numFmt numFmtId="173" formatCode="#,##0.0\x"/>
    <numFmt numFmtId="174" formatCode="#,##0.00\x"/>
    <numFmt numFmtId="175" formatCode="mmm\-dd\-yyyy"/>
    <numFmt numFmtId="176" formatCode="[Color10]_(* #,##0.0_);[Color10]_(* \(#,##0.0\)_)\ ;[Color10]_(* 0_)"/>
    <numFmt numFmtId="177" formatCode="[Color10]_(* #,##0.0#_);[Color10]_(* \(#,##0.0#\)_)\ ;[Color10]_(* 0_)"/>
    <numFmt numFmtId="178" formatCode="[Color10]mmm\-dd\-yyyy"/>
    <numFmt numFmtId="179" formatCode="_(* #,##0_);_(* \(#,##0\)_)\ ;_(* 0_)"/>
    <numFmt numFmtId="180" formatCode="_(\ #,##0.0_);_(\ \(#,##0.0\)_);_(\ &quot; - &quot;_)"/>
    <numFmt numFmtId="181" formatCode="_(* #,##0.000_);_(* \(#,##0.000\)_)\ ;_(* 0.00_)"/>
    <numFmt numFmtId="182" formatCode="_(* #,##0.000_);_(* \(#,##0.000\)_)\ ;_(* 0.000_)"/>
    <numFmt numFmtId="183" formatCode="0.0%"/>
    <numFmt numFmtId="184" formatCode="0.000"/>
  </numFmts>
  <fonts count="6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b/>
      <sz val="8"/>
      <color indexed="8"/>
      <name val="Arial"/>
      <family val="2"/>
    </font>
    <font>
      <b/>
      <sz val="8"/>
      <color indexed="17"/>
      <name val="Arial"/>
      <family val="2"/>
    </font>
    <font>
      <sz val="8"/>
      <color indexed="8"/>
      <name val="Arial"/>
      <family val="2"/>
    </font>
    <font>
      <sz val="8"/>
      <color indexed="17"/>
      <name val="Arial"/>
      <family val="2"/>
    </font>
    <font>
      <b/>
      <sz val="8"/>
      <color indexed="9"/>
      <name val="Verdana"/>
      <family val="2"/>
    </font>
    <font>
      <b/>
      <i/>
      <sz val="8"/>
      <color indexed="8"/>
      <name val="Arial"/>
      <family val="2"/>
    </font>
    <font>
      <b/>
      <i/>
      <sz val="8"/>
      <color indexed="17"/>
      <name val="Arial"/>
      <family val="2"/>
    </font>
    <font>
      <b/>
      <u val="double"/>
      <sz val="8"/>
      <color indexed="8"/>
      <name val="Arial"/>
      <family val="2"/>
    </font>
    <font>
      <sz val="8"/>
      <name val="Tahoma"/>
      <family val="2"/>
    </font>
    <font>
      <sz val="10"/>
      <name val="Arial"/>
      <family val="2"/>
    </font>
    <font>
      <sz val="8"/>
      <name val="Calibri"/>
      <family val="2"/>
      <scheme val="minor"/>
    </font>
    <font>
      <u/>
      <sz val="11"/>
      <color theme="10"/>
      <name val="Calibri"/>
      <family val="2"/>
      <scheme val="minor"/>
    </font>
    <font>
      <b/>
      <u val="double"/>
      <sz val="8"/>
      <color indexed="17"/>
      <name val="Arial"/>
      <family val="2"/>
    </font>
    <font>
      <b/>
      <u/>
      <sz val="8"/>
      <color indexed="8"/>
      <name val="Arial"/>
      <family val="2"/>
    </font>
    <font>
      <b/>
      <u/>
      <sz val="8"/>
      <color indexed="17"/>
      <name val="Arial"/>
      <family val="2"/>
    </font>
    <font>
      <b/>
      <sz val="12"/>
      <color theme="1"/>
      <name val="Arial"/>
      <family val="2"/>
    </font>
    <font>
      <sz val="8"/>
      <name val="Arial"/>
      <family val="2"/>
    </font>
    <font>
      <b/>
      <sz val="8"/>
      <name val="Arial"/>
      <family val="2"/>
    </font>
    <font>
      <b/>
      <sz val="8"/>
      <color rgb="FF000000"/>
      <name val="Arial"/>
      <family val="2"/>
    </font>
    <font>
      <sz val="8"/>
      <color rgb="FF000000"/>
      <name val="Arial"/>
      <family val="2"/>
    </font>
    <font>
      <b/>
      <sz val="8"/>
      <color theme="1"/>
      <name val="Verdana"/>
      <family val="2"/>
    </font>
    <font>
      <b/>
      <sz val="13"/>
      <color indexed="8"/>
      <name val="Verdana"/>
      <family val="2"/>
    </font>
    <font>
      <i/>
      <sz val="8"/>
      <name val="Arial"/>
      <family val="2"/>
    </font>
    <font>
      <sz val="1"/>
      <color indexed="9"/>
      <name val="Symbol"/>
      <family val="1"/>
      <charset val="2"/>
    </font>
    <font>
      <i/>
      <sz val="8"/>
      <color indexed="8"/>
      <name val="Arial"/>
      <family val="2"/>
    </font>
    <font>
      <b/>
      <u val="singleAccounting"/>
      <sz val="8"/>
      <color indexed="9"/>
      <name val="Verdana"/>
      <family val="2"/>
    </font>
    <font>
      <b/>
      <u val="singleAccounting"/>
      <sz val="8"/>
      <color indexed="8"/>
      <name val="Arial"/>
      <family val="2"/>
    </font>
    <font>
      <b/>
      <i/>
      <sz val="8"/>
      <name val="Arial"/>
      <family val="2"/>
    </font>
    <font>
      <sz val="9"/>
      <color theme="1"/>
      <name val="Arial"/>
      <family val="2"/>
    </font>
    <font>
      <sz val="7"/>
      <color rgb="FF232A31"/>
      <name val="Arial"/>
      <family val="2"/>
    </font>
    <font>
      <b/>
      <sz val="7"/>
      <color rgb="FF232A31"/>
      <name val="Arial"/>
      <family val="2"/>
    </font>
    <font>
      <sz val="8"/>
      <name val="Calibri"/>
      <family val="2"/>
    </font>
    <font>
      <b/>
      <sz val="11"/>
      <color theme="1"/>
      <name val="Arial"/>
      <family val="2"/>
    </font>
    <font>
      <b/>
      <sz val="11"/>
      <name val="Arial"/>
      <family val="2"/>
    </font>
    <font>
      <i/>
      <sz val="11"/>
      <color theme="1"/>
      <name val="Calibri"/>
      <family val="2"/>
      <scheme val="minor"/>
    </font>
    <font>
      <b/>
      <sz val="8"/>
      <color theme="1"/>
      <name val="Calibri"/>
      <family val="2"/>
      <scheme val="minor"/>
    </font>
    <font>
      <b/>
      <sz val="8"/>
      <color indexed="8"/>
      <name val="Calibri"/>
      <family val="2"/>
      <scheme val="minor"/>
    </font>
    <font>
      <b/>
      <i/>
      <sz val="8"/>
      <name val="Calibri"/>
      <family val="2"/>
      <scheme val="minor"/>
    </font>
    <font>
      <b/>
      <sz val="8"/>
      <name val="Calibri"/>
      <family val="2"/>
      <scheme val="minor"/>
    </font>
    <font>
      <b/>
      <sz val="8"/>
      <color indexed="9"/>
      <name val="Calibri"/>
      <family val="2"/>
      <scheme val="minor"/>
    </font>
    <font>
      <sz val="8"/>
      <color indexed="8"/>
      <name val="Calibri"/>
      <family val="2"/>
      <scheme val="minor"/>
    </font>
    <font>
      <b/>
      <u val="double"/>
      <sz val="8"/>
      <color indexed="8"/>
      <name val="Calibri"/>
      <family val="2"/>
      <scheme val="minor"/>
    </font>
    <font>
      <b/>
      <u/>
      <sz val="8"/>
      <color indexed="8"/>
      <name val="Calibri"/>
      <family val="2"/>
      <scheme val="minor"/>
    </font>
    <font>
      <i/>
      <sz val="9"/>
      <color theme="1"/>
      <name val="Calibri"/>
      <family val="2"/>
      <scheme val="minor"/>
    </font>
    <font>
      <b/>
      <sz val="11"/>
      <name val="Calibri"/>
      <family val="2"/>
      <scheme val="minor"/>
    </font>
  </fonts>
  <fills count="14">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FFFF00"/>
        <bgColor indexed="64"/>
      </patternFill>
    </fill>
    <fill>
      <patternFill patternType="solid">
        <fgColor rgb="FFF8CBAD"/>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FFFFFF"/>
        <bgColor indexed="64"/>
      </patternFill>
    </fill>
    <fill>
      <patternFill patternType="solid">
        <fgColor theme="5" tint="0.59999389629810485"/>
        <bgColor indexed="64"/>
      </patternFill>
    </fill>
  </fills>
  <borders count="38">
    <border>
      <left/>
      <right/>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diagonal/>
    </border>
    <border>
      <left/>
      <right/>
      <top style="thin">
        <color indexed="8"/>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8"/>
      </top>
      <bottom style="thin">
        <color indexed="64"/>
      </bottom>
      <diagonal/>
    </border>
    <border>
      <left/>
      <right/>
      <top style="medium">
        <color rgb="FF000000"/>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24">
    <xf numFmtId="0" fontId="0" fillId="0" borderId="0"/>
    <xf numFmtId="166"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applyAlignment="0"/>
    <xf numFmtId="0" fontId="5" fillId="0" borderId="0" applyAlignment="0"/>
    <xf numFmtId="0" fontId="6" fillId="2" borderId="0" applyAlignment="0"/>
    <xf numFmtId="0" fontId="7" fillId="3" borderId="0" applyAlignment="0"/>
    <xf numFmtId="0" fontId="8" fillId="4" borderId="0" applyAlignment="0"/>
    <xf numFmtId="0" fontId="9" fillId="5" borderId="0" applyAlignment="0"/>
    <xf numFmtId="0" fontId="10" fillId="0" borderId="0" applyAlignment="0"/>
    <xf numFmtId="0" fontId="11" fillId="0" borderId="0" applyAlignment="0"/>
    <xf numFmtId="0" fontId="12" fillId="0" borderId="0" applyAlignment="0"/>
    <xf numFmtId="0" fontId="13" fillId="0" borderId="0" applyAlignment="0"/>
    <xf numFmtId="0" fontId="14" fillId="0" borderId="0" applyAlignment="0"/>
    <xf numFmtId="0" fontId="13" fillId="0" borderId="0" applyAlignment="0">
      <alignment wrapText="1"/>
    </xf>
    <xf numFmtId="0" fontId="15" fillId="0" borderId="0" applyAlignment="0"/>
    <xf numFmtId="0" fontId="16" fillId="0" borderId="0" applyAlignment="0"/>
    <xf numFmtId="0" fontId="17" fillId="0" borderId="0" applyAlignment="0"/>
    <xf numFmtId="9" fontId="27" fillId="0" borderId="0" applyFont="0" applyFill="0" applyBorder="0" applyAlignment="0" applyProtection="0"/>
    <xf numFmtId="0" fontId="29" fillId="0" borderId="0" applyNumberFormat="0" applyFill="0" applyBorder="0" applyAlignment="0" applyProtection="0"/>
    <xf numFmtId="0" fontId="27" fillId="0" borderId="0"/>
    <xf numFmtId="0" fontId="41" fillId="0" borderId="0" applyAlignment="0"/>
    <xf numFmtId="166" fontId="27" fillId="0" borderId="0" applyFont="0" applyFill="0" applyBorder="0" applyAlignment="0" applyProtection="0"/>
  </cellStyleXfs>
  <cellXfs count="285">
    <xf numFmtId="0" fontId="0" fillId="0" borderId="0" xfId="0"/>
    <xf numFmtId="0" fontId="0" fillId="0" borderId="3" xfId="0" applyBorder="1"/>
    <xf numFmtId="0" fontId="0" fillId="0" borderId="13" xfId="0" applyBorder="1"/>
    <xf numFmtId="0" fontId="18" fillId="0" borderId="0" xfId="0" applyFont="1" applyAlignment="1">
      <alignment horizontal="left" vertical="top"/>
    </xf>
    <xf numFmtId="0" fontId="0" fillId="0" borderId="3" xfId="0" applyBorder="1" applyAlignment="1">
      <alignment horizontal="center" vertical="center" wrapText="1"/>
    </xf>
    <xf numFmtId="0" fontId="18" fillId="0" borderId="3" xfId="0" applyFont="1" applyBorder="1" applyAlignment="1">
      <alignment horizontal="left" vertical="top"/>
    </xf>
    <xf numFmtId="168" fontId="18" fillId="0" borderId="3" xfId="0" applyNumberFormat="1" applyFont="1" applyBorder="1" applyAlignment="1">
      <alignment horizontal="right" vertical="top" wrapText="1"/>
    </xf>
    <xf numFmtId="0" fontId="18" fillId="0" borderId="15" xfId="0" applyFont="1" applyBorder="1" applyAlignment="1">
      <alignment horizontal="left" vertical="top"/>
    </xf>
    <xf numFmtId="0" fontId="18" fillId="0" borderId="3" xfId="0" applyFont="1" applyBorder="1" applyAlignment="1">
      <alignment horizontal="center" vertical="center"/>
    </xf>
    <xf numFmtId="168" fontId="18" fillId="0" borderId="3" xfId="0" applyNumberFormat="1" applyFont="1" applyBorder="1" applyAlignment="1">
      <alignment horizontal="center" vertical="center" wrapText="1"/>
    </xf>
    <xf numFmtId="166" fontId="0" fillId="0" borderId="3" xfId="0" applyNumberFormat="1" applyBorder="1"/>
    <xf numFmtId="0" fontId="2" fillId="0" borderId="3" xfId="0" applyFont="1" applyBorder="1" applyAlignment="1">
      <alignment horizontal="center" vertical="center" wrapText="1"/>
    </xf>
    <xf numFmtId="166" fontId="2" fillId="0" borderId="3" xfId="0" applyNumberFormat="1" applyFont="1" applyBorder="1"/>
    <xf numFmtId="168" fontId="20" fillId="0" borderId="2" xfId="0" applyNumberFormat="1" applyFont="1" applyBorder="1" applyAlignment="1">
      <alignment horizontal="right" vertical="top" wrapText="1"/>
    </xf>
    <xf numFmtId="168" fontId="20" fillId="0" borderId="5" xfId="0" applyNumberFormat="1" applyFont="1" applyBorder="1" applyAlignment="1">
      <alignment horizontal="right" vertical="top" wrapText="1"/>
    </xf>
    <xf numFmtId="168" fontId="20" fillId="0" borderId="20" xfId="0" applyNumberFormat="1" applyFont="1" applyBorder="1" applyAlignment="1">
      <alignment horizontal="right" vertical="top" wrapText="1"/>
    </xf>
    <xf numFmtId="0" fontId="18" fillId="0" borderId="16" xfId="0" applyFont="1" applyBorder="1" applyAlignment="1">
      <alignment horizontal="left" vertical="top"/>
    </xf>
    <xf numFmtId="0" fontId="18" fillId="0" borderId="16" xfId="0" applyFont="1" applyBorder="1" applyAlignment="1">
      <alignment horizontal="left" vertical="top" indent="1"/>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2" fillId="0" borderId="24" xfId="0" applyFont="1" applyBorder="1" applyAlignment="1">
      <alignment horizontal="center" vertical="center"/>
    </xf>
    <xf numFmtId="0" fontId="18" fillId="0" borderId="7" xfId="0" applyFont="1" applyBorder="1" applyAlignment="1">
      <alignment horizontal="center" vertical="center"/>
    </xf>
    <xf numFmtId="168" fontId="18" fillId="0" borderId="22" xfId="0" applyNumberFormat="1" applyFont="1" applyBorder="1" applyAlignment="1">
      <alignment horizontal="center" vertical="center" wrapText="1"/>
    </xf>
    <xf numFmtId="168" fontId="18" fillId="0" borderId="23" xfId="0" applyNumberFormat="1" applyFont="1" applyBorder="1" applyAlignment="1">
      <alignment horizontal="center" vertical="center" wrapText="1"/>
    </xf>
    <xf numFmtId="168" fontId="18" fillId="0" borderId="24" xfId="0" applyNumberFormat="1" applyFont="1" applyBorder="1" applyAlignment="1">
      <alignment horizontal="center" vertical="center" wrapText="1"/>
    </xf>
    <xf numFmtId="168" fontId="20" fillId="0" borderId="21" xfId="0" applyNumberFormat="1" applyFont="1" applyBorder="1" applyAlignment="1">
      <alignment horizontal="center" vertical="center" wrapText="1"/>
    </xf>
    <xf numFmtId="168" fontId="20" fillId="0" borderId="20" xfId="0" applyNumberFormat="1" applyFont="1" applyBorder="1" applyAlignment="1">
      <alignment horizontal="center" vertical="center" wrapText="1"/>
    </xf>
    <xf numFmtId="0" fontId="0" fillId="0" borderId="21" xfId="0" applyBorder="1" applyAlignment="1">
      <alignment horizontal="center" vertical="center"/>
    </xf>
    <xf numFmtId="168" fontId="20" fillId="0" borderId="4" xfId="0" applyNumberFormat="1" applyFont="1" applyBorder="1" applyAlignment="1">
      <alignment horizontal="center" vertical="center" wrapText="1"/>
    </xf>
    <xf numFmtId="168" fontId="20" fillId="0" borderId="2" xfId="0" applyNumberFormat="1" applyFont="1" applyBorder="1" applyAlignment="1">
      <alignment horizontal="center" vertical="center" wrapText="1"/>
    </xf>
    <xf numFmtId="0" fontId="0" fillId="0" borderId="4" xfId="0" applyBorder="1" applyAlignment="1">
      <alignment horizontal="center" vertical="center"/>
    </xf>
    <xf numFmtId="181" fontId="20" fillId="0" borderId="6" xfId="0" applyNumberFormat="1" applyFont="1" applyBorder="1" applyAlignment="1">
      <alignment horizontal="center" vertical="center" wrapText="1"/>
    </xf>
    <xf numFmtId="168" fontId="20" fillId="0" borderId="3" xfId="0" applyNumberFormat="1" applyFont="1" applyBorder="1" applyAlignment="1">
      <alignment horizontal="center" vertical="center" wrapText="1"/>
    </xf>
    <xf numFmtId="0" fontId="29" fillId="0" borderId="0" xfId="20"/>
    <xf numFmtId="0" fontId="34" fillId="0" borderId="0" xfId="0" applyFont="1"/>
    <xf numFmtId="0" fontId="35" fillId="8" borderId="3" xfId="3" applyFont="1" applyFill="1" applyBorder="1" applyAlignment="1">
      <alignment horizontal="center" vertical="center"/>
    </xf>
    <xf numFmtId="0" fontId="36" fillId="0" borderId="3" xfId="0" applyFont="1" applyBorder="1" applyAlignment="1">
      <alignment horizontal="center" vertical="center"/>
    </xf>
    <xf numFmtId="168" fontId="37" fillId="0" borderId="3" xfId="0" applyNumberFormat="1" applyFont="1" applyBorder="1" applyAlignment="1">
      <alignment horizontal="center" vertical="center" wrapText="1"/>
    </xf>
    <xf numFmtId="168" fontId="34" fillId="0" borderId="3" xfId="0" applyNumberFormat="1" applyFont="1" applyBorder="1"/>
    <xf numFmtId="0" fontId="35" fillId="0" borderId="0" xfId="0" applyFont="1"/>
    <xf numFmtId="0" fontId="35" fillId="8" borderId="3" xfId="3" applyFont="1" applyFill="1" applyBorder="1"/>
    <xf numFmtId="0" fontId="18" fillId="0" borderId="3" xfId="21" applyFont="1" applyBorder="1" applyAlignment="1">
      <alignment horizontal="left" vertical="top"/>
    </xf>
    <xf numFmtId="0" fontId="35" fillId="8" borderId="3" xfId="3" applyFont="1" applyFill="1" applyBorder="1" applyAlignment="1">
      <alignment horizontal="center"/>
    </xf>
    <xf numFmtId="168" fontId="18" fillId="0" borderId="3" xfId="0" applyNumberFormat="1" applyFont="1" applyBorder="1" applyAlignment="1">
      <alignment horizontal="center" vertical="top" wrapText="1"/>
    </xf>
    <xf numFmtId="168" fontId="18" fillId="0" borderId="3" xfId="21" applyNumberFormat="1" applyFont="1" applyBorder="1" applyAlignment="1">
      <alignment horizontal="right" vertical="top" wrapText="1"/>
    </xf>
    <xf numFmtId="10" fontId="34" fillId="8" borderId="3" xfId="19" applyNumberFormat="1" applyFont="1" applyFill="1" applyBorder="1" applyAlignment="1">
      <alignment horizontal="center" vertical="center"/>
    </xf>
    <xf numFmtId="10" fontId="34" fillId="8" borderId="3" xfId="3" applyNumberFormat="1" applyFont="1" applyFill="1" applyBorder="1"/>
    <xf numFmtId="9" fontId="34" fillId="8" borderId="3" xfId="19" applyFont="1" applyFill="1" applyBorder="1"/>
    <xf numFmtId="0" fontId="34" fillId="8" borderId="0" xfId="3" applyFont="1" applyFill="1"/>
    <xf numFmtId="9" fontId="34" fillId="8" borderId="0" xfId="19" applyFont="1" applyFill="1"/>
    <xf numFmtId="0" fontId="18" fillId="0" borderId="3" xfId="21" applyFont="1" applyBorder="1" applyAlignment="1">
      <alignment horizontal="center" vertical="center"/>
    </xf>
    <xf numFmtId="182" fontId="18" fillId="0" borderId="3" xfId="0" applyNumberFormat="1" applyFont="1" applyBorder="1" applyAlignment="1">
      <alignment horizontal="right" vertical="top" wrapText="1"/>
    </xf>
    <xf numFmtId="168" fontId="20" fillId="0" borderId="3" xfId="21" applyNumberFormat="1" applyFont="1" applyBorder="1" applyAlignment="1">
      <alignment horizontal="right" vertical="top" wrapText="1"/>
    </xf>
    <xf numFmtId="0" fontId="20" fillId="0" borderId="3" xfId="0" applyFont="1" applyBorder="1" applyAlignment="1">
      <alignment horizontal="center" vertical="center" wrapText="1"/>
    </xf>
    <xf numFmtId="183" fontId="34" fillId="8" borderId="3" xfId="19" applyNumberFormat="1" applyFont="1" applyFill="1" applyBorder="1"/>
    <xf numFmtId="168" fontId="20" fillId="8" borderId="3" xfId="3" applyNumberFormat="1" applyFont="1" applyFill="1" applyBorder="1" applyAlignment="1">
      <alignment horizontal="right" vertical="top" wrapText="1"/>
    </xf>
    <xf numFmtId="0" fontId="33" fillId="0" borderId="0" xfId="0" applyFont="1" applyAlignment="1">
      <alignment horizontal="center" vertical="center"/>
    </xf>
    <xf numFmtId="0" fontId="35" fillId="0" borderId="3" xfId="3" applyFont="1" applyBorder="1" applyAlignment="1">
      <alignment horizontal="center"/>
    </xf>
    <xf numFmtId="0" fontId="18" fillId="0" borderId="3" xfId="21" applyFont="1" applyBorder="1" applyAlignment="1">
      <alignment horizontal="center"/>
    </xf>
    <xf numFmtId="168" fontId="20" fillId="0" borderId="3" xfId="21" applyNumberFormat="1" applyFont="1" applyBorder="1" applyAlignment="1">
      <alignment horizontal="center" vertical="center" wrapText="1"/>
    </xf>
    <xf numFmtId="0" fontId="2" fillId="0" borderId="0" xfId="0" applyFont="1" applyAlignment="1">
      <alignment horizontal="center" vertical="center"/>
    </xf>
    <xf numFmtId="168" fontId="18" fillId="0" borderId="0" xfId="0" applyNumberFormat="1" applyFont="1" applyAlignment="1">
      <alignment horizontal="center" vertical="center" wrapText="1"/>
    </xf>
    <xf numFmtId="168" fontId="20" fillId="0" borderId="0" xfId="0" applyNumberFormat="1" applyFont="1" applyAlignment="1">
      <alignment horizontal="right" vertical="top" wrapText="1"/>
    </xf>
    <xf numFmtId="181" fontId="20" fillId="0" borderId="0" xfId="0" applyNumberFormat="1" applyFont="1" applyAlignment="1">
      <alignment horizontal="center" vertical="center" wrapText="1"/>
    </xf>
    <xf numFmtId="0" fontId="34" fillId="0" borderId="12" xfId="0" applyFont="1" applyBorder="1"/>
    <xf numFmtId="0" fontId="34" fillId="0" borderId="25" xfId="0" applyFont="1" applyBorder="1"/>
    <xf numFmtId="10" fontId="34" fillId="0" borderId="25" xfId="19" applyNumberFormat="1" applyFont="1" applyBorder="1"/>
    <xf numFmtId="10" fontId="34" fillId="0" borderId="25" xfId="0" applyNumberFormat="1" applyFont="1" applyBorder="1"/>
    <xf numFmtId="0" fontId="18" fillId="7" borderId="19" xfId="0" applyFont="1" applyFill="1" applyBorder="1" applyAlignment="1">
      <alignment horizontal="left" vertical="top"/>
    </xf>
    <xf numFmtId="10" fontId="18" fillId="7" borderId="26" xfId="19" applyNumberFormat="1" applyFont="1" applyFill="1" applyBorder="1" applyAlignment="1">
      <alignment horizontal="right" vertical="top" wrapText="1"/>
    </xf>
    <xf numFmtId="183" fontId="34" fillId="0" borderId="25" xfId="19" applyNumberFormat="1" applyFont="1" applyBorder="1"/>
    <xf numFmtId="0" fontId="35" fillId="7" borderId="17" xfId="0" applyFont="1" applyFill="1" applyBorder="1"/>
    <xf numFmtId="10" fontId="35" fillId="7" borderId="18" xfId="19" applyNumberFormat="1" applyFont="1" applyFill="1" applyBorder="1"/>
    <xf numFmtId="0" fontId="39" fillId="0" borderId="0" xfId="21" applyFont="1"/>
    <xf numFmtId="0" fontId="34" fillId="0" borderId="0" xfId="21" applyFont="1"/>
    <xf numFmtId="0" fontId="40" fillId="0" borderId="0" xfId="21" applyFont="1" applyAlignment="1">
      <alignment wrapText="1"/>
    </xf>
    <xf numFmtId="0" fontId="35" fillId="0" borderId="0" xfId="21" applyFont="1"/>
    <xf numFmtId="0" fontId="20" fillId="0" borderId="0" xfId="21" applyFont="1" applyAlignment="1">
      <alignment horizontal="left" vertical="top"/>
    </xf>
    <xf numFmtId="49" fontId="34" fillId="0" borderId="0" xfId="21" applyNumberFormat="1" applyFont="1"/>
    <xf numFmtId="0" fontId="22" fillId="4" borderId="0" xfId="21" applyFont="1" applyFill="1"/>
    <xf numFmtId="0" fontId="41" fillId="0" borderId="0" xfId="22" applyAlignment="1"/>
    <xf numFmtId="0" fontId="18" fillId="5" borderId="0" xfId="21" applyFont="1" applyFill="1" applyAlignment="1">
      <alignment wrapText="1"/>
    </xf>
    <xf numFmtId="0" fontId="18" fillId="5" borderId="0" xfId="21" applyFont="1" applyFill="1" applyAlignment="1">
      <alignment horizontal="right" wrapText="1"/>
    </xf>
    <xf numFmtId="0" fontId="23" fillId="5" borderId="0" xfId="21" applyFont="1" applyFill="1" applyAlignment="1">
      <alignment wrapText="1"/>
    </xf>
    <xf numFmtId="0" fontId="23" fillId="5" borderId="0" xfId="21" applyFont="1" applyFill="1" applyAlignment="1">
      <alignment horizontal="right" wrapText="1"/>
    </xf>
    <xf numFmtId="0" fontId="18" fillId="0" borderId="0" xfId="21" applyFont="1" applyAlignment="1">
      <alignment horizontal="left" vertical="top"/>
    </xf>
    <xf numFmtId="168" fontId="18" fillId="0" borderId="0" xfId="21" applyNumberFormat="1" applyFont="1" applyAlignment="1">
      <alignment horizontal="right" vertical="top" wrapText="1"/>
    </xf>
    <xf numFmtId="170" fontId="18" fillId="0" borderId="0" xfId="21" applyNumberFormat="1" applyFont="1" applyAlignment="1">
      <alignment horizontal="right" vertical="top" wrapText="1"/>
    </xf>
    <xf numFmtId="0" fontId="42" fillId="0" borderId="0" xfId="21" applyFont="1" applyAlignment="1">
      <alignment horizontal="left" vertical="top"/>
    </xf>
    <xf numFmtId="169" fontId="42" fillId="0" borderId="0" xfId="21" applyNumberFormat="1" applyFont="1" applyAlignment="1">
      <alignment horizontal="right" vertical="top" wrapText="1"/>
    </xf>
    <xf numFmtId="171" fontId="42" fillId="0" borderId="0" xfId="21" applyNumberFormat="1" applyFont="1" applyAlignment="1">
      <alignment horizontal="right" vertical="top" wrapText="1"/>
    </xf>
    <xf numFmtId="49" fontId="42" fillId="0" borderId="0" xfId="21" applyNumberFormat="1" applyFont="1" applyAlignment="1">
      <alignment horizontal="right" vertical="top" wrapText="1"/>
    </xf>
    <xf numFmtId="49" fontId="20" fillId="0" borderId="0" xfId="21" applyNumberFormat="1" applyFont="1" applyAlignment="1">
      <alignment horizontal="right" vertical="top" wrapText="1"/>
    </xf>
    <xf numFmtId="168" fontId="20" fillId="0" borderId="0" xfId="21" applyNumberFormat="1" applyFont="1" applyAlignment="1">
      <alignment horizontal="right" vertical="top" wrapText="1"/>
    </xf>
    <xf numFmtId="0" fontId="34" fillId="0" borderId="0" xfId="21" applyFont="1" applyAlignment="1">
      <alignment vertical="top" wrapText="1"/>
    </xf>
    <xf numFmtId="172" fontId="20" fillId="0" borderId="0" xfId="21" applyNumberFormat="1" applyFont="1" applyAlignment="1">
      <alignment horizontal="right" vertical="top" wrapText="1"/>
    </xf>
    <xf numFmtId="0" fontId="34" fillId="0" borderId="0" xfId="21" applyFont="1" applyAlignment="1">
      <alignment horizontal="center" vertical="top" wrapText="1"/>
    </xf>
    <xf numFmtId="173" fontId="20" fillId="0" borderId="0" xfId="21" applyNumberFormat="1" applyFont="1" applyAlignment="1">
      <alignment horizontal="right" vertical="top" wrapText="1"/>
    </xf>
    <xf numFmtId="174" fontId="20" fillId="0" borderId="0" xfId="21" applyNumberFormat="1" applyFont="1" applyAlignment="1">
      <alignment horizontal="right" vertical="top" wrapText="1"/>
    </xf>
    <xf numFmtId="0" fontId="20" fillId="0" borderId="0" xfId="21" applyFont="1" applyAlignment="1">
      <alignment horizontal="center" vertical="center"/>
    </xf>
    <xf numFmtId="0" fontId="20" fillId="0" borderId="0" xfId="21" applyFont="1" applyAlignment="1">
      <alignment horizontal="left" vertical="center"/>
    </xf>
    <xf numFmtId="0" fontId="19" fillId="5" borderId="0" xfId="21" applyFont="1" applyFill="1" applyAlignment="1">
      <alignment horizontal="right" wrapText="1"/>
    </xf>
    <xf numFmtId="0" fontId="24" fillId="5" borderId="0" xfId="21" applyFont="1" applyFill="1" applyAlignment="1">
      <alignment horizontal="right" wrapText="1"/>
    </xf>
    <xf numFmtId="168" fontId="21" fillId="0" borderId="0" xfId="21" applyNumberFormat="1" applyFont="1" applyAlignment="1">
      <alignment horizontal="right" vertical="top" wrapText="1"/>
    </xf>
    <xf numFmtId="49" fontId="21" fillId="0" borderId="0" xfId="21" applyNumberFormat="1" applyFont="1" applyAlignment="1">
      <alignment horizontal="right" vertical="top" wrapText="1"/>
    </xf>
    <xf numFmtId="168" fontId="18" fillId="0" borderId="14" xfId="21" applyNumberFormat="1" applyFont="1" applyBorder="1" applyAlignment="1">
      <alignment horizontal="right" vertical="top" wrapText="1"/>
    </xf>
    <xf numFmtId="168" fontId="19" fillId="0" borderId="14" xfId="21" applyNumberFormat="1" applyFont="1" applyBorder="1" applyAlignment="1">
      <alignment horizontal="right" vertical="top" wrapText="1"/>
    </xf>
    <xf numFmtId="176" fontId="18" fillId="0" borderId="0" xfId="21" applyNumberFormat="1" applyFont="1" applyAlignment="1">
      <alignment horizontal="right" vertical="top" wrapText="1"/>
    </xf>
    <xf numFmtId="176" fontId="20" fillId="0" borderId="0" xfId="21" applyNumberFormat="1" applyFont="1" applyAlignment="1">
      <alignment horizontal="right" vertical="top" wrapText="1"/>
    </xf>
    <xf numFmtId="176" fontId="18" fillId="0" borderId="14" xfId="21" applyNumberFormat="1" applyFont="1" applyBorder="1" applyAlignment="1">
      <alignment horizontal="right" vertical="top" wrapText="1"/>
    </xf>
    <xf numFmtId="168" fontId="25" fillId="0" borderId="14" xfId="21" applyNumberFormat="1" applyFont="1" applyBorder="1" applyAlignment="1">
      <alignment horizontal="right" vertical="top" wrapText="1"/>
    </xf>
    <xf numFmtId="176" fontId="25" fillId="0" borderId="14" xfId="21" applyNumberFormat="1" applyFont="1" applyBorder="1" applyAlignment="1">
      <alignment horizontal="right" vertical="top" wrapText="1"/>
    </xf>
    <xf numFmtId="177" fontId="20" fillId="0" borderId="0" xfId="21" applyNumberFormat="1" applyFont="1" applyAlignment="1">
      <alignment horizontal="right" vertical="top" wrapText="1"/>
    </xf>
    <xf numFmtId="170" fontId="20" fillId="0" borderId="0" xfId="21" applyNumberFormat="1" applyFont="1" applyAlignment="1">
      <alignment horizontal="right" vertical="top" wrapText="1"/>
    </xf>
    <xf numFmtId="170" fontId="21" fillId="0" borderId="0" xfId="21" applyNumberFormat="1" applyFont="1" applyAlignment="1">
      <alignment horizontal="right" vertical="top" wrapText="1"/>
    </xf>
    <xf numFmtId="169" fontId="20" fillId="0" borderId="0" xfId="21" applyNumberFormat="1" applyFont="1" applyAlignment="1">
      <alignment horizontal="right" vertical="top" wrapText="1"/>
    </xf>
    <xf numFmtId="169" fontId="21" fillId="0" borderId="0" xfId="21" applyNumberFormat="1" applyFont="1" applyAlignment="1">
      <alignment horizontal="right" vertical="top" wrapText="1"/>
    </xf>
    <xf numFmtId="175" fontId="20" fillId="0" borderId="0" xfId="21" applyNumberFormat="1" applyFont="1" applyAlignment="1">
      <alignment horizontal="right" vertical="top" wrapText="1"/>
    </xf>
    <xf numFmtId="178" fontId="20" fillId="0" borderId="0" xfId="21" applyNumberFormat="1" applyFont="1" applyAlignment="1">
      <alignment horizontal="right" vertical="top" wrapText="1"/>
    </xf>
    <xf numFmtId="168" fontId="19" fillId="0" borderId="0" xfId="21" applyNumberFormat="1" applyFont="1" applyAlignment="1">
      <alignment horizontal="right" vertical="top" wrapText="1"/>
    </xf>
    <xf numFmtId="0" fontId="34" fillId="0" borderId="0" xfId="21" applyFont="1" applyAlignment="1">
      <alignment horizontal="left"/>
    </xf>
    <xf numFmtId="175" fontId="18" fillId="5" borderId="0" xfId="21" applyNumberFormat="1" applyFont="1" applyFill="1" applyAlignment="1">
      <alignment horizontal="right" wrapText="1"/>
    </xf>
    <xf numFmtId="178" fontId="18" fillId="5" borderId="0" xfId="21" applyNumberFormat="1" applyFont="1" applyFill="1" applyAlignment="1">
      <alignment horizontal="right" wrapText="1"/>
    </xf>
    <xf numFmtId="168" fontId="30" fillId="0" borderId="14" xfId="21" applyNumberFormat="1" applyFont="1" applyBorder="1" applyAlignment="1">
      <alignment horizontal="right" vertical="top" wrapText="1"/>
    </xf>
    <xf numFmtId="168" fontId="31" fillId="0" borderId="0" xfId="21" applyNumberFormat="1" applyFont="1" applyAlignment="1">
      <alignment horizontal="right" vertical="top" wrapText="1"/>
    </xf>
    <xf numFmtId="168" fontId="32" fillId="0" borderId="0" xfId="21" applyNumberFormat="1" applyFont="1" applyAlignment="1">
      <alignment horizontal="right" vertical="top" wrapText="1"/>
    </xf>
    <xf numFmtId="168" fontId="25" fillId="0" borderId="0" xfId="21" applyNumberFormat="1" applyFont="1" applyAlignment="1">
      <alignment horizontal="right" vertical="top" wrapText="1"/>
    </xf>
    <xf numFmtId="168" fontId="30" fillId="0" borderId="0" xfId="21" applyNumberFormat="1" applyFont="1" applyAlignment="1">
      <alignment horizontal="right" vertical="top" wrapText="1"/>
    </xf>
    <xf numFmtId="179" fontId="20" fillId="0" borderId="0" xfId="21" applyNumberFormat="1" applyFont="1" applyAlignment="1">
      <alignment horizontal="right" vertical="top" wrapText="1"/>
    </xf>
    <xf numFmtId="49" fontId="19" fillId="0" borderId="0" xfId="21" applyNumberFormat="1" applyFont="1" applyAlignment="1">
      <alignment horizontal="right" vertical="top" wrapText="1"/>
    </xf>
    <xf numFmtId="49" fontId="19" fillId="0" borderId="14" xfId="21" applyNumberFormat="1" applyFont="1" applyBorder="1" applyAlignment="1">
      <alignment horizontal="right" vertical="top" wrapText="1"/>
    </xf>
    <xf numFmtId="49" fontId="30" fillId="0" borderId="14" xfId="21" applyNumberFormat="1" applyFont="1" applyBorder="1" applyAlignment="1">
      <alignment horizontal="right" vertical="top" wrapText="1"/>
    </xf>
    <xf numFmtId="0" fontId="34" fillId="0" borderId="0" xfId="21" applyFont="1" applyAlignment="1">
      <alignment horizontal="left" vertical="top"/>
    </xf>
    <xf numFmtId="0" fontId="43" fillId="4" borderId="0" xfId="21" applyFont="1" applyFill="1" applyAlignment="1">
      <alignment horizontal="left"/>
    </xf>
    <xf numFmtId="0" fontId="44" fillId="5" borderId="0" xfId="21" applyFont="1" applyFill="1" applyAlignment="1">
      <alignment horizontal="right"/>
    </xf>
    <xf numFmtId="0" fontId="18" fillId="0" borderId="0" xfId="21" applyFont="1" applyAlignment="1">
      <alignment horizontal="left"/>
    </xf>
    <xf numFmtId="0" fontId="18" fillId="5" borderId="0" xfId="21" applyFont="1" applyFill="1" applyAlignment="1">
      <alignment horizontal="right"/>
    </xf>
    <xf numFmtId="175" fontId="18" fillId="5" borderId="0" xfId="21" applyNumberFormat="1" applyFont="1" applyFill="1" applyAlignment="1">
      <alignment horizontal="right"/>
    </xf>
    <xf numFmtId="0" fontId="18" fillId="0" borderId="0" xfId="21" applyFont="1" applyAlignment="1">
      <alignment horizontal="right"/>
    </xf>
    <xf numFmtId="174" fontId="20" fillId="0" borderId="0" xfId="21" applyNumberFormat="1" applyFont="1" applyAlignment="1">
      <alignment horizontal="right"/>
    </xf>
    <xf numFmtId="174" fontId="34" fillId="0" borderId="0" xfId="21" applyNumberFormat="1" applyFont="1" applyAlignment="1">
      <alignment horizontal="right"/>
    </xf>
    <xf numFmtId="49" fontId="20" fillId="0" borderId="0" xfId="21" applyNumberFormat="1" applyFont="1" applyAlignment="1">
      <alignment horizontal="right"/>
    </xf>
    <xf numFmtId="49" fontId="34" fillId="0" borderId="0" xfId="21" applyNumberFormat="1" applyFont="1" applyAlignment="1">
      <alignment horizontal="right"/>
    </xf>
    <xf numFmtId="0" fontId="34" fillId="0" borderId="0" xfId="21" applyFont="1" applyAlignment="1">
      <alignment horizontal="right" wrapText="1"/>
    </xf>
    <xf numFmtId="0" fontId="34" fillId="0" borderId="0" xfId="21" applyFont="1" applyAlignment="1">
      <alignment wrapText="1"/>
    </xf>
    <xf numFmtId="0" fontId="20" fillId="0" borderId="0" xfId="21" applyFont="1" applyAlignment="1">
      <alignment vertical="top" wrapText="1"/>
    </xf>
    <xf numFmtId="0" fontId="45" fillId="5" borderId="0" xfId="21" applyFont="1" applyFill="1" applyAlignment="1">
      <alignment horizontal="right" wrapText="1"/>
    </xf>
    <xf numFmtId="0" fontId="35" fillId="5" borderId="0" xfId="21" applyFont="1" applyFill="1" applyAlignment="1">
      <alignment horizontal="right" wrapText="1"/>
    </xf>
    <xf numFmtId="169" fontId="40" fillId="0" borderId="0" xfId="21" applyNumberFormat="1" applyFont="1" applyAlignment="1">
      <alignment horizontal="right"/>
    </xf>
    <xf numFmtId="168" fontId="34" fillId="0" borderId="0" xfId="21" applyNumberFormat="1" applyFont="1" applyAlignment="1">
      <alignment horizontal="right"/>
    </xf>
    <xf numFmtId="169" fontId="23" fillId="0" borderId="0" xfId="21" applyNumberFormat="1" applyFont="1" applyAlignment="1">
      <alignment horizontal="right" vertical="top" wrapText="1"/>
    </xf>
    <xf numFmtId="169" fontId="45" fillId="0" borderId="0" xfId="21" applyNumberFormat="1" applyFont="1" applyAlignment="1">
      <alignment horizontal="right"/>
    </xf>
    <xf numFmtId="168" fontId="35" fillId="0" borderId="0" xfId="21" applyNumberFormat="1" applyFont="1" applyAlignment="1">
      <alignment horizontal="right"/>
    </xf>
    <xf numFmtId="173" fontId="34" fillId="0" borderId="0" xfId="21" applyNumberFormat="1" applyFont="1" applyAlignment="1">
      <alignment horizontal="right"/>
    </xf>
    <xf numFmtId="175" fontId="34" fillId="0" borderId="0" xfId="21" applyNumberFormat="1" applyFont="1" applyAlignment="1">
      <alignment horizontal="right"/>
    </xf>
    <xf numFmtId="0" fontId="20" fillId="0" borderId="0" xfId="21" applyFont="1" applyAlignment="1">
      <alignment horizontal="center" vertical="center" wrapText="1"/>
    </xf>
    <xf numFmtId="0" fontId="44" fillId="5" borderId="0" xfId="21" applyFont="1" applyFill="1" applyAlignment="1">
      <alignment horizontal="left" wrapText="1"/>
    </xf>
    <xf numFmtId="0" fontId="44" fillId="5" borderId="0" xfId="21" applyFont="1" applyFill="1" applyAlignment="1">
      <alignment wrapText="1"/>
    </xf>
    <xf numFmtId="0" fontId="20" fillId="0" borderId="0" xfId="21" applyFont="1" applyAlignment="1">
      <alignment horizontal="center" vertical="top" wrapText="1"/>
    </xf>
    <xf numFmtId="175" fontId="20" fillId="0" borderId="0" xfId="21" applyNumberFormat="1" applyFont="1" applyAlignment="1">
      <alignment horizontal="center" vertical="top" wrapText="1"/>
    </xf>
    <xf numFmtId="180" fontId="20" fillId="0" borderId="0" xfId="21" applyNumberFormat="1" applyFont="1" applyAlignment="1">
      <alignment horizontal="center" vertical="top" wrapText="1"/>
    </xf>
    <xf numFmtId="173" fontId="21" fillId="0" borderId="0" xfId="21" applyNumberFormat="1" applyFont="1" applyAlignment="1">
      <alignment horizontal="right" vertical="top" wrapText="1"/>
    </xf>
    <xf numFmtId="4" fontId="47" fillId="12" borderId="27" xfId="0" applyNumberFormat="1" applyFont="1" applyFill="1" applyBorder="1" applyAlignment="1">
      <alignment horizontal="right" vertical="center"/>
    </xf>
    <xf numFmtId="0" fontId="46" fillId="0" borderId="0" xfId="0" applyFont="1" applyAlignment="1">
      <alignment vertical="center" readingOrder="1"/>
    </xf>
    <xf numFmtId="15" fontId="47" fillId="12" borderId="31" xfId="0" applyNumberFormat="1" applyFont="1" applyFill="1" applyBorder="1" applyAlignment="1">
      <alignment horizontal="left" vertical="center"/>
    </xf>
    <xf numFmtId="4" fontId="47" fillId="12" borderId="32" xfId="0" applyNumberFormat="1" applyFont="1" applyFill="1" applyBorder="1" applyAlignment="1">
      <alignment horizontal="right" vertical="center"/>
    </xf>
    <xf numFmtId="15" fontId="47" fillId="12" borderId="33" xfId="0" applyNumberFormat="1" applyFont="1" applyFill="1" applyBorder="1" applyAlignment="1">
      <alignment horizontal="left" vertical="center"/>
    </xf>
    <xf numFmtId="4" fontId="47" fillId="12" borderId="34" xfId="0" applyNumberFormat="1" applyFont="1" applyFill="1" applyBorder="1" applyAlignment="1">
      <alignment horizontal="right" vertical="center"/>
    </xf>
    <xf numFmtId="4" fontId="47" fillId="12" borderId="35" xfId="0" applyNumberFormat="1" applyFont="1" applyFill="1" applyBorder="1" applyAlignment="1">
      <alignment horizontal="right" vertical="center"/>
    </xf>
    <xf numFmtId="15" fontId="47" fillId="12" borderId="13" xfId="0" applyNumberFormat="1" applyFont="1" applyFill="1" applyBorder="1" applyAlignment="1">
      <alignment horizontal="left" vertical="center"/>
    </xf>
    <xf numFmtId="0" fontId="48" fillId="12" borderId="7" xfId="0" applyFont="1" applyFill="1" applyBorder="1" applyAlignment="1">
      <alignment horizontal="left" vertical="center" wrapText="1"/>
    </xf>
    <xf numFmtId="4" fontId="47" fillId="12" borderId="0" xfId="0" applyNumberFormat="1" applyFont="1" applyFill="1" applyAlignment="1">
      <alignment horizontal="right" vertical="center"/>
    </xf>
    <xf numFmtId="0" fontId="48" fillId="12" borderId="7" xfId="0" applyFont="1" applyFill="1" applyBorder="1" applyAlignment="1">
      <alignment horizontal="center" vertical="center"/>
    </xf>
    <xf numFmtId="4" fontId="47" fillId="12" borderId="30" xfId="0" applyNumberFormat="1" applyFont="1" applyFill="1" applyBorder="1" applyAlignment="1">
      <alignment horizontal="right" vertical="center"/>
    </xf>
    <xf numFmtId="0" fontId="22" fillId="7" borderId="0" xfId="0" applyFont="1" applyFill="1"/>
    <xf numFmtId="0" fontId="18" fillId="7" borderId="0" xfId="0" applyFont="1" applyFill="1" applyAlignment="1">
      <alignment horizontal="right" wrapText="1"/>
    </xf>
    <xf numFmtId="0" fontId="23" fillId="7" borderId="0" xfId="0" applyFont="1" applyFill="1" applyAlignment="1">
      <alignment horizontal="right" wrapText="1"/>
    </xf>
    <xf numFmtId="166" fontId="34" fillId="0" borderId="0" xfId="23" applyFont="1"/>
    <xf numFmtId="0" fontId="50" fillId="7" borderId="0" xfId="0" applyFont="1" applyFill="1"/>
    <xf numFmtId="166" fontId="34" fillId="0" borderId="0" xfId="0" applyNumberFormat="1" applyFont="1"/>
    <xf numFmtId="0" fontId="51" fillId="6" borderId="0" xfId="0" applyFont="1" applyFill="1"/>
    <xf numFmtId="164" fontId="50" fillId="7" borderId="0" xfId="23" applyNumberFormat="1" applyFont="1" applyFill="1"/>
    <xf numFmtId="164" fontId="34" fillId="0" borderId="0" xfId="19" applyNumberFormat="1" applyFont="1"/>
    <xf numFmtId="164" fontId="34" fillId="0" borderId="0" xfId="0" applyNumberFormat="1" applyFont="1"/>
    <xf numFmtId="184" fontId="34" fillId="0" borderId="25" xfId="0" applyNumberFormat="1" applyFont="1" applyBorder="1"/>
    <xf numFmtId="0" fontId="0" fillId="0" borderId="10" xfId="0" applyBorder="1"/>
    <xf numFmtId="0" fontId="52" fillId="0" borderId="36" xfId="0" applyFont="1" applyBorder="1" applyAlignment="1">
      <alignment horizontal="center"/>
    </xf>
    <xf numFmtId="0" fontId="52" fillId="0" borderId="36" xfId="0" applyFont="1" applyBorder="1" applyAlignment="1">
      <alignment horizontal="centerContinuous"/>
    </xf>
    <xf numFmtId="0" fontId="0" fillId="0" borderId="1" xfId="0" applyBorder="1"/>
    <xf numFmtId="0" fontId="0" fillId="0" borderId="28" xfId="0" applyBorder="1"/>
    <xf numFmtId="0" fontId="0" fillId="0" borderId="29" xfId="0" applyBorder="1"/>
    <xf numFmtId="0" fontId="0" fillId="0" borderId="30" xfId="0" applyBorder="1"/>
    <xf numFmtId="0" fontId="52" fillId="0" borderId="37" xfId="0" applyFont="1" applyBorder="1" applyAlignment="1">
      <alignment horizontal="centerContinuous"/>
    </xf>
    <xf numFmtId="0" fontId="0" fillId="0" borderId="9" xfId="0" applyBorder="1"/>
    <xf numFmtId="0" fontId="52" fillId="0" borderId="37" xfId="0" applyFont="1" applyBorder="1" applyAlignment="1">
      <alignment horizontal="center"/>
    </xf>
    <xf numFmtId="0" fontId="52" fillId="0" borderId="8" xfId="0" applyFont="1" applyBorder="1" applyAlignment="1">
      <alignment horizontal="center"/>
    </xf>
    <xf numFmtId="0" fontId="0" fillId="0" borderId="11" xfId="0" applyBorder="1"/>
    <xf numFmtId="0" fontId="0" fillId="6" borderId="10" xfId="0" applyFill="1" applyBorder="1"/>
    <xf numFmtId="0" fontId="53" fillId="7" borderId="3" xfId="3" applyFont="1" applyFill="1" applyBorder="1" applyAlignment="1">
      <alignment horizontal="center" vertical="center"/>
    </xf>
    <xf numFmtId="0" fontId="54" fillId="8" borderId="3" xfId="3" applyFont="1" applyFill="1" applyBorder="1" applyAlignment="1">
      <alignment horizontal="center" vertical="center"/>
    </xf>
    <xf numFmtId="9" fontId="54" fillId="8" borderId="3" xfId="2" applyFont="1" applyFill="1" applyBorder="1" applyAlignment="1">
      <alignment horizontal="center" vertical="center"/>
    </xf>
    <xf numFmtId="10" fontId="54" fillId="9" borderId="3" xfId="19" applyNumberFormat="1" applyFont="1" applyFill="1" applyBorder="1" applyAlignment="1">
      <alignment horizontal="center" vertical="center"/>
    </xf>
    <xf numFmtId="9" fontId="54" fillId="0" borderId="3" xfId="2" applyFont="1" applyBorder="1" applyAlignment="1">
      <alignment horizontal="center" vertical="center"/>
    </xf>
    <xf numFmtId="9" fontId="54" fillId="9" borderId="3" xfId="2" applyFont="1" applyFill="1" applyBorder="1" applyAlignment="1">
      <alignment horizontal="center" vertical="center"/>
    </xf>
    <xf numFmtId="10" fontId="54" fillId="8" borderId="3" xfId="19" applyNumberFormat="1" applyFont="1" applyFill="1" applyBorder="1" applyAlignment="1">
      <alignment horizontal="center" vertical="center"/>
    </xf>
    <xf numFmtId="167" fontId="54" fillId="8" borderId="3" xfId="1" applyNumberFormat="1" applyFont="1" applyFill="1" applyBorder="1" applyAlignment="1">
      <alignment horizontal="center" vertical="center"/>
    </xf>
    <xf numFmtId="167" fontId="54" fillId="9" borderId="3" xfId="1" applyNumberFormat="1" applyFont="1" applyFill="1" applyBorder="1" applyAlignment="1">
      <alignment horizontal="center" vertical="center"/>
    </xf>
    <xf numFmtId="2" fontId="54" fillId="8" borderId="3" xfId="3" applyNumberFormat="1" applyFont="1" applyFill="1" applyBorder="1" applyAlignment="1">
      <alignment horizontal="center" vertical="center"/>
    </xf>
    <xf numFmtId="2" fontId="54" fillId="9" borderId="3" xfId="3" applyNumberFormat="1" applyFont="1" applyFill="1" applyBorder="1" applyAlignment="1">
      <alignment horizontal="center" vertical="center"/>
    </xf>
    <xf numFmtId="0" fontId="57" fillId="11" borderId="0" xfId="0" applyFont="1" applyFill="1"/>
    <xf numFmtId="0" fontId="54" fillId="0" borderId="0" xfId="0" applyFont="1" applyAlignment="1">
      <alignment horizontal="left" vertical="top"/>
    </xf>
    <xf numFmtId="0" fontId="58" fillId="0" borderId="0" xfId="0" applyFont="1" applyAlignment="1">
      <alignment horizontal="left" vertical="top"/>
    </xf>
    <xf numFmtId="0" fontId="0" fillId="9" borderId="0" xfId="0" applyFill="1"/>
    <xf numFmtId="168" fontId="58" fillId="0" borderId="0" xfId="0" applyNumberFormat="1" applyFont="1" applyAlignment="1">
      <alignment horizontal="right" vertical="top" wrapText="1"/>
    </xf>
    <xf numFmtId="168" fontId="54" fillId="0" borderId="14" xfId="0" applyNumberFormat="1" applyFont="1" applyBorder="1" applyAlignment="1">
      <alignment horizontal="right" vertical="top" wrapText="1"/>
    </xf>
    <xf numFmtId="168" fontId="54" fillId="0" borderId="0" xfId="0" applyNumberFormat="1" applyFont="1" applyAlignment="1">
      <alignment horizontal="right" vertical="top" wrapText="1"/>
    </xf>
    <xf numFmtId="0" fontId="55" fillId="0" borderId="0" xfId="0" applyFont="1" applyAlignment="1">
      <alignment horizontal="left" vertical="center"/>
    </xf>
    <xf numFmtId="0" fontId="56" fillId="11" borderId="0" xfId="0" applyFont="1" applyFill="1" applyAlignment="1">
      <alignment horizontal="left" vertical="center"/>
    </xf>
    <xf numFmtId="0" fontId="54" fillId="13" borderId="0" xfId="0" applyFont="1" applyFill="1" applyAlignment="1">
      <alignment horizontal="left" vertical="center" wrapText="1"/>
    </xf>
    <xf numFmtId="0" fontId="54" fillId="13" borderId="0" xfId="0" applyFont="1" applyFill="1" applyAlignment="1">
      <alignment horizontal="right" wrapText="1"/>
    </xf>
    <xf numFmtId="0" fontId="54" fillId="13" borderId="0" xfId="0" applyFont="1" applyFill="1" applyAlignment="1">
      <alignment horizontal="center" vertical="center" wrapText="1"/>
    </xf>
    <xf numFmtId="0" fontId="53" fillId="7" borderId="3" xfId="3" applyFont="1" applyFill="1" applyBorder="1" applyAlignment="1">
      <alignment horizontal="center" wrapText="1"/>
    </xf>
    <xf numFmtId="166" fontId="54" fillId="8" borderId="3" xfId="19" applyNumberFormat="1" applyFont="1" applyFill="1" applyBorder="1" applyAlignment="1">
      <alignment horizontal="center" vertical="center" wrapText="1"/>
    </xf>
    <xf numFmtId="10" fontId="54" fillId="8" borderId="3" xfId="19" applyNumberFormat="1" applyFont="1" applyFill="1" applyBorder="1" applyAlignment="1">
      <alignment horizontal="center" vertical="center" wrapText="1"/>
    </xf>
    <xf numFmtId="0" fontId="58" fillId="10" borderId="0" xfId="0" applyFont="1" applyFill="1" applyAlignment="1">
      <alignment horizontal="left" vertical="top"/>
    </xf>
    <xf numFmtId="168" fontId="58" fillId="10" borderId="0" xfId="0" applyNumberFormat="1" applyFont="1" applyFill="1" applyAlignment="1">
      <alignment horizontal="right" vertical="top" wrapText="1"/>
    </xf>
    <xf numFmtId="168" fontId="60" fillId="0" borderId="0" xfId="0" applyNumberFormat="1" applyFont="1" applyAlignment="1">
      <alignment horizontal="right" vertical="top" wrapText="1"/>
    </xf>
    <xf numFmtId="172" fontId="58" fillId="0" borderId="0" xfId="0" applyNumberFormat="1" applyFont="1" applyAlignment="1">
      <alignment horizontal="right" vertical="top" wrapText="1"/>
    </xf>
    <xf numFmtId="49" fontId="58" fillId="0" borderId="0" xfId="0" applyNumberFormat="1" applyFont="1" applyAlignment="1">
      <alignment horizontal="right" vertical="top" wrapText="1"/>
    </xf>
    <xf numFmtId="179" fontId="58" fillId="0" borderId="0" xfId="0" applyNumberFormat="1" applyFont="1" applyAlignment="1">
      <alignment horizontal="right" vertical="top" wrapText="1"/>
    </xf>
    <xf numFmtId="175" fontId="58" fillId="0" borderId="0" xfId="0" applyNumberFormat="1" applyFont="1" applyAlignment="1">
      <alignment horizontal="right" vertical="top" wrapText="1"/>
    </xf>
    <xf numFmtId="0" fontId="54" fillId="13" borderId="0" xfId="0" applyFont="1" applyFill="1" applyAlignment="1">
      <alignment horizontal="left" vertical="top"/>
    </xf>
    <xf numFmtId="168" fontId="59" fillId="13" borderId="14" xfId="0" applyNumberFormat="1" applyFont="1" applyFill="1" applyBorder="1" applyAlignment="1">
      <alignment horizontal="right" vertical="top" wrapText="1"/>
    </xf>
    <xf numFmtId="168" fontId="59" fillId="13" borderId="0" xfId="0" applyNumberFormat="1" applyFont="1" applyFill="1" applyAlignment="1">
      <alignment horizontal="right" vertical="top" wrapText="1"/>
    </xf>
    <xf numFmtId="0" fontId="53" fillId="9" borderId="3" xfId="3" applyFont="1" applyFill="1" applyBorder="1" applyAlignment="1">
      <alignment horizontal="center" wrapText="1"/>
    </xf>
    <xf numFmtId="166" fontId="54" fillId="9" borderId="3" xfId="19" applyNumberFormat="1" applyFont="1" applyFill="1" applyBorder="1" applyAlignment="1">
      <alignment horizontal="center" vertical="center" wrapText="1"/>
    </xf>
    <xf numFmtId="10" fontId="54" fillId="9" borderId="3" xfId="19" applyNumberFormat="1" applyFont="1" applyFill="1" applyBorder="1" applyAlignment="1">
      <alignment horizontal="center" vertical="center" wrapText="1"/>
    </xf>
    <xf numFmtId="0" fontId="54" fillId="9" borderId="0" xfId="0" applyFont="1" applyFill="1" applyAlignment="1">
      <alignment horizontal="center" vertical="center" wrapText="1"/>
    </xf>
    <xf numFmtId="0" fontId="54" fillId="8" borderId="3" xfId="3" applyFont="1" applyFill="1" applyBorder="1" applyAlignment="1">
      <alignment horizontal="center" vertical="center" wrapText="1"/>
    </xf>
    <xf numFmtId="2" fontId="54" fillId="8" borderId="3" xfId="3" applyNumberFormat="1" applyFont="1" applyFill="1" applyBorder="1" applyAlignment="1">
      <alignment horizontal="center" vertical="center" wrapText="1"/>
    </xf>
    <xf numFmtId="2" fontId="54" fillId="9" borderId="3" xfId="3" applyNumberFormat="1" applyFont="1" applyFill="1" applyBorder="1" applyAlignment="1">
      <alignment horizontal="center" vertical="center" wrapText="1"/>
    </xf>
    <xf numFmtId="9" fontId="54" fillId="8" borderId="3" xfId="2" applyFont="1" applyFill="1" applyBorder="1" applyAlignment="1">
      <alignment horizontal="center" vertical="center" wrapText="1"/>
    </xf>
    <xf numFmtId="9" fontId="54" fillId="9" borderId="3" xfId="2" applyFont="1" applyFill="1" applyBorder="1" applyAlignment="1">
      <alignment horizontal="center" vertical="center" wrapText="1"/>
    </xf>
    <xf numFmtId="9" fontId="54" fillId="0" borderId="3" xfId="2" applyFont="1" applyBorder="1" applyAlignment="1">
      <alignment horizontal="center" vertical="center" wrapText="1"/>
    </xf>
    <xf numFmtId="0" fontId="61" fillId="0" borderId="0" xfId="0" applyFont="1"/>
    <xf numFmtId="0" fontId="2" fillId="0" borderId="0" xfId="0" applyFont="1"/>
    <xf numFmtId="164" fontId="2" fillId="0" borderId="0" xfId="0" applyNumberFormat="1" applyFont="1"/>
    <xf numFmtId="165" fontId="1" fillId="0" borderId="0" xfId="1" applyNumberFormat="1" applyFont="1"/>
    <xf numFmtId="165" fontId="0" fillId="0" borderId="0" xfId="0" applyNumberFormat="1"/>
    <xf numFmtId="165" fontId="2" fillId="0" borderId="0" xfId="0" applyNumberFormat="1" applyFont="1"/>
    <xf numFmtId="165" fontId="58" fillId="0" borderId="0" xfId="0" applyNumberFormat="1" applyFont="1" applyAlignment="1">
      <alignment horizontal="right" vertical="top" wrapText="1"/>
    </xf>
    <xf numFmtId="165" fontId="58" fillId="9" borderId="0" xfId="0" applyNumberFormat="1" applyFont="1" applyFill="1" applyAlignment="1">
      <alignment horizontal="right" vertical="top" wrapText="1"/>
    </xf>
    <xf numFmtId="165" fontId="54" fillId="0" borderId="14" xfId="0" applyNumberFormat="1" applyFont="1" applyBorder="1" applyAlignment="1">
      <alignment horizontal="right" vertical="top" wrapText="1"/>
    </xf>
    <xf numFmtId="165" fontId="54" fillId="9" borderId="14" xfId="0" applyNumberFormat="1" applyFont="1" applyFill="1" applyBorder="1" applyAlignment="1">
      <alignment horizontal="right" vertical="top" wrapText="1"/>
    </xf>
    <xf numFmtId="165" fontId="58" fillId="0" borderId="0" xfId="0" applyNumberFormat="1" applyFont="1" applyAlignment="1">
      <alignment horizontal="left" vertical="top"/>
    </xf>
    <xf numFmtId="165" fontId="58" fillId="9" borderId="0" xfId="0" applyNumberFormat="1" applyFont="1" applyFill="1" applyAlignment="1">
      <alignment horizontal="left" vertical="top"/>
    </xf>
    <xf numFmtId="165" fontId="0" fillId="9" borderId="0" xfId="0" applyNumberFormat="1" applyFill="1"/>
    <xf numFmtId="165" fontId="54" fillId="0" borderId="0" xfId="0" applyNumberFormat="1" applyFont="1" applyAlignment="1">
      <alignment horizontal="right" vertical="top" wrapText="1"/>
    </xf>
    <xf numFmtId="165" fontId="54" fillId="9" borderId="0" xfId="0" applyNumberFormat="1" applyFont="1" applyFill="1" applyAlignment="1">
      <alignment horizontal="right" vertical="top" wrapText="1"/>
    </xf>
    <xf numFmtId="165" fontId="59" fillId="13" borderId="14" xfId="0" applyNumberFormat="1" applyFont="1" applyFill="1" applyBorder="1" applyAlignment="1">
      <alignment horizontal="right" vertical="top" wrapText="1"/>
    </xf>
    <xf numFmtId="165" fontId="59" fillId="9" borderId="14" xfId="0" applyNumberFormat="1" applyFont="1" applyFill="1" applyBorder="1" applyAlignment="1">
      <alignment horizontal="right" vertical="top" wrapText="1"/>
    </xf>
    <xf numFmtId="165" fontId="58" fillId="10" borderId="0" xfId="0" applyNumberFormat="1" applyFont="1" applyFill="1" applyAlignment="1">
      <alignment horizontal="right" vertical="top" wrapText="1"/>
    </xf>
    <xf numFmtId="165" fontId="60" fillId="0" borderId="0" xfId="0" applyNumberFormat="1" applyFont="1" applyAlignment="1">
      <alignment horizontal="right" vertical="top" wrapText="1"/>
    </xf>
    <xf numFmtId="165" fontId="60" fillId="9" borderId="0" xfId="0" applyNumberFormat="1" applyFont="1" applyFill="1" applyAlignment="1">
      <alignment horizontal="right" vertical="top" wrapText="1"/>
    </xf>
    <xf numFmtId="165" fontId="59" fillId="13" borderId="0" xfId="0" applyNumberFormat="1" applyFont="1" applyFill="1" applyAlignment="1">
      <alignment horizontal="right" vertical="top" wrapText="1"/>
    </xf>
    <xf numFmtId="165" fontId="59" fillId="9" borderId="0" xfId="0" applyNumberFormat="1" applyFont="1" applyFill="1" applyAlignment="1">
      <alignment horizontal="right" vertical="top" wrapText="1"/>
    </xf>
    <xf numFmtId="165" fontId="34" fillId="0" borderId="0" xfId="23" applyNumberFormat="1" applyFont="1"/>
    <xf numFmtId="165" fontId="18" fillId="9" borderId="14" xfId="0" applyNumberFormat="1" applyFont="1" applyFill="1" applyBorder="1" applyAlignment="1">
      <alignment horizontal="right" vertical="top" wrapText="1"/>
    </xf>
    <xf numFmtId="165" fontId="51" fillId="6" borderId="0" xfId="0" applyNumberFormat="1" applyFont="1" applyFill="1"/>
    <xf numFmtId="165" fontId="50" fillId="7" borderId="0" xfId="23" applyNumberFormat="1" applyFont="1" applyFill="1"/>
    <xf numFmtId="0" fontId="38" fillId="9" borderId="17" xfId="0" applyFont="1" applyFill="1" applyBorder="1" applyAlignment="1">
      <alignment horizontal="center"/>
    </xf>
    <xf numFmtId="0" fontId="38" fillId="9" borderId="18" xfId="0" applyFont="1" applyFill="1" applyBorder="1" applyAlignment="1">
      <alignment horizontal="center"/>
    </xf>
    <xf numFmtId="0" fontId="2" fillId="9" borderId="1" xfId="0" applyFont="1" applyFill="1" applyBorder="1" applyAlignment="1">
      <alignment horizontal="center"/>
    </xf>
    <xf numFmtId="0" fontId="2" fillId="9" borderId="28" xfId="0" applyFont="1" applyFill="1" applyBorder="1" applyAlignment="1">
      <alignment horizontal="center"/>
    </xf>
    <xf numFmtId="0" fontId="2" fillId="9" borderId="29" xfId="0" applyFont="1" applyFill="1" applyBorder="1" applyAlignment="1">
      <alignment horizontal="center"/>
    </xf>
    <xf numFmtId="0" fontId="22" fillId="4" borderId="0" xfId="0" applyFont="1" applyFill="1" applyAlignment="1">
      <alignment horizontal="center"/>
    </xf>
    <xf numFmtId="0" fontId="62" fillId="13" borderId="0" xfId="0" applyFont="1" applyFill="1" applyAlignment="1">
      <alignment horizontal="center"/>
    </xf>
    <xf numFmtId="0" fontId="62" fillId="9" borderId="0" xfId="0" applyFont="1" applyFill="1" applyAlignment="1">
      <alignment horizontal="center"/>
    </xf>
    <xf numFmtId="0" fontId="33" fillId="7" borderId="0" xfId="0" applyFont="1" applyFill="1" applyAlignment="1">
      <alignment horizontal="center" vertical="center"/>
    </xf>
    <xf numFmtId="0" fontId="0" fillId="0" borderId="0" xfId="0" applyAlignment="1">
      <alignment horizontal="center" vertical="center" wrapText="1"/>
    </xf>
    <xf numFmtId="0" fontId="18" fillId="5" borderId="0" xfId="21" applyFont="1" applyFill="1" applyAlignment="1">
      <alignment horizontal="center" wrapText="1"/>
    </xf>
    <xf numFmtId="0" fontId="20" fillId="0" borderId="0" xfId="21" applyFont="1" applyAlignment="1">
      <alignment vertical="top" wrapText="1"/>
    </xf>
    <xf numFmtId="0" fontId="34" fillId="0" borderId="0" xfId="21" applyFont="1"/>
    <xf numFmtId="0" fontId="35" fillId="5" borderId="0" xfId="21" applyFont="1" applyFill="1" applyAlignment="1">
      <alignment horizontal="center" wrapText="1"/>
    </xf>
  </cellXfs>
  <cellStyles count="27">
    <cellStyle name="ChartingText" xfId="17" xr:uid="{BC8D4639-1694-4FD3-91EF-4898BB279FDE}"/>
    <cellStyle name="CHPAboveAverage" xfId="18" xr:uid="{1C825424-0BB2-49B1-BDD2-DAD1DB851083}"/>
    <cellStyle name="CHPBelowAverage" xfId="18" xr:uid="{D8A6B93A-0282-458F-86BC-E9DDE9D1223E}"/>
    <cellStyle name="CHPBottom" xfId="18" xr:uid="{E0A4E510-8FA3-4C4E-A5A4-D99841B2C5DC}"/>
    <cellStyle name="CHPTop" xfId="18" xr:uid="{39094A3B-B79F-41FE-90F6-BF07AF1590B7}"/>
    <cellStyle name="ColumnHeaderNormal" xfId="9" xr:uid="{BDB8506E-FDF7-4574-A06B-722265B5F7BE}"/>
    <cellStyle name="Comma" xfId="1" builtinId="3"/>
    <cellStyle name="Comma 2" xfId="23" xr:uid="{00000000-0005-0000-0000-000046000000}"/>
    <cellStyle name="Hyperlink" xfId="20" builtinId="8"/>
    <cellStyle name="Invisible" xfId="16" xr:uid="{502A4208-52DF-4BDC-8A80-14170E081CD4}"/>
    <cellStyle name="Invisible 2" xfId="22" xr:uid="{00000000-0005-0000-0000-000045000000}"/>
    <cellStyle name="NewColumnHeaderNormal" xfId="7" xr:uid="{74518683-2AA9-4723-926C-138E57C0FAF8}"/>
    <cellStyle name="NewSectionHeaderNormal" xfId="6" xr:uid="{1D4A3B6E-3856-4834-9699-F3855BFDA6ED}"/>
    <cellStyle name="NewTitleNormal" xfId="5" xr:uid="{FEA403E9-6EDC-4F5B-BC75-BB5E0CC61276}"/>
    <cellStyle name="Normal" xfId="0" builtinId="0"/>
    <cellStyle name="Normal 2" xfId="3" xr:uid="{D02BBBFA-A278-46CF-963F-7633DDE5D517}"/>
    <cellStyle name="Normal 3" xfId="21" xr:uid="{00000000-0005-0000-0000-000044000000}"/>
    <cellStyle name="Percent" xfId="2" builtinId="5"/>
    <cellStyle name="Percent 2" xfId="19" xr:uid="{00000000-0005-0000-0000-000042000000}"/>
    <cellStyle name="SectionHeaderNormal" xfId="8" xr:uid="{424BE38E-8CDB-4261-AD73-F4B8C66469E0}"/>
    <cellStyle name="SubScript" xfId="12" xr:uid="{3D919F20-652E-4FFC-B5C8-5F0F21B44194}"/>
    <cellStyle name="SuperScript" xfId="11" xr:uid="{02919EE9-A19F-479A-A21A-F08BA2FA9C79}"/>
    <cellStyle name="TextBold" xfId="13" xr:uid="{11F12830-D9FC-4BBE-ACFE-04298D4BF226}"/>
    <cellStyle name="TextItalic" xfId="14" xr:uid="{DED1C06D-5E6C-4374-8060-95AAE241E9BD}"/>
    <cellStyle name="TextNormal" xfId="10" xr:uid="{D1929B8D-824D-45A6-961D-CD3D23B140AA}"/>
    <cellStyle name="TitleNormal" xfId="4" xr:uid="{F28646D5-CB3F-45D6-91D6-C9C442E74B5B}"/>
    <cellStyle name="Total 2" xfId="15" xr:uid="{65EFA933-9149-4F28-9071-1677CAAF7C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'FCFF Valuation'!$A$10</c:f>
              <c:strCache>
                <c:ptCount val="1"/>
                <c:pt idx="0">
                  <c:v>FCFF</c:v>
                </c:pt>
              </c:strCache>
            </c:strRef>
          </c:tx>
          <c:spPr>
            <a:ln w="28575" cap="rnd">
              <a:solidFill>
                <a:schemeClr val="accent6"/>
              </a:solidFill>
              <a:round/>
            </a:ln>
            <a:effectLst/>
          </c:spPr>
          <c:marker>
            <c:symbol val="none"/>
          </c:marker>
          <c:cat>
            <c:numRef>
              <c:f>'FCFF Valuation'!$B$3:$G$3</c:f>
              <c:numCache>
                <c:formatCode>General</c:formatCode>
                <c:ptCount val="6"/>
                <c:pt idx="0">
                  <c:v>2023</c:v>
                </c:pt>
                <c:pt idx="1">
                  <c:v>2024</c:v>
                </c:pt>
                <c:pt idx="2">
                  <c:v>2025</c:v>
                </c:pt>
                <c:pt idx="3">
                  <c:v>2026</c:v>
                </c:pt>
                <c:pt idx="4">
                  <c:v>2027</c:v>
                </c:pt>
                <c:pt idx="5">
                  <c:v>2028</c:v>
                </c:pt>
              </c:numCache>
            </c:numRef>
          </c:cat>
          <c:val>
            <c:numRef>
              <c:f>'FCFF Valuation'!$B$10:$G$10</c:f>
              <c:numCache>
                <c:formatCode>_("$"* #,##0.00_);_("$"* \(#,##0.00\);_("$"* "-"??_);_(@_)</c:formatCode>
                <c:ptCount val="6"/>
                <c:pt idx="0">
                  <c:v>-50.019951349824908</c:v>
                </c:pt>
                <c:pt idx="1">
                  <c:v>32.637423859326944</c:v>
                </c:pt>
                <c:pt idx="2">
                  <c:v>30.817319844900226</c:v>
                </c:pt>
                <c:pt idx="3">
                  <c:v>-1.5621717319728816</c:v>
                </c:pt>
                <c:pt idx="4">
                  <c:v>-4.6729720596086963</c:v>
                </c:pt>
                <c:pt idx="5">
                  <c:v>85.362973053460337</c:v>
                </c:pt>
              </c:numCache>
            </c:numRef>
          </c:val>
          <c:smooth val="0"/>
          <c:extLst>
            <c:ext xmlns:c16="http://schemas.microsoft.com/office/drawing/2014/chart" uri="{C3380CC4-5D6E-409C-BE32-E72D297353CC}">
              <c16:uniqueId val="{00000005-9587-4325-A8A9-BD568AC66A88}"/>
            </c:ext>
          </c:extLst>
        </c:ser>
        <c:ser>
          <c:idx val="2"/>
          <c:order val="1"/>
          <c:tx>
            <c:strRef>
              <c:f>'FCFF Valuation'!$A$21</c:f>
              <c:strCache>
                <c:ptCount val="1"/>
                <c:pt idx="0">
                  <c:v>FCFE</c:v>
                </c:pt>
              </c:strCache>
            </c:strRef>
          </c:tx>
          <c:spPr>
            <a:ln w="28575" cap="rnd">
              <a:solidFill>
                <a:schemeClr val="accent4"/>
              </a:solidFill>
              <a:round/>
            </a:ln>
            <a:effectLst/>
          </c:spPr>
          <c:marker>
            <c:symbol val="none"/>
          </c:marker>
          <c:cat>
            <c:numRef>
              <c:f>'FCFF Valuation'!$B$3:$G$3</c:f>
              <c:numCache>
                <c:formatCode>General</c:formatCode>
                <c:ptCount val="6"/>
                <c:pt idx="0">
                  <c:v>2023</c:v>
                </c:pt>
                <c:pt idx="1">
                  <c:v>2024</c:v>
                </c:pt>
                <c:pt idx="2">
                  <c:v>2025</c:v>
                </c:pt>
                <c:pt idx="3">
                  <c:v>2026</c:v>
                </c:pt>
                <c:pt idx="4">
                  <c:v>2027</c:v>
                </c:pt>
                <c:pt idx="5">
                  <c:v>2028</c:v>
                </c:pt>
              </c:numCache>
            </c:numRef>
          </c:cat>
          <c:val>
            <c:numRef>
              <c:f>'FCFF Valuation'!$B$21:$G$21</c:f>
              <c:numCache>
                <c:formatCode>_("$"* #,##0.00_);_("$"* \(#,##0.00\);_("$"* "-"??_);_(@_)</c:formatCode>
                <c:ptCount val="6"/>
                <c:pt idx="0">
                  <c:v>185.51411929421474</c:v>
                </c:pt>
                <c:pt idx="1">
                  <c:v>81.633168140582711</c:v>
                </c:pt>
                <c:pt idx="2">
                  <c:v>97.502015106803242</c:v>
                </c:pt>
                <c:pt idx="3">
                  <c:v>88.247965553323979</c:v>
                </c:pt>
                <c:pt idx="4">
                  <c:v>115.3699398748129</c:v>
                </c:pt>
                <c:pt idx="5">
                  <c:v>29.445252478184109</c:v>
                </c:pt>
              </c:numCache>
            </c:numRef>
          </c:val>
          <c:smooth val="0"/>
          <c:extLst>
            <c:ext xmlns:c16="http://schemas.microsoft.com/office/drawing/2014/chart" uri="{C3380CC4-5D6E-409C-BE32-E72D297353CC}">
              <c16:uniqueId val="{00000007-9587-4325-A8A9-BD568AC66A88}"/>
            </c:ext>
          </c:extLst>
        </c:ser>
        <c:dLbls>
          <c:showLegendKey val="0"/>
          <c:showVal val="0"/>
          <c:showCatName val="0"/>
          <c:showSerName val="0"/>
          <c:showPercent val="0"/>
          <c:showBubbleSize val="0"/>
        </c:dLbls>
        <c:smooth val="0"/>
        <c:axId val="1123712959"/>
        <c:axId val="623760127"/>
      </c:lineChart>
      <c:catAx>
        <c:axId val="112371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60127"/>
        <c:crosses val="autoZero"/>
        <c:auto val="1"/>
        <c:lblAlgn val="ctr"/>
        <c:lblOffset val="100"/>
        <c:noMultiLvlLbl val="0"/>
      </c:catAx>
      <c:valAx>
        <c:axId val="62376012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12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2"/>
          <c:order val="0"/>
          <c:tx>
            <c:strRef>
              <c:f>'COST '!$E$5</c:f>
              <c:strCache>
                <c:ptCount val="1"/>
                <c:pt idx="0">
                  <c:v>SGA/Rev</c:v>
                </c:pt>
              </c:strCache>
            </c:strRef>
          </c:tx>
          <c:spPr>
            <a:ln w="28575" cap="rnd">
              <a:solidFill>
                <a:schemeClr val="accent3"/>
              </a:solidFill>
              <a:round/>
            </a:ln>
            <a:effectLst/>
          </c:spPr>
          <c:marker>
            <c:symbol val="none"/>
          </c:marker>
          <c:cat>
            <c:strRef>
              <c:f>'COST '!$B$6:$B$10</c:f>
              <c:strCache>
                <c:ptCount val="5"/>
                <c:pt idx="0">
                  <c:v>Dec-31-2018</c:v>
                </c:pt>
                <c:pt idx="1">
                  <c:v>Dec-31-2019</c:v>
                </c:pt>
                <c:pt idx="2">
                  <c:v>Dec-31-2020</c:v>
                </c:pt>
                <c:pt idx="3">
                  <c:v>Dec-31-2021</c:v>
                </c:pt>
                <c:pt idx="4">
                  <c:v>Dec-31-2022</c:v>
                </c:pt>
              </c:strCache>
            </c:strRef>
          </c:cat>
          <c:val>
            <c:numRef>
              <c:f>'COST '!$E$6:$E$10</c:f>
              <c:numCache>
                <c:formatCode>_(* #,##0.0_);_(* \(#,##0.0\)_)\ ;_(* 0_)</c:formatCode>
                <c:ptCount val="5"/>
                <c:pt idx="0">
                  <c:v>0.46528665133316288</c:v>
                </c:pt>
                <c:pt idx="1">
                  <c:v>0.33845502389450127</c:v>
                </c:pt>
                <c:pt idx="2">
                  <c:v>0.31836104223405554</c:v>
                </c:pt>
                <c:pt idx="3">
                  <c:v>0.47040405841903965</c:v>
                </c:pt>
                <c:pt idx="4">
                  <c:v>0.76192229236321496</c:v>
                </c:pt>
              </c:numCache>
            </c:numRef>
          </c:val>
          <c:smooth val="0"/>
          <c:extLst>
            <c:ext xmlns:c16="http://schemas.microsoft.com/office/drawing/2014/chart" uri="{C3380CC4-5D6E-409C-BE32-E72D297353CC}">
              <c16:uniqueId val="{00000002-4C45-4EF0-A045-DFC03D52F36D}"/>
            </c:ext>
          </c:extLst>
        </c:ser>
        <c:ser>
          <c:idx val="4"/>
          <c:order val="1"/>
          <c:tx>
            <c:strRef>
              <c:f>'COST '!$G$5</c:f>
              <c:strCache>
                <c:ptCount val="1"/>
                <c:pt idx="0">
                  <c:v>R &amp; D / Rev</c:v>
                </c:pt>
              </c:strCache>
            </c:strRef>
          </c:tx>
          <c:spPr>
            <a:ln w="28575" cap="rnd">
              <a:solidFill>
                <a:schemeClr val="accent5"/>
              </a:solidFill>
              <a:round/>
            </a:ln>
            <a:effectLst/>
          </c:spPr>
          <c:marker>
            <c:symbol val="none"/>
          </c:marker>
          <c:cat>
            <c:strRef>
              <c:f>'COST '!$B$6:$B$10</c:f>
              <c:strCache>
                <c:ptCount val="5"/>
                <c:pt idx="0">
                  <c:v>Dec-31-2018</c:v>
                </c:pt>
                <c:pt idx="1">
                  <c:v>Dec-31-2019</c:v>
                </c:pt>
                <c:pt idx="2">
                  <c:v>Dec-31-2020</c:v>
                </c:pt>
                <c:pt idx="3">
                  <c:v>Dec-31-2021</c:v>
                </c:pt>
                <c:pt idx="4">
                  <c:v>Dec-31-2022</c:v>
                </c:pt>
              </c:strCache>
            </c:strRef>
          </c:cat>
          <c:val>
            <c:numRef>
              <c:f>'COST '!$G$6:$G$10</c:f>
              <c:numCache>
                <c:formatCode>_(* #,##0.0_);_(* \(#,##0.0\)_)\ ;_(* 0_)</c:formatCode>
                <c:ptCount val="5"/>
                <c:pt idx="0">
                  <c:v>0.246273106738223</c:v>
                </c:pt>
                <c:pt idx="1">
                  <c:v>0.20800314560522656</c:v>
                </c:pt>
                <c:pt idx="2">
                  <c:v>0.15145725783504735</c:v>
                </c:pt>
                <c:pt idx="3">
                  <c:v>0.18682995462021681</c:v>
                </c:pt>
                <c:pt idx="4">
                  <c:v>6.2028509698366908E-2</c:v>
                </c:pt>
              </c:numCache>
            </c:numRef>
          </c:val>
          <c:smooth val="0"/>
          <c:extLst>
            <c:ext xmlns:c16="http://schemas.microsoft.com/office/drawing/2014/chart" uri="{C3380CC4-5D6E-409C-BE32-E72D297353CC}">
              <c16:uniqueId val="{00000004-4C45-4EF0-A045-DFC03D52F36D}"/>
            </c:ext>
          </c:extLst>
        </c:ser>
        <c:ser>
          <c:idx val="6"/>
          <c:order val="2"/>
          <c:tx>
            <c:strRef>
              <c:f>'COST '!$I$5</c:f>
              <c:strCache>
                <c:ptCount val="1"/>
                <c:pt idx="0">
                  <c:v>D&amp;A / Rev</c:v>
                </c:pt>
              </c:strCache>
            </c:strRef>
          </c:tx>
          <c:spPr>
            <a:ln w="28575" cap="rnd">
              <a:solidFill>
                <a:schemeClr val="accent1">
                  <a:lumMod val="60000"/>
                </a:schemeClr>
              </a:solidFill>
              <a:round/>
            </a:ln>
            <a:effectLst/>
          </c:spPr>
          <c:marker>
            <c:symbol val="none"/>
          </c:marker>
          <c:cat>
            <c:strRef>
              <c:f>'COST '!$B$6:$B$10</c:f>
              <c:strCache>
                <c:ptCount val="5"/>
                <c:pt idx="0">
                  <c:v>Dec-31-2018</c:v>
                </c:pt>
                <c:pt idx="1">
                  <c:v>Dec-31-2019</c:v>
                </c:pt>
                <c:pt idx="2">
                  <c:v>Dec-31-2020</c:v>
                </c:pt>
                <c:pt idx="3">
                  <c:v>Dec-31-2021</c:v>
                </c:pt>
                <c:pt idx="4">
                  <c:v>Dec-31-2022</c:v>
                </c:pt>
              </c:strCache>
            </c:strRef>
          </c:cat>
          <c:val>
            <c:numRef>
              <c:f>'COST '!$I$6:$I$10</c:f>
              <c:numCache>
                <c:formatCode>General</c:formatCode>
                <c:ptCount val="5"/>
                <c:pt idx="0">
                  <c:v>0.33047959792145837</c:v>
                </c:pt>
                <c:pt idx="1">
                  <c:v>0.29293448672191641</c:v>
                </c:pt>
                <c:pt idx="2">
                  <c:v>0.23692126336327793</c:v>
                </c:pt>
                <c:pt idx="3">
                  <c:v>0.28957850306164912</c:v>
                </c:pt>
                <c:pt idx="4">
                  <c:v>0.21491508648263705</c:v>
                </c:pt>
              </c:numCache>
            </c:numRef>
          </c:val>
          <c:smooth val="0"/>
          <c:extLst>
            <c:ext xmlns:c16="http://schemas.microsoft.com/office/drawing/2014/chart" uri="{C3380CC4-5D6E-409C-BE32-E72D297353CC}">
              <c16:uniqueId val="{00000006-4C45-4EF0-A045-DFC03D52F36D}"/>
            </c:ext>
          </c:extLst>
        </c:ser>
        <c:dLbls>
          <c:showLegendKey val="0"/>
          <c:showVal val="0"/>
          <c:showCatName val="0"/>
          <c:showSerName val="0"/>
          <c:showPercent val="0"/>
          <c:showBubbleSize val="0"/>
        </c:dLbls>
        <c:smooth val="0"/>
        <c:axId val="732483311"/>
        <c:axId val="390695135"/>
      </c:lineChart>
      <c:catAx>
        <c:axId val="73248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95135"/>
        <c:crosses val="autoZero"/>
        <c:auto val="1"/>
        <c:lblAlgn val="ctr"/>
        <c:lblOffset val="100"/>
        <c:noMultiLvlLbl val="0"/>
      </c:catAx>
      <c:valAx>
        <c:axId val="390695135"/>
        <c:scaling>
          <c:orientation val="minMax"/>
        </c:scaling>
        <c:delete val="0"/>
        <c:axPos val="l"/>
        <c:numFmt formatCode="_(* #,##0.0_);_(* \(#,##0.0\)_)\ ;_(* 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83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Assets!$E$3</c:f>
              <c:strCache>
                <c:ptCount val="1"/>
                <c:pt idx="0">
                  <c:v>Cash/Revenue</c:v>
                </c:pt>
              </c:strCache>
            </c:strRef>
          </c:tx>
          <c:cat>
            <c:strRef>
              <c:extLst>
                <c:ext xmlns:c15="http://schemas.microsoft.com/office/drawing/2012/chart" uri="{02D57815-91ED-43cb-92C2-25804820EDAC}">
                  <c15:fullRef>
                    <c15:sqref>Assets!$B$3:$B$8</c15:sqref>
                  </c15:fullRef>
                </c:ext>
              </c:extLst>
              <c:f>Assets!$B$4:$B$8</c:f>
              <c:strCache>
                <c:ptCount val="5"/>
                <c:pt idx="0">
                  <c:v>2018</c:v>
                </c:pt>
                <c:pt idx="1">
                  <c:v>2019</c:v>
                </c:pt>
                <c:pt idx="2">
                  <c:v>2020</c:v>
                </c:pt>
                <c:pt idx="3">
                  <c:v>2021</c:v>
                </c:pt>
                <c:pt idx="4">
                  <c:v>2022</c:v>
                </c:pt>
              </c:strCache>
            </c:strRef>
          </c:cat>
          <c:val>
            <c:numRef>
              <c:extLst>
                <c:ext xmlns:c15="http://schemas.microsoft.com/office/drawing/2012/chart" uri="{02D57815-91ED-43cb-92C2-25804820EDAC}">
                  <c15:fullRef>
                    <c15:sqref>Assets!$E$4:$E$8</c15:sqref>
                  </c15:fullRef>
                </c:ext>
              </c:extLst>
              <c:f>Assets!$E$5:$E$8</c:f>
              <c:numCache>
                <c:formatCode>_(* #,##0.0_);_(* \(#,##0.0\)_)\ ;_(* 0_)</c:formatCode>
                <c:ptCount val="4"/>
                <c:pt idx="0">
                  <c:v>0.18196116387393382</c:v>
                </c:pt>
                <c:pt idx="1">
                  <c:v>1.2147270436161133</c:v>
                </c:pt>
                <c:pt idx="2">
                  <c:v>1.3095139012742008</c:v>
                </c:pt>
                <c:pt idx="3">
                  <c:v>0.24851838887614816</c:v>
                </c:pt>
              </c:numCache>
            </c:numRef>
          </c:val>
          <c:smooth val="0"/>
          <c:extLst>
            <c:ext xmlns:c16="http://schemas.microsoft.com/office/drawing/2014/chart" uri="{C3380CC4-5D6E-409C-BE32-E72D297353CC}">
              <c16:uniqueId val="{00000003-CBF6-41E4-BDF4-E0D934191822}"/>
            </c:ext>
          </c:extLst>
        </c:ser>
        <c:ser>
          <c:idx val="1"/>
          <c:order val="1"/>
          <c:tx>
            <c:strRef>
              <c:f>Assets!$F$3</c:f>
              <c:strCache>
                <c:ptCount val="1"/>
                <c:pt idx="0">
                  <c:v>Average </c:v>
                </c:pt>
              </c:strCache>
            </c:strRef>
          </c:tx>
          <c:spPr>
            <a:ln w="28575" cap="rnd">
              <a:solidFill>
                <a:schemeClr val="accent1">
                  <a:lumMod val="40000"/>
                  <a:lumOff val="60000"/>
                </a:schemeClr>
              </a:solidFill>
              <a:round/>
            </a:ln>
            <a:effectLst/>
          </c:spPr>
          <c:marker>
            <c:spPr>
              <a:solidFill>
                <a:schemeClr val="accent4"/>
              </a:solidFill>
              <a:ln w="9525">
                <a:solidFill>
                  <a:schemeClr val="accent4"/>
                </a:solidFill>
              </a:ln>
              <a:effectLst/>
            </c:spPr>
          </c:marker>
          <c:cat>
            <c:strRef>
              <c:extLst>
                <c:ext xmlns:c15="http://schemas.microsoft.com/office/drawing/2012/chart" uri="{02D57815-91ED-43cb-92C2-25804820EDAC}">
                  <c15:fullRef>
                    <c15:sqref>Assets!$B$3:$B$8</c15:sqref>
                  </c15:fullRef>
                </c:ext>
              </c:extLst>
              <c:f>Assets!$B$4:$B$8</c:f>
              <c:strCache>
                <c:ptCount val="5"/>
                <c:pt idx="0">
                  <c:v>2018</c:v>
                </c:pt>
                <c:pt idx="1">
                  <c:v>2019</c:v>
                </c:pt>
                <c:pt idx="2">
                  <c:v>2020</c:v>
                </c:pt>
                <c:pt idx="3">
                  <c:v>2021</c:v>
                </c:pt>
                <c:pt idx="4">
                  <c:v>2022</c:v>
                </c:pt>
              </c:strCache>
            </c:strRef>
          </c:cat>
          <c:val>
            <c:numRef>
              <c:extLst>
                <c:ext xmlns:c15="http://schemas.microsoft.com/office/drawing/2012/chart" uri="{02D57815-91ED-43cb-92C2-25804820EDAC}">
                  <c15:fullRef>
                    <c15:sqref>Assets!$F$4:$F$8</c15:sqref>
                  </c15:fullRef>
                </c:ext>
              </c:extLst>
              <c:f>Assets!$F$5:$F$8</c:f>
              <c:numCache>
                <c:formatCode>_(* #,##0.0_);_(* \(#,##0.0\)_)\ ;_(* 0_)</c:formatCode>
                <c:ptCount val="4"/>
                <c:pt idx="0">
                  <c:v>0.6184932945191346</c:v>
                </c:pt>
                <c:pt idx="1">
                  <c:v>0.6184932945191346</c:v>
                </c:pt>
                <c:pt idx="2">
                  <c:v>0.6184932945191346</c:v>
                </c:pt>
                <c:pt idx="3">
                  <c:v>0.6184932945191346</c:v>
                </c:pt>
              </c:numCache>
            </c:numRef>
          </c:val>
          <c:smooth val="0"/>
          <c:extLst>
            <c:ext xmlns:c16="http://schemas.microsoft.com/office/drawing/2014/chart" uri="{C3380CC4-5D6E-409C-BE32-E72D297353CC}">
              <c16:uniqueId val="{00000004-CBF6-41E4-BDF4-E0D934191822}"/>
            </c:ext>
          </c:extLst>
        </c:ser>
        <c:dLbls>
          <c:showLegendKey val="0"/>
          <c:showVal val="0"/>
          <c:showCatName val="0"/>
          <c:showSerName val="0"/>
          <c:showPercent val="0"/>
          <c:showBubbleSize val="0"/>
        </c:dLbls>
        <c:marker val="1"/>
        <c:smooth val="0"/>
        <c:axId val="354094831"/>
        <c:axId val="1"/>
      </c:lineChart>
      <c:catAx>
        <c:axId val="35409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_(* 0_)"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54094831"/>
        <c:crosses val="autoZero"/>
        <c:crossBetween val="between"/>
      </c:valAx>
      <c:spPr>
        <a:noFill/>
        <a:ln w="25400">
          <a:noFill/>
        </a:ln>
      </c:spPr>
    </c:plotArea>
    <c:legend>
      <c:legendPos val="r"/>
      <c:layout>
        <c:manualLayout>
          <c:xMode val="edge"/>
          <c:yMode val="edge"/>
          <c:x val="0.34195340867365676"/>
          <c:y val="4.0542127356031715E-2"/>
          <c:w val="0.15551923510167939"/>
          <c:h val="0.43711389196895295"/>
        </c:manualLayout>
      </c:layout>
      <c:overlay val="0"/>
      <c:spPr>
        <a:noFill/>
        <a:ln w="25400">
          <a:noFill/>
        </a:ln>
      </c:spPr>
      <c:txPr>
        <a:bodyPr/>
        <a:lstStyle/>
        <a:p>
          <a:pPr>
            <a:defRPr sz="690" b="0" i="0" u="none" strike="noStrike" baseline="0">
              <a:solidFill>
                <a:srgbClr val="80808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'[2]Current Assets'!$E$30</c:f>
              <c:strCache>
                <c:ptCount val="1"/>
                <c:pt idx="0">
                  <c:v>Receivables/Revenue</c:v>
                </c:pt>
              </c:strCache>
            </c:strRef>
          </c:tx>
          <c:spPr>
            <a:ln w="28575" cap="rnd">
              <a:solidFill>
                <a:schemeClr val="accent1">
                  <a:lumMod val="60000"/>
                  <a:lumOff val="40000"/>
                </a:schemeClr>
              </a:solidFill>
              <a:round/>
            </a:ln>
            <a:effectLst/>
          </c:spPr>
          <c:marker>
            <c:symbol val="circle"/>
            <c:size val="5"/>
            <c:spPr>
              <a:solidFill>
                <a:schemeClr val="accent2"/>
              </a:solidFill>
              <a:ln w="9525">
                <a:solidFill>
                  <a:schemeClr val="accent2"/>
                </a:solidFill>
              </a:ln>
              <a:effectLst/>
            </c:spPr>
          </c:marker>
          <c:cat>
            <c:numRef>
              <c:f>'[2]Current Assets'!$B$31:$B$43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'[2]Current Assets'!$E$31:$E$43</c:f>
              <c:numCache>
                <c:formatCode>General</c:formatCode>
                <c:ptCount val="13"/>
                <c:pt idx="0">
                  <c:v>1.8189526118463757E-2</c:v>
                </c:pt>
                <c:pt idx="1">
                  <c:v>1.2808695749918506E-2</c:v>
                </c:pt>
                <c:pt idx="2">
                  <c:v>5.1976391807273693E-3</c:v>
                </c:pt>
                <c:pt idx="3">
                  <c:v>4.6345553497699147E-3</c:v>
                </c:pt>
                <c:pt idx="4">
                  <c:v>7.4805742627521068E-3</c:v>
                </c:pt>
                <c:pt idx="5">
                  <c:v>7.6485091082693036E-3</c:v>
                </c:pt>
                <c:pt idx="6">
                  <c:v>6.3614917183647066E-3</c:v>
                </c:pt>
                <c:pt idx="7">
                  <c:v>3.9242584004722759E-3</c:v>
                </c:pt>
                <c:pt idx="8">
                  <c:v>7.2373310845880289E-3</c:v>
                </c:pt>
                <c:pt idx="9">
                  <c:v>1.0882764111389437E-2</c:v>
                </c:pt>
                <c:pt idx="10">
                  <c:v>1.0107064164113453E-2</c:v>
                </c:pt>
                <c:pt idx="11">
                  <c:v>1.4175537310316799E-2</c:v>
                </c:pt>
                <c:pt idx="12">
                  <c:v>1.2307130195119823E-2</c:v>
                </c:pt>
              </c:numCache>
            </c:numRef>
          </c:val>
          <c:smooth val="0"/>
          <c:extLst>
            <c:ext xmlns:c16="http://schemas.microsoft.com/office/drawing/2014/chart" uri="{C3380CC4-5D6E-409C-BE32-E72D297353CC}">
              <c16:uniqueId val="{00000000-286F-45E2-8013-A7CDFFF2D6A5}"/>
            </c:ext>
          </c:extLst>
        </c:ser>
        <c:ser>
          <c:idx val="0"/>
          <c:order val="1"/>
          <c:tx>
            <c:strRef>
              <c:f>'[2]Current Assets'!$F$30</c:f>
              <c:strCache>
                <c:ptCount val="1"/>
                <c:pt idx="0">
                  <c:v>Average Rec/Rev</c:v>
                </c:pt>
              </c:strCache>
            </c:strRef>
          </c:tx>
          <c:cat>
            <c:numRef>
              <c:f>'[2]Current Assets'!$B$31:$B$43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'[2]Current Assets'!$F$31:$F$43</c:f>
              <c:numCache>
                <c:formatCode>General</c:formatCode>
                <c:ptCount val="13"/>
                <c:pt idx="0">
                  <c:v>9.304236673405037E-3</c:v>
                </c:pt>
                <c:pt idx="1">
                  <c:v>9.304236673405037E-3</c:v>
                </c:pt>
                <c:pt idx="2">
                  <c:v>9.304236673405037E-3</c:v>
                </c:pt>
                <c:pt idx="3">
                  <c:v>9.304236673405037E-3</c:v>
                </c:pt>
                <c:pt idx="4">
                  <c:v>9.304236673405037E-3</c:v>
                </c:pt>
                <c:pt idx="5">
                  <c:v>9.304236673405037E-3</c:v>
                </c:pt>
                <c:pt idx="6">
                  <c:v>9.304236673405037E-3</c:v>
                </c:pt>
                <c:pt idx="7">
                  <c:v>9.304236673405037E-3</c:v>
                </c:pt>
                <c:pt idx="8">
                  <c:v>9.304236673405037E-3</c:v>
                </c:pt>
                <c:pt idx="9">
                  <c:v>9.304236673405037E-3</c:v>
                </c:pt>
                <c:pt idx="10">
                  <c:v>9.304236673405037E-3</c:v>
                </c:pt>
                <c:pt idx="11">
                  <c:v>9.304236673405037E-3</c:v>
                </c:pt>
                <c:pt idx="12">
                  <c:v>9.304236673405037E-3</c:v>
                </c:pt>
              </c:numCache>
            </c:numRef>
          </c:val>
          <c:smooth val="0"/>
          <c:extLst>
            <c:ext xmlns:c16="http://schemas.microsoft.com/office/drawing/2014/chart" uri="{C3380CC4-5D6E-409C-BE32-E72D297353CC}">
              <c16:uniqueId val="{00000001-286F-45E2-8013-A7CDFFF2D6A5}"/>
            </c:ext>
          </c:extLst>
        </c:ser>
        <c:dLbls>
          <c:showLegendKey val="0"/>
          <c:showVal val="0"/>
          <c:showCatName val="0"/>
          <c:showSerName val="0"/>
          <c:showPercent val="0"/>
          <c:showBubbleSize val="0"/>
        </c:dLbls>
        <c:marker val="1"/>
        <c:smooth val="0"/>
        <c:axId val="354114319"/>
        <c:axId val="1"/>
      </c:lineChart>
      <c:catAx>
        <c:axId val="35411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54114319"/>
        <c:crosses val="autoZero"/>
        <c:crossBetween val="between"/>
      </c:valAx>
      <c:spPr>
        <a:noFill/>
        <a:ln w="25400">
          <a:noFill/>
        </a:ln>
      </c:spPr>
    </c:plotArea>
    <c:legend>
      <c:legendPos val="r"/>
      <c:layout>
        <c:manualLayout>
          <c:xMode val="edge"/>
          <c:yMode val="edge"/>
          <c:x val="0.24188499164877117"/>
          <c:y val="4.0405416450971315E-2"/>
          <c:w val="0.51265187306132187"/>
          <c:h val="0.10438056834591178"/>
        </c:manualLayout>
      </c:layout>
      <c:overlay val="0"/>
      <c:spPr>
        <a:noFill/>
        <a:ln w="25400">
          <a:noFill/>
        </a:ln>
      </c:spPr>
      <c:txPr>
        <a:bodyPr/>
        <a:lstStyle/>
        <a:p>
          <a:pPr>
            <a:defRPr sz="690" b="0" i="0" u="none" strike="noStrike" baseline="0">
              <a:solidFill>
                <a:srgbClr val="80808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strRef>
              <c:f>Assets!$B$38</c:f>
              <c:strCache>
                <c:ptCount val="1"/>
                <c:pt idx="0">
                  <c:v>  Total Current Assets</c:v>
                </c:pt>
              </c:strCache>
            </c:strRef>
          </c:tx>
          <c:marker>
            <c:symbol val="circle"/>
            <c:size val="5"/>
            <c:spPr>
              <a:solidFill>
                <a:schemeClr val="accent3"/>
              </a:solidFill>
              <a:ln w="9525">
                <a:solidFill>
                  <a:schemeClr val="accent3"/>
                </a:solidFill>
              </a:ln>
              <a:effectLst/>
            </c:spPr>
          </c:marker>
          <c:cat>
            <c:numRef>
              <c:f>Assets!$C$37:$G$37</c:f>
              <c:numCache>
                <c:formatCode>General</c:formatCode>
                <c:ptCount val="5"/>
                <c:pt idx="0">
                  <c:v>2018</c:v>
                </c:pt>
                <c:pt idx="1">
                  <c:v>2019</c:v>
                </c:pt>
                <c:pt idx="2">
                  <c:v>2020</c:v>
                </c:pt>
                <c:pt idx="3">
                  <c:v>2021</c:v>
                </c:pt>
                <c:pt idx="4">
                  <c:v>2022</c:v>
                </c:pt>
              </c:numCache>
            </c:numRef>
          </c:cat>
          <c:val>
            <c:numRef>
              <c:f>Assets!$C$38:$G$38</c:f>
              <c:numCache>
                <c:formatCode>_(* #,##0.0_);_(* \(#,##0.0\)_)\ ;_(* 0_)</c:formatCode>
                <c:ptCount val="5"/>
                <c:pt idx="0">
                  <c:v>6.3819999999999997</c:v>
                </c:pt>
                <c:pt idx="1">
                  <c:v>10.342000000000001</c:v>
                </c:pt>
                <c:pt idx="2">
                  <c:v>68.174000000000007</c:v>
                </c:pt>
                <c:pt idx="3">
                  <c:v>77.519000000000005</c:v>
                </c:pt>
                <c:pt idx="4">
                  <c:v>90.298000000000002</c:v>
                </c:pt>
              </c:numCache>
            </c:numRef>
          </c:val>
          <c:smooth val="0"/>
          <c:extLst>
            <c:ext xmlns:c16="http://schemas.microsoft.com/office/drawing/2014/chart" uri="{C3380CC4-5D6E-409C-BE32-E72D297353CC}">
              <c16:uniqueId val="{00000001-DD60-4B47-A9B0-3EAE9AB2CB07}"/>
            </c:ext>
          </c:extLst>
        </c:ser>
        <c:ser>
          <c:idx val="0"/>
          <c:order val="1"/>
          <c:tx>
            <c:strRef>
              <c:f>Assets!$B$39</c:f>
              <c:strCache>
                <c:ptCount val="1"/>
                <c:pt idx="0">
                  <c:v>  Total Revenue</c:v>
                </c:pt>
              </c:strCache>
            </c:strRef>
          </c:tx>
          <c:cat>
            <c:numRef>
              <c:f>Assets!$C$37:$G$37</c:f>
              <c:numCache>
                <c:formatCode>General</c:formatCode>
                <c:ptCount val="5"/>
                <c:pt idx="0">
                  <c:v>2018</c:v>
                </c:pt>
                <c:pt idx="1">
                  <c:v>2019</c:v>
                </c:pt>
                <c:pt idx="2">
                  <c:v>2020</c:v>
                </c:pt>
                <c:pt idx="3">
                  <c:v>2021</c:v>
                </c:pt>
                <c:pt idx="4">
                  <c:v>2022</c:v>
                </c:pt>
              </c:numCache>
            </c:numRef>
          </c:cat>
          <c:val>
            <c:numRef>
              <c:f>Assets!$C$39:$G$39</c:f>
              <c:numCache>
                <c:formatCode>_(* #,##0.0_);_(* \(#,##0.0\)_)\ ;_(* 0_)</c:formatCode>
                <c:ptCount val="5"/>
                <c:pt idx="0">
                  <c:v>23.478000000000002</c:v>
                </c:pt>
                <c:pt idx="1">
                  <c:v>33.061999999999998</c:v>
                </c:pt>
                <c:pt idx="2">
                  <c:v>49.201999999999998</c:v>
                </c:pt>
                <c:pt idx="3">
                  <c:v>50.463000000000001</c:v>
                </c:pt>
                <c:pt idx="4">
                  <c:v>165.69800000000001</c:v>
                </c:pt>
              </c:numCache>
            </c:numRef>
          </c:val>
          <c:smooth val="0"/>
          <c:extLst>
            <c:ext xmlns:c16="http://schemas.microsoft.com/office/drawing/2014/chart" uri="{C3380CC4-5D6E-409C-BE32-E72D297353CC}">
              <c16:uniqueId val="{00000004-DD60-4B47-A9B0-3EAE9AB2CB07}"/>
            </c:ext>
          </c:extLst>
        </c:ser>
        <c:dLbls>
          <c:showLegendKey val="0"/>
          <c:showVal val="0"/>
          <c:showCatName val="0"/>
          <c:showSerName val="0"/>
          <c:showPercent val="0"/>
          <c:showBubbleSize val="0"/>
        </c:dLbls>
        <c:marker val="1"/>
        <c:smooth val="0"/>
        <c:axId val="354112927"/>
        <c:axId val="1"/>
      </c:lineChart>
      <c:catAx>
        <c:axId val="3541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_(* #,##0.0_);_(* \(#,##0.0\)_)\ ;_(* 0_)"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54112927"/>
        <c:crosses val="autoZero"/>
        <c:crossBetween val="between"/>
      </c:valAx>
      <c:spPr>
        <a:noFill/>
        <a:ln w="25400">
          <a:noFill/>
        </a:ln>
      </c:spPr>
    </c:plotArea>
    <c:legend>
      <c:legendPos val="r"/>
      <c:layout>
        <c:manualLayout>
          <c:xMode val="edge"/>
          <c:yMode val="edge"/>
          <c:x val="0.28513324005986856"/>
          <c:y val="3.7038415652588877E-2"/>
          <c:w val="0.22681917993344788"/>
          <c:h val="0.17293991300161521"/>
        </c:manualLayout>
      </c:layout>
      <c:overlay val="0"/>
      <c:spPr>
        <a:noFill/>
        <a:ln w="25400">
          <a:noFill/>
        </a:ln>
      </c:spPr>
      <c:txPr>
        <a:bodyPr/>
        <a:lstStyle/>
        <a:p>
          <a:pPr>
            <a:defRPr sz="690" b="0" i="0" u="none" strike="noStrike" baseline="0">
              <a:solidFill>
                <a:srgbClr val="80808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0"/>
          <c:tx>
            <c:strRef>
              <c:f>Assets!$B$61</c:f>
              <c:strCache>
                <c:ptCount val="1"/>
                <c:pt idx="0">
                  <c:v>Prepaid / Revenue </c:v>
                </c:pt>
              </c:strCache>
            </c:strRef>
          </c:tx>
          <c:cat>
            <c:numRef>
              <c:f>Assets!$C$58:$G$58</c:f>
              <c:numCache>
                <c:formatCode>General</c:formatCode>
                <c:ptCount val="5"/>
                <c:pt idx="0">
                  <c:v>2018</c:v>
                </c:pt>
                <c:pt idx="1">
                  <c:v>2019</c:v>
                </c:pt>
                <c:pt idx="2">
                  <c:v>2020</c:v>
                </c:pt>
                <c:pt idx="3">
                  <c:v>2021</c:v>
                </c:pt>
                <c:pt idx="4">
                  <c:v>2022</c:v>
                </c:pt>
              </c:numCache>
            </c:numRef>
          </c:cat>
          <c:val>
            <c:numRef>
              <c:f>Assets!$C$61:$G$61</c:f>
              <c:numCache>
                <c:formatCode>_(* #,##0.000_);_(* \(#,##0.000\)_)\ ;_(* 0.000_)</c:formatCode>
                <c:ptCount val="5"/>
                <c:pt idx="0">
                  <c:v>2.1637277451230938E-2</c:v>
                </c:pt>
                <c:pt idx="1">
                  <c:v>2.7372814711753679E-2</c:v>
                </c:pt>
                <c:pt idx="2">
                  <c:v>2.9389049225641235E-2</c:v>
                </c:pt>
                <c:pt idx="3">
                  <c:v>5.2731704417097673E-2</c:v>
                </c:pt>
                <c:pt idx="4">
                  <c:v>3.4937054158770769E-2</c:v>
                </c:pt>
              </c:numCache>
            </c:numRef>
          </c:val>
          <c:smooth val="0"/>
          <c:extLst>
            <c:ext xmlns:c16="http://schemas.microsoft.com/office/drawing/2014/chart" uri="{C3380CC4-5D6E-409C-BE32-E72D297353CC}">
              <c16:uniqueId val="{00000003-3494-419F-81A3-610B8C6AD3C6}"/>
            </c:ext>
          </c:extLst>
        </c:ser>
        <c:ser>
          <c:idx val="4"/>
          <c:order val="1"/>
          <c:tx>
            <c:strRef>
              <c:f>Assets!$B$62</c:f>
              <c:strCache>
                <c:ptCount val="1"/>
                <c:pt idx="0">
                  <c:v>Average </c:v>
                </c:pt>
              </c:strCache>
            </c:strRef>
          </c:tx>
          <c:cat>
            <c:numRef>
              <c:f>Assets!$C$58:$G$58</c:f>
              <c:numCache>
                <c:formatCode>General</c:formatCode>
                <c:ptCount val="5"/>
                <c:pt idx="0">
                  <c:v>2018</c:v>
                </c:pt>
                <c:pt idx="1">
                  <c:v>2019</c:v>
                </c:pt>
                <c:pt idx="2">
                  <c:v>2020</c:v>
                </c:pt>
                <c:pt idx="3">
                  <c:v>2021</c:v>
                </c:pt>
                <c:pt idx="4">
                  <c:v>2022</c:v>
                </c:pt>
              </c:numCache>
            </c:numRef>
          </c:cat>
          <c:val>
            <c:numRef>
              <c:f>Assets!$C$62:$G$62</c:f>
              <c:numCache>
                <c:formatCode>_(* #,##0.000_);_(* \(#,##0.000\)_)\ ;_(* 0.000_)</c:formatCode>
                <c:ptCount val="5"/>
                <c:pt idx="0">
                  <c:v>3.321357999289886E-2</c:v>
                </c:pt>
                <c:pt idx="1">
                  <c:v>3.321357999289886E-2</c:v>
                </c:pt>
                <c:pt idx="2">
                  <c:v>3.321357999289886E-2</c:v>
                </c:pt>
                <c:pt idx="3">
                  <c:v>3.321357999289886E-2</c:v>
                </c:pt>
                <c:pt idx="4">
                  <c:v>3.321357999289886E-2</c:v>
                </c:pt>
              </c:numCache>
            </c:numRef>
          </c:val>
          <c:smooth val="0"/>
          <c:extLst>
            <c:ext xmlns:c16="http://schemas.microsoft.com/office/drawing/2014/chart" uri="{C3380CC4-5D6E-409C-BE32-E72D297353CC}">
              <c16:uniqueId val="{00000004-3494-419F-81A3-610B8C6AD3C6}"/>
            </c:ext>
          </c:extLst>
        </c:ser>
        <c:dLbls>
          <c:showLegendKey val="0"/>
          <c:showVal val="0"/>
          <c:showCatName val="0"/>
          <c:showSerName val="0"/>
          <c:showPercent val="0"/>
          <c:showBubbleSize val="0"/>
        </c:dLbls>
        <c:marker val="1"/>
        <c:smooth val="0"/>
        <c:axId val="354112927"/>
        <c:axId val="1"/>
      </c:lineChart>
      <c:catAx>
        <c:axId val="3541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_(* #,##0.000_);_(* \(#,##0.000\)_)\ ;_(* 0.000_)"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54112927"/>
        <c:crosses val="autoZero"/>
        <c:crossBetween val="between"/>
      </c:valAx>
      <c:spPr>
        <a:noFill/>
        <a:ln w="25400">
          <a:noFill/>
        </a:ln>
      </c:spPr>
    </c:plotArea>
    <c:legend>
      <c:legendPos val="r"/>
      <c:layout>
        <c:manualLayout>
          <c:xMode val="edge"/>
          <c:yMode val="edge"/>
          <c:x val="0.28513324005986856"/>
          <c:y val="3.7038415652588877E-2"/>
          <c:w val="0.21050846068196416"/>
          <c:h val="0.12161071244231693"/>
        </c:manualLayout>
      </c:layout>
      <c:overlay val="0"/>
      <c:spPr>
        <a:noFill/>
        <a:ln w="25400">
          <a:noFill/>
        </a:ln>
      </c:spPr>
      <c:txPr>
        <a:bodyPr/>
        <a:lstStyle/>
        <a:p>
          <a:pPr>
            <a:defRPr sz="690" b="0" i="0" u="none" strike="noStrike" baseline="0">
              <a:solidFill>
                <a:srgbClr val="80808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0"/>
          <c:tx>
            <c:strRef>
              <c:f>Assets!$E$81</c:f>
              <c:strCache>
                <c:ptCount val="1"/>
                <c:pt idx="0">
                  <c:v>  PPE/Revenue</c:v>
                </c:pt>
              </c:strCache>
            </c:strRef>
          </c:tx>
          <c:cat>
            <c:numRef>
              <c:f>Assets!$B$82:$B$86</c:f>
              <c:numCache>
                <c:formatCode>General</c:formatCode>
                <c:ptCount val="5"/>
                <c:pt idx="0">
                  <c:v>2018</c:v>
                </c:pt>
                <c:pt idx="1">
                  <c:v>2019</c:v>
                </c:pt>
                <c:pt idx="2">
                  <c:v>2020</c:v>
                </c:pt>
                <c:pt idx="3">
                  <c:v>2021</c:v>
                </c:pt>
                <c:pt idx="4">
                  <c:v>2022</c:v>
                </c:pt>
              </c:numCache>
            </c:numRef>
          </c:cat>
          <c:val>
            <c:numRef>
              <c:f>Assets!$E$82:$E$86</c:f>
              <c:numCache>
                <c:formatCode>General</c:formatCode>
                <c:ptCount val="5"/>
                <c:pt idx="0">
                  <c:v>2.2318766504813015E-2</c:v>
                </c:pt>
                <c:pt idx="1">
                  <c:v>0.16747323210937029</c:v>
                </c:pt>
                <c:pt idx="2">
                  <c:v>8.9996341612129591E-2</c:v>
                </c:pt>
                <c:pt idx="3">
                  <c:v>0.19897746864038998</c:v>
                </c:pt>
                <c:pt idx="4">
                  <c:v>7.2209682675711234E-2</c:v>
                </c:pt>
              </c:numCache>
            </c:numRef>
          </c:val>
          <c:smooth val="0"/>
          <c:extLst>
            <c:ext xmlns:c16="http://schemas.microsoft.com/office/drawing/2014/chart" uri="{C3380CC4-5D6E-409C-BE32-E72D297353CC}">
              <c16:uniqueId val="{00000003-891E-462F-A269-36DC8847B6C3}"/>
            </c:ext>
          </c:extLst>
        </c:ser>
        <c:ser>
          <c:idx val="4"/>
          <c:order val="1"/>
          <c:tx>
            <c:strRef>
              <c:f>Assets!$F$81</c:f>
              <c:strCache>
                <c:ptCount val="1"/>
                <c:pt idx="0">
                  <c:v>Average</c:v>
                </c:pt>
              </c:strCache>
            </c:strRef>
          </c:tx>
          <c:cat>
            <c:numRef>
              <c:f>Assets!$B$82:$B$86</c:f>
              <c:numCache>
                <c:formatCode>General</c:formatCode>
                <c:ptCount val="5"/>
                <c:pt idx="0">
                  <c:v>2018</c:v>
                </c:pt>
                <c:pt idx="1">
                  <c:v>2019</c:v>
                </c:pt>
                <c:pt idx="2">
                  <c:v>2020</c:v>
                </c:pt>
                <c:pt idx="3">
                  <c:v>2021</c:v>
                </c:pt>
                <c:pt idx="4">
                  <c:v>2022</c:v>
                </c:pt>
              </c:numCache>
            </c:numRef>
          </c:cat>
          <c:val>
            <c:numRef>
              <c:f>Assets!$F$82:$F$86</c:f>
              <c:numCache>
                <c:formatCode>General</c:formatCode>
                <c:ptCount val="5"/>
                <c:pt idx="0">
                  <c:v>0.11019509830848281</c:v>
                </c:pt>
                <c:pt idx="1">
                  <c:v>0.11019509830848281</c:v>
                </c:pt>
                <c:pt idx="2">
                  <c:v>0.11019509830848281</c:v>
                </c:pt>
                <c:pt idx="3">
                  <c:v>0.11019509830848281</c:v>
                </c:pt>
                <c:pt idx="4">
                  <c:v>0.11019509830848281</c:v>
                </c:pt>
              </c:numCache>
            </c:numRef>
          </c:val>
          <c:smooth val="0"/>
          <c:extLst>
            <c:ext xmlns:c16="http://schemas.microsoft.com/office/drawing/2014/chart" uri="{C3380CC4-5D6E-409C-BE32-E72D297353CC}">
              <c16:uniqueId val="{00000004-891E-462F-A269-36DC8847B6C3}"/>
            </c:ext>
          </c:extLst>
        </c:ser>
        <c:dLbls>
          <c:showLegendKey val="0"/>
          <c:showVal val="0"/>
          <c:showCatName val="0"/>
          <c:showSerName val="0"/>
          <c:showPercent val="0"/>
          <c:showBubbleSize val="0"/>
        </c:dLbls>
        <c:marker val="1"/>
        <c:smooth val="0"/>
        <c:axId val="354099471"/>
        <c:axId val="1"/>
      </c:lineChart>
      <c:catAx>
        <c:axId val="35409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General"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54099471"/>
        <c:crosses val="autoZero"/>
        <c:crossBetween val="between"/>
      </c:valAx>
      <c:spPr>
        <a:noFill/>
        <a:ln w="25400">
          <a:noFill/>
        </a:ln>
      </c:spPr>
    </c:plotArea>
    <c:legend>
      <c:legendPos val="r"/>
      <c:layout>
        <c:manualLayout>
          <c:xMode val="edge"/>
          <c:yMode val="edge"/>
          <c:x val="0.27412795877579521"/>
          <c:y val="2.9198058875734057E-2"/>
          <c:w val="0.14159683770032461"/>
          <c:h val="0.1649451577524052"/>
        </c:manualLayout>
      </c:layout>
      <c:overlay val="0"/>
      <c:spPr>
        <a:noFill/>
        <a:ln w="25400">
          <a:noFill/>
        </a:ln>
      </c:spPr>
      <c:txPr>
        <a:bodyPr/>
        <a:lstStyle/>
        <a:p>
          <a:pPr>
            <a:defRPr sz="690" b="0" i="0" u="none" strike="noStrike" baseline="0">
              <a:solidFill>
                <a:srgbClr val="80808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51882081812945"/>
          <c:y val="5.4054054054054057E-2"/>
          <c:w val="0.86346384674476662"/>
          <c:h val="0.83194954439048929"/>
        </c:manualLayout>
      </c:layout>
      <c:lineChart>
        <c:grouping val="standard"/>
        <c:varyColors val="0"/>
        <c:ser>
          <c:idx val="3"/>
          <c:order val="0"/>
          <c:tx>
            <c:strRef>
              <c:f>'Liabilities '!$E$4</c:f>
              <c:strCache>
                <c:ptCount val="1"/>
                <c:pt idx="0">
                  <c:v>AccPay/Expenses</c:v>
                </c:pt>
              </c:strCache>
            </c:strRef>
          </c:tx>
          <c:spPr>
            <a:ln w="28575" cap="rnd">
              <a:solidFill>
                <a:srgbClr val="FFC000"/>
              </a:solidFill>
              <a:round/>
            </a:ln>
            <a:effectLst/>
          </c:spPr>
          <c:cat>
            <c:numRef>
              <c:f>'Liabilities '!$B$5:$B$9</c:f>
              <c:numCache>
                <c:formatCode>General</c:formatCode>
                <c:ptCount val="5"/>
                <c:pt idx="0">
                  <c:v>2018</c:v>
                </c:pt>
                <c:pt idx="1">
                  <c:v>2019</c:v>
                </c:pt>
                <c:pt idx="2">
                  <c:v>2020</c:v>
                </c:pt>
                <c:pt idx="3">
                  <c:v>2021</c:v>
                </c:pt>
                <c:pt idx="4">
                  <c:v>2022</c:v>
                </c:pt>
              </c:numCache>
            </c:numRef>
          </c:cat>
          <c:val>
            <c:numRef>
              <c:f>'Liabilities '!$E$5:$E$9</c:f>
              <c:numCache>
                <c:formatCode>0.0%</c:formatCode>
                <c:ptCount val="5"/>
                <c:pt idx="0">
                  <c:v>1.5818516247700799E-2</c:v>
                </c:pt>
                <c:pt idx="1">
                  <c:v>2.0214759296627274E-2</c:v>
                </c:pt>
                <c:pt idx="2">
                  <c:v>4.868719983895551E-2</c:v>
                </c:pt>
                <c:pt idx="3">
                  <c:v>2.8694614788924003E-2</c:v>
                </c:pt>
                <c:pt idx="4">
                  <c:v>4.466765037353751E-2</c:v>
                </c:pt>
              </c:numCache>
            </c:numRef>
          </c:val>
          <c:smooth val="0"/>
          <c:extLst>
            <c:ext xmlns:c16="http://schemas.microsoft.com/office/drawing/2014/chart" uri="{C3380CC4-5D6E-409C-BE32-E72D297353CC}">
              <c16:uniqueId val="{00000003-1EFC-4FB7-8258-2C0A8C291660}"/>
            </c:ext>
          </c:extLst>
        </c:ser>
        <c:ser>
          <c:idx val="4"/>
          <c:order val="1"/>
          <c:tx>
            <c:strRef>
              <c:f>'Liabilities '!$F$4</c:f>
              <c:strCache>
                <c:ptCount val="1"/>
                <c:pt idx="0">
                  <c:v>Average</c:v>
                </c:pt>
              </c:strCache>
            </c:strRef>
          </c:tx>
          <c:cat>
            <c:numRef>
              <c:f>'Liabilities '!$B$5:$B$9</c:f>
              <c:numCache>
                <c:formatCode>General</c:formatCode>
                <c:ptCount val="5"/>
                <c:pt idx="0">
                  <c:v>2018</c:v>
                </c:pt>
                <c:pt idx="1">
                  <c:v>2019</c:v>
                </c:pt>
                <c:pt idx="2">
                  <c:v>2020</c:v>
                </c:pt>
                <c:pt idx="3">
                  <c:v>2021</c:v>
                </c:pt>
                <c:pt idx="4">
                  <c:v>2022</c:v>
                </c:pt>
              </c:numCache>
            </c:numRef>
          </c:cat>
          <c:val>
            <c:numRef>
              <c:f>'Liabilities '!$F$5:$F$9</c:f>
              <c:numCache>
                <c:formatCode>0.0%</c:formatCode>
                <c:ptCount val="5"/>
                <c:pt idx="0">
                  <c:v>3.1616548109149024E-2</c:v>
                </c:pt>
                <c:pt idx="1">
                  <c:v>3.1616548109149024E-2</c:v>
                </c:pt>
                <c:pt idx="2">
                  <c:v>3.1616548109149024E-2</c:v>
                </c:pt>
                <c:pt idx="3">
                  <c:v>3.1616548109149024E-2</c:v>
                </c:pt>
                <c:pt idx="4">
                  <c:v>3.1616548109149024E-2</c:v>
                </c:pt>
              </c:numCache>
            </c:numRef>
          </c:val>
          <c:smooth val="0"/>
          <c:extLst>
            <c:ext xmlns:c16="http://schemas.microsoft.com/office/drawing/2014/chart" uri="{C3380CC4-5D6E-409C-BE32-E72D297353CC}">
              <c16:uniqueId val="{00000004-1EFC-4FB7-8258-2C0A8C291660}"/>
            </c:ext>
          </c:extLst>
        </c:ser>
        <c:dLbls>
          <c:showLegendKey val="0"/>
          <c:showVal val="0"/>
          <c:showCatName val="0"/>
          <c:showSerName val="0"/>
          <c:showPercent val="0"/>
          <c:showBubbleSize val="0"/>
        </c:dLbls>
        <c:marker val="1"/>
        <c:smooth val="0"/>
        <c:axId val="347528031"/>
        <c:axId val="1"/>
      </c:lineChart>
      <c:catAx>
        <c:axId val="34752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0%"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47528031"/>
        <c:crosses val="autoZero"/>
        <c:crossBetween val="between"/>
      </c:valAx>
      <c:spPr>
        <a:noFill/>
        <a:ln w="25400">
          <a:noFill/>
        </a:ln>
      </c:spPr>
    </c:plotArea>
    <c:legend>
      <c:legendPos val="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52337872493447"/>
          <c:y val="5.4053916682073787E-2"/>
          <c:w val="0.86346384674476662"/>
          <c:h val="0.83194954439048929"/>
        </c:manualLayout>
      </c:layout>
      <c:lineChart>
        <c:grouping val="standard"/>
        <c:varyColors val="0"/>
        <c:ser>
          <c:idx val="0"/>
          <c:order val="0"/>
          <c:tx>
            <c:strRef>
              <c:f>'Liabilities '!$E$22</c:f>
              <c:strCache>
                <c:ptCount val="1"/>
                <c:pt idx="0">
                  <c:v>AccPay/Expenses</c:v>
                </c:pt>
              </c:strCache>
            </c:strRef>
          </c:tx>
          <c:cat>
            <c:numRef>
              <c:f>'Liabilities '!$B$23:$B$27</c:f>
              <c:numCache>
                <c:formatCode>General</c:formatCode>
                <c:ptCount val="5"/>
                <c:pt idx="0">
                  <c:v>2018</c:v>
                </c:pt>
                <c:pt idx="1">
                  <c:v>2019</c:v>
                </c:pt>
                <c:pt idx="2">
                  <c:v>2020</c:v>
                </c:pt>
                <c:pt idx="3">
                  <c:v>2021</c:v>
                </c:pt>
                <c:pt idx="4">
                  <c:v>2022</c:v>
                </c:pt>
              </c:numCache>
            </c:numRef>
          </c:cat>
          <c:val>
            <c:numRef>
              <c:f>'Liabilities '!$E$23:$E$27</c:f>
              <c:numCache>
                <c:formatCode>0.0%</c:formatCode>
                <c:ptCount val="5"/>
                <c:pt idx="0">
                  <c:v>0.10758226037195995</c:v>
                </c:pt>
                <c:pt idx="1">
                  <c:v>0.13970164312481984</c:v>
                </c:pt>
                <c:pt idx="2">
                  <c:v>0.19495010496649698</c:v>
                </c:pt>
                <c:pt idx="3">
                  <c:v>0.20180413989409571</c:v>
                </c:pt>
                <c:pt idx="4">
                  <c:v>0.20512031044859355</c:v>
                </c:pt>
              </c:numCache>
            </c:numRef>
          </c:val>
          <c:smooth val="0"/>
          <c:extLst>
            <c:ext xmlns:c16="http://schemas.microsoft.com/office/drawing/2014/chart" uri="{C3380CC4-5D6E-409C-BE32-E72D297353CC}">
              <c16:uniqueId val="{00000002-644B-4012-ABE3-B09B645DB5C9}"/>
            </c:ext>
          </c:extLst>
        </c:ser>
        <c:ser>
          <c:idx val="1"/>
          <c:order val="1"/>
          <c:tx>
            <c:strRef>
              <c:f>'Liabilities '!$F$22</c:f>
              <c:strCache>
                <c:ptCount val="1"/>
                <c:pt idx="0">
                  <c:v>Average</c:v>
                </c:pt>
              </c:strCache>
            </c:strRef>
          </c:tx>
          <c:cat>
            <c:numRef>
              <c:f>'Liabilities '!$B$23:$B$27</c:f>
              <c:numCache>
                <c:formatCode>General</c:formatCode>
                <c:ptCount val="5"/>
                <c:pt idx="0">
                  <c:v>2018</c:v>
                </c:pt>
                <c:pt idx="1">
                  <c:v>2019</c:v>
                </c:pt>
                <c:pt idx="2">
                  <c:v>2020</c:v>
                </c:pt>
                <c:pt idx="3">
                  <c:v>2021</c:v>
                </c:pt>
                <c:pt idx="4">
                  <c:v>2022</c:v>
                </c:pt>
              </c:numCache>
            </c:numRef>
          </c:cat>
          <c:val>
            <c:numRef>
              <c:f>'Liabilities '!$F$23:$F$27</c:f>
              <c:numCache>
                <c:formatCode>0.0%</c:formatCode>
                <c:ptCount val="5"/>
                <c:pt idx="0">
                  <c:v>0.16983169176119323</c:v>
                </c:pt>
                <c:pt idx="1">
                  <c:v>0.16983169176119323</c:v>
                </c:pt>
                <c:pt idx="2">
                  <c:v>0.16983169176119323</c:v>
                </c:pt>
                <c:pt idx="3">
                  <c:v>0.16983169176119323</c:v>
                </c:pt>
                <c:pt idx="4">
                  <c:v>0.16983169176119323</c:v>
                </c:pt>
              </c:numCache>
            </c:numRef>
          </c:val>
          <c:smooth val="0"/>
          <c:extLst>
            <c:ext xmlns:c16="http://schemas.microsoft.com/office/drawing/2014/chart" uri="{C3380CC4-5D6E-409C-BE32-E72D297353CC}">
              <c16:uniqueId val="{00000003-644B-4012-ABE3-B09B645DB5C9}"/>
            </c:ext>
          </c:extLst>
        </c:ser>
        <c:dLbls>
          <c:showLegendKey val="0"/>
          <c:showVal val="0"/>
          <c:showCatName val="0"/>
          <c:showSerName val="0"/>
          <c:showPercent val="0"/>
          <c:showBubbleSize val="0"/>
        </c:dLbls>
        <c:marker val="1"/>
        <c:smooth val="0"/>
        <c:axId val="347528031"/>
        <c:axId val="1"/>
      </c:lineChart>
      <c:catAx>
        <c:axId val="34752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80808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numFmt formatCode="0.0%" sourceLinked="1"/>
        <c:majorTickMark val="none"/>
        <c:minorTickMark val="none"/>
        <c:tickLblPos val="nextTo"/>
        <c:spPr>
          <a:ln w="6350">
            <a:noFill/>
          </a:ln>
        </c:spPr>
        <c:txPr>
          <a:bodyPr rot="0" vert="horz"/>
          <a:lstStyle/>
          <a:p>
            <a:pPr>
              <a:defRPr sz="900" b="0" i="0" u="none" strike="noStrike" baseline="0">
                <a:solidFill>
                  <a:srgbClr val="808080"/>
                </a:solidFill>
                <a:latin typeface="Calibri"/>
                <a:ea typeface="Calibri"/>
                <a:cs typeface="Calibri"/>
              </a:defRPr>
            </a:pPr>
            <a:endParaRPr lang="en-US"/>
          </a:p>
        </c:txPr>
        <c:crossAx val="347528031"/>
        <c:crosses val="autoZero"/>
        <c:crossBetween val="between"/>
      </c:valAx>
      <c:spPr>
        <a:noFill/>
        <a:ln w="25400">
          <a:noFill/>
        </a:ln>
      </c:spPr>
    </c:plotArea>
    <c:legend>
      <c:legendPos val="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0"/>
          <c:tx>
            <c:strRef>
              <c:f>'Revenue '!$D$2</c:f>
              <c:strCache>
                <c:ptCount val="1"/>
                <c:pt idx="0">
                  <c:v>Change in Revenue </c:v>
                </c:pt>
              </c:strCache>
            </c:strRef>
          </c:tx>
          <c:spPr>
            <a:ln w="190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'!$B$3:$B$7</c:f>
              <c:strCache>
                <c:ptCount val="5"/>
                <c:pt idx="0">
                  <c:v>Dec-31-2018</c:v>
                </c:pt>
                <c:pt idx="1">
                  <c:v>Dec-31-2019</c:v>
                </c:pt>
                <c:pt idx="2">
                  <c:v>Dec-31-2020</c:v>
                </c:pt>
                <c:pt idx="3">
                  <c:v>Dec-31-2021</c:v>
                </c:pt>
                <c:pt idx="4">
                  <c:v>Dec-31-2022</c:v>
                </c:pt>
              </c:strCache>
            </c:strRef>
          </c:cat>
          <c:val>
            <c:numRef>
              <c:f>'Revenue '!$D$3:$D$7</c:f>
              <c:numCache>
                <c:formatCode>_(* #,##0.00_);_(* \(#,##0.00\);_(* "-"??_);_(@_)</c:formatCode>
                <c:ptCount val="5"/>
                <c:pt idx="1">
                  <c:v>0.40821194309566383</c:v>
                </c:pt>
                <c:pt idx="2">
                  <c:v>0.4881737341963584</c:v>
                </c:pt>
                <c:pt idx="3">
                  <c:v>2.5629039469940305E-2</c:v>
                </c:pt>
                <c:pt idx="4">
                  <c:v>2.283554287299606</c:v>
                </c:pt>
              </c:numCache>
            </c:numRef>
          </c:val>
          <c:smooth val="0"/>
          <c:extLst>
            <c:ext xmlns:c16="http://schemas.microsoft.com/office/drawing/2014/chart" uri="{C3380CC4-5D6E-409C-BE32-E72D297353CC}">
              <c16:uniqueId val="{00000004-240A-4E7E-A32D-D1EE7775989D}"/>
            </c:ext>
          </c:extLst>
        </c:ser>
        <c:ser>
          <c:idx val="0"/>
          <c:order val="1"/>
          <c:tx>
            <c:strRef>
              <c:f>'Revenue '!$E$2</c:f>
              <c:strCache>
                <c:ptCount val="1"/>
                <c:pt idx="0">
                  <c:v>Average Growth</c:v>
                </c:pt>
              </c:strCache>
            </c:strRef>
          </c:tx>
          <c:spPr>
            <a:ln w="190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'!$B$3:$B$7</c:f>
              <c:strCache>
                <c:ptCount val="5"/>
                <c:pt idx="0">
                  <c:v>Dec-31-2018</c:v>
                </c:pt>
                <c:pt idx="1">
                  <c:v>Dec-31-2019</c:v>
                </c:pt>
                <c:pt idx="2">
                  <c:v>Dec-31-2020</c:v>
                </c:pt>
                <c:pt idx="3">
                  <c:v>Dec-31-2021</c:v>
                </c:pt>
                <c:pt idx="4">
                  <c:v>Dec-31-2022</c:v>
                </c:pt>
              </c:strCache>
            </c:strRef>
          </c:cat>
          <c:val>
            <c:numRef>
              <c:f>'Revenue '!$E$3:$E$7</c:f>
              <c:numCache>
                <c:formatCode>_(* #,##0.00_);_(* \(#,##0.00\);_(* "-"??_);_(@_)</c:formatCode>
                <c:ptCount val="5"/>
                <c:pt idx="0">
                  <c:v>0.30733823892065421</c:v>
                </c:pt>
                <c:pt idx="1">
                  <c:v>0.30733823892065421</c:v>
                </c:pt>
                <c:pt idx="2">
                  <c:v>0.30733823892065421</c:v>
                </c:pt>
                <c:pt idx="3">
                  <c:v>0.30733823892065421</c:v>
                </c:pt>
                <c:pt idx="4">
                  <c:v>0.30733823892065421</c:v>
                </c:pt>
              </c:numCache>
            </c:numRef>
          </c:val>
          <c:smooth val="0"/>
          <c:extLst>
            <c:ext xmlns:c16="http://schemas.microsoft.com/office/drawing/2014/chart" uri="{C3380CC4-5D6E-409C-BE32-E72D297353CC}">
              <c16:uniqueId val="{00000006-240A-4E7E-A32D-D1EE7775989D}"/>
            </c:ext>
          </c:extLst>
        </c:ser>
        <c:dLbls>
          <c:dLblPos val="t"/>
          <c:showLegendKey val="0"/>
          <c:showVal val="1"/>
          <c:showCatName val="0"/>
          <c:showSerName val="0"/>
          <c:showPercent val="0"/>
          <c:showBubbleSize val="0"/>
        </c:dLbls>
        <c:smooth val="0"/>
        <c:axId val="858864415"/>
        <c:axId val="777375535"/>
      </c:lineChart>
      <c:catAx>
        <c:axId val="8588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75535"/>
        <c:crosses val="autoZero"/>
        <c:auto val="1"/>
        <c:lblAlgn val="ctr"/>
        <c:lblOffset val="100"/>
        <c:noMultiLvlLbl val="0"/>
      </c:catAx>
      <c:valAx>
        <c:axId val="777375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Change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644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2">
          <a:extLst>
            <a:ext uri="{FF2B5EF4-FFF2-40B4-BE49-F238E27FC236}">
              <a16:creationId xmlns:a16="http://schemas.microsoft.com/office/drawing/2014/main" id="{33B03BAD-B134-4673-95E2-699D3B3713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xdr:colOff>
      <xdr:row>68</xdr:row>
      <xdr:rowOff>0</xdr:rowOff>
    </xdr:from>
    <xdr:to>
      <xdr:col>3</xdr:col>
      <xdr:colOff>603250</xdr:colOff>
      <xdr:row>68</xdr:row>
      <xdr:rowOff>1905000</xdr:rowOff>
    </xdr:to>
    <xdr:pic>
      <xdr:nvPicPr>
        <xdr:cNvPr id="3" name="Picture 3">
          <a:extLst>
            <a:ext uri="{FF2B5EF4-FFF2-40B4-BE49-F238E27FC236}">
              <a16:creationId xmlns:a16="http://schemas.microsoft.com/office/drawing/2014/main" id="{AD1CFA1E-79E4-4B21-939C-2AA7298625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9855200"/>
          <a:ext cx="586105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96768</xdr:colOff>
      <xdr:row>1</xdr:row>
      <xdr:rowOff>5195</xdr:rowOff>
    </xdr:from>
    <xdr:to>
      <xdr:col>13</xdr:col>
      <xdr:colOff>118334</xdr:colOff>
      <xdr:row>9</xdr:row>
      <xdr:rowOff>173043</xdr:rowOff>
    </xdr:to>
    <xdr:graphicFrame macro="">
      <xdr:nvGraphicFramePr>
        <xdr:cNvPr id="3" name="Chart 2">
          <a:extLst>
            <a:ext uri="{FF2B5EF4-FFF2-40B4-BE49-F238E27FC236}">
              <a16:creationId xmlns:a16="http://schemas.microsoft.com/office/drawing/2014/main" id="{1C9D60E1-8433-D27A-7518-54C6DF33C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116702</xdr:colOff>
      <xdr:row>3</xdr:row>
      <xdr:rowOff>160122</xdr:rowOff>
    </xdr:from>
    <xdr:to>
      <xdr:col>18</xdr:col>
      <xdr:colOff>423905</xdr:colOff>
      <xdr:row>13</xdr:row>
      <xdr:rowOff>94392</xdr:rowOff>
    </xdr:to>
    <xdr:graphicFrame macro="">
      <xdr:nvGraphicFramePr>
        <xdr:cNvPr id="3" name="Chart 2">
          <a:extLst>
            <a:ext uri="{FF2B5EF4-FFF2-40B4-BE49-F238E27FC236}">
              <a16:creationId xmlns:a16="http://schemas.microsoft.com/office/drawing/2014/main" id="{BC33570E-2DCB-06DE-1FF0-CCD9C7282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2">
          <a:extLst>
            <a:ext uri="{FF2B5EF4-FFF2-40B4-BE49-F238E27FC236}">
              <a16:creationId xmlns:a16="http://schemas.microsoft.com/office/drawing/2014/main" id="{9C0E400A-F974-4122-86F5-A2A74309E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80</xdr:row>
      <xdr:rowOff>0</xdr:rowOff>
    </xdr:from>
    <xdr:to>
      <xdr:col>1</xdr:col>
      <xdr:colOff>800100</xdr:colOff>
      <xdr:row>82</xdr:row>
      <xdr:rowOff>95250</xdr:rowOff>
    </xdr:to>
    <xdr:pic>
      <xdr:nvPicPr>
        <xdr:cNvPr id="3" name="Picture 3">
          <a:extLst>
            <a:ext uri="{FF2B5EF4-FFF2-40B4-BE49-F238E27FC236}">
              <a16:creationId xmlns:a16="http://schemas.microsoft.com/office/drawing/2014/main" id="{A0BA9E09-1A90-470B-AAA3-9CDAE39A25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0400" y="10699750"/>
          <a:ext cx="80010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2">
          <a:extLst>
            <a:ext uri="{FF2B5EF4-FFF2-40B4-BE49-F238E27FC236}">
              <a16:creationId xmlns:a16="http://schemas.microsoft.com/office/drawing/2014/main" id="{F408233D-8EAA-4DB2-9DCE-3CBAE0E13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38</xdr:row>
      <xdr:rowOff>0</xdr:rowOff>
    </xdr:from>
    <xdr:to>
      <xdr:col>1</xdr:col>
      <xdr:colOff>800100</xdr:colOff>
      <xdr:row>40</xdr:row>
      <xdr:rowOff>95250</xdr:rowOff>
    </xdr:to>
    <xdr:pic>
      <xdr:nvPicPr>
        <xdr:cNvPr id="3" name="Picture 3">
          <a:extLst>
            <a:ext uri="{FF2B5EF4-FFF2-40B4-BE49-F238E27FC236}">
              <a16:creationId xmlns:a16="http://schemas.microsoft.com/office/drawing/2014/main" id="{74220814-A7F6-4082-85AA-8A0D6EEFDB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0400" y="6635750"/>
          <a:ext cx="80010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2">
          <a:extLst>
            <a:ext uri="{FF2B5EF4-FFF2-40B4-BE49-F238E27FC236}">
              <a16:creationId xmlns:a16="http://schemas.microsoft.com/office/drawing/2014/main" id="{DAD44538-2D21-46B4-8D8B-C3F225AD6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2">
          <a:extLst>
            <a:ext uri="{FF2B5EF4-FFF2-40B4-BE49-F238E27FC236}">
              <a16:creationId xmlns:a16="http://schemas.microsoft.com/office/drawing/2014/main" id="{982793A7-5965-4264-A64F-4EBACFDBCA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3">
          <a:extLst>
            <a:ext uri="{FF2B5EF4-FFF2-40B4-BE49-F238E27FC236}">
              <a16:creationId xmlns:a16="http://schemas.microsoft.com/office/drawing/2014/main" id="{E1144E47-E1E4-4398-B42C-7F838C4B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4">
          <a:extLst>
            <a:ext uri="{FF2B5EF4-FFF2-40B4-BE49-F238E27FC236}">
              <a16:creationId xmlns:a16="http://schemas.microsoft.com/office/drawing/2014/main" id="{BE792208-AE11-4093-9259-0C8DDD562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4">
          <a:extLst>
            <a:ext uri="{FF2B5EF4-FFF2-40B4-BE49-F238E27FC236}">
              <a16:creationId xmlns:a16="http://schemas.microsoft.com/office/drawing/2014/main" id="{D0AA2922-1E2D-4636-B6E5-053C2C4553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958850</xdr:colOff>
      <xdr:row>2</xdr:row>
      <xdr:rowOff>88900</xdr:rowOff>
    </xdr:to>
    <xdr:pic>
      <xdr:nvPicPr>
        <xdr:cNvPr id="2" name="Picture 4">
          <a:extLst>
            <a:ext uri="{FF2B5EF4-FFF2-40B4-BE49-F238E27FC236}">
              <a16:creationId xmlns:a16="http://schemas.microsoft.com/office/drawing/2014/main" id="{4A2115BE-C421-4E51-A2B1-80E18A7D69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88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396867</xdr:colOff>
      <xdr:row>1</xdr:row>
      <xdr:rowOff>15864</xdr:rowOff>
    </xdr:from>
    <xdr:to>
      <xdr:col>9</xdr:col>
      <xdr:colOff>4835</xdr:colOff>
      <xdr:row>8</xdr:row>
      <xdr:rowOff>81283</xdr:rowOff>
    </xdr:to>
    <xdr:sp macro="" textlink="">
      <xdr:nvSpPr>
        <xdr:cNvPr id="2" name="Text Box 1">
          <a:extLst>
            <a:ext uri="{FF2B5EF4-FFF2-40B4-BE49-F238E27FC236}">
              <a16:creationId xmlns:a16="http://schemas.microsoft.com/office/drawing/2014/main" id="{56ADB33D-0DB1-497F-886C-25BF3736AEE7}"/>
            </a:ext>
          </a:extLst>
        </xdr:cNvPr>
        <xdr:cNvSpPr txBox="1">
          <a:spLocks noChangeArrowheads="1"/>
        </xdr:cNvSpPr>
      </xdr:nvSpPr>
      <xdr:spPr bwMode="auto">
        <a:xfrm>
          <a:off x="2008180" y="206364"/>
          <a:ext cx="3275093" cy="1390982"/>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900" b="0" i="0">
              <a:effectLst/>
              <a:latin typeface="Arial" panose="020B0604020202020204" pitchFamily="34" charset="0"/>
              <a:ea typeface="+mn-ea"/>
              <a:cs typeface="Arial" panose="020B0604020202020204" pitchFamily="34" charset="0"/>
            </a:rPr>
            <a:t>We have calculated the Risk Free Rate using United States Rates &amp; Bonds - Bloomberg website, using data for five years up till May 11, 2023. This website provides a comprehensive view into the United States bond market and includes a wide range of US government bonds, US corporate bonds and US municipal bonds. We were able to access up-to-date yields on different types of bonds and use this information to estimate the Risk Free Rate.  </a:t>
          </a:r>
          <a:r>
            <a:rPr lang="en-US" sz="900" b="0" i="0" u="sng" strike="noStrike">
              <a:effectLst/>
              <a:latin typeface="Arial" panose="020B0604020202020204" pitchFamily="34" charset="0"/>
              <a:ea typeface="+mn-ea"/>
              <a:cs typeface="Arial" panose="020B0604020202020204" pitchFamily="34" charset="0"/>
              <a:hlinkClick xmlns:r="http://schemas.openxmlformats.org/officeDocument/2006/relationships" r:id=""/>
            </a:rPr>
            <a:t>United States Rates &amp; Bonds - Bloomberg</a:t>
          </a:r>
          <a:r>
            <a:rPr lang="en-US" sz="900" b="0" i="0" u="sng" strike="noStrike">
              <a:effectLst/>
              <a:latin typeface="Arial" panose="020B0604020202020204" pitchFamily="34" charset="0"/>
              <a:ea typeface="+mn-ea"/>
              <a:cs typeface="Arial" panose="020B0604020202020204" pitchFamily="34" charset="0"/>
            </a:rPr>
            <a:t>.</a:t>
          </a:r>
        </a:p>
        <a:p>
          <a:pPr algn="l" rtl="0">
            <a:defRPr sz="1000"/>
          </a:pPr>
          <a:r>
            <a:rPr lang="en-US" sz="900" b="0" i="0">
              <a:effectLst/>
              <a:latin typeface="Arial" panose="020B0604020202020204" pitchFamily="34" charset="0"/>
              <a:ea typeface="+mn-ea"/>
              <a:cs typeface="Arial" panose="020B0604020202020204" pitchFamily="34" charset="0"/>
            </a:rPr>
            <a:t>For the Market Risk Premium, we have used Statista website. </a:t>
          </a:r>
          <a:r>
            <a:rPr lang="en-US" sz="900" b="0" i="0" u="sng" strike="noStrike">
              <a:effectLst/>
              <a:latin typeface="Arial" panose="020B0604020202020204" pitchFamily="34" charset="0"/>
              <a:ea typeface="+mn-ea"/>
              <a:cs typeface="Arial" panose="020B0604020202020204" pitchFamily="34" charset="0"/>
              <a:hlinkClick xmlns:r="http://schemas.openxmlformats.org/officeDocument/2006/relationships" r:id=""/>
            </a:rPr>
            <a:t>Source for Risk Premium</a:t>
          </a:r>
          <a:r>
            <a:rPr lang="en-US" sz="900">
              <a:latin typeface="Arial" panose="020B0604020202020204" pitchFamily="34" charset="0"/>
              <a:cs typeface="Arial" panose="020B0604020202020204" pitchFamily="34" charset="0"/>
            </a:rPr>
            <a:t> </a:t>
          </a:r>
          <a:r>
            <a:rPr lang="en-US" sz="900" b="0" i="0">
              <a:effectLst/>
              <a:latin typeface="Arial" panose="020B0604020202020204" pitchFamily="34" charset="0"/>
              <a:ea typeface="+mn-ea"/>
              <a:cs typeface="Arial" panose="020B0604020202020204" pitchFamily="34" charset="0"/>
            </a:rPr>
            <a:t> </a:t>
          </a:r>
          <a:r>
            <a:rPr lang="en-US" sz="900">
              <a:latin typeface="Arial" panose="020B0604020202020204" pitchFamily="34" charset="0"/>
              <a:cs typeface="Arial" panose="020B0604020202020204" pitchFamily="34" charset="0"/>
            </a:rPr>
            <a:t> </a:t>
          </a:r>
          <a:endParaRPr lang="en-US" sz="9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523875</xdr:colOff>
      <xdr:row>6</xdr:row>
      <xdr:rowOff>161925</xdr:rowOff>
    </xdr:from>
    <xdr:to>
      <xdr:col>15</xdr:col>
      <xdr:colOff>219075</xdr:colOff>
      <xdr:row>21</xdr:row>
      <xdr:rowOff>142875</xdr:rowOff>
    </xdr:to>
    <xdr:graphicFrame macro="">
      <xdr:nvGraphicFramePr>
        <xdr:cNvPr id="2" name="Chart 1">
          <a:extLst>
            <a:ext uri="{FF2B5EF4-FFF2-40B4-BE49-F238E27FC236}">
              <a16:creationId xmlns:a16="http://schemas.microsoft.com/office/drawing/2014/main" id="{91E96CB0-130E-F068-DC4C-01601E609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260350</xdr:colOff>
      <xdr:row>3</xdr:row>
      <xdr:rowOff>50800</xdr:rowOff>
    </xdr:from>
    <xdr:to>
      <xdr:col>10</xdr:col>
      <xdr:colOff>25400</xdr:colOff>
      <xdr:row>12</xdr:row>
      <xdr:rowOff>63500</xdr:rowOff>
    </xdr:to>
    <xdr:sp macro="" textlink="">
      <xdr:nvSpPr>
        <xdr:cNvPr id="2" name="TextBox 1">
          <a:extLst>
            <a:ext uri="{FF2B5EF4-FFF2-40B4-BE49-F238E27FC236}">
              <a16:creationId xmlns:a16="http://schemas.microsoft.com/office/drawing/2014/main" id="{75E8CF29-54B3-DE38-9958-F56CB62B4C9D}"/>
            </a:ext>
          </a:extLst>
        </xdr:cNvPr>
        <xdr:cNvSpPr txBox="1"/>
      </xdr:nvSpPr>
      <xdr:spPr>
        <a:xfrm>
          <a:off x="3549650" y="603250"/>
          <a:ext cx="3638550" cy="167005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pPr algn="l"/>
          <a:r>
            <a:rPr lang="en-US" sz="1100"/>
            <a:t>Following the announcement of the proposed acquisition of 100% of NeoGames S.A. (“NeoGames”) by Aristocrats for a cash price of US$29.50 per share, Neo Games’ stock price went up to $27.17 from $13 on 12 May 2023. Our valuation analysis, including the synergy benefit, puts the true value of NeoGames' equity at approximately US$700 million and a share price of $20.53. This implies that Aristocrat has made a premium payment of approximately US$300 million, or $8.97 a share, in order to acquire NeoGames.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101118</xdr:colOff>
      <xdr:row>2</xdr:row>
      <xdr:rowOff>64476</xdr:rowOff>
    </xdr:from>
    <xdr:to>
      <xdr:col>11</xdr:col>
      <xdr:colOff>554410</xdr:colOff>
      <xdr:row>8</xdr:row>
      <xdr:rowOff>77176</xdr:rowOff>
    </xdr:to>
    <xdr:graphicFrame macro="">
      <xdr:nvGraphicFramePr>
        <xdr:cNvPr id="2" name="Chart 2">
          <a:extLst>
            <a:ext uri="{FF2B5EF4-FFF2-40B4-BE49-F238E27FC236}">
              <a16:creationId xmlns:a16="http://schemas.microsoft.com/office/drawing/2014/main" id="{A894973C-7F39-437D-BC18-D47391755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170962</xdr:colOff>
      <xdr:row>20</xdr:row>
      <xdr:rowOff>14653</xdr:rowOff>
    </xdr:from>
    <xdr:to>
      <xdr:col>15</xdr:col>
      <xdr:colOff>409331</xdr:colOff>
      <xdr:row>26</xdr:row>
      <xdr:rowOff>33703</xdr:rowOff>
    </xdr:to>
    <xdr:graphicFrame macro="">
      <xdr:nvGraphicFramePr>
        <xdr:cNvPr id="3" name="Chart 6">
          <a:extLst>
            <a:ext uri="{FF2B5EF4-FFF2-40B4-BE49-F238E27FC236}">
              <a16:creationId xmlns:a16="http://schemas.microsoft.com/office/drawing/2014/main" id="{1B1DA0A8-A497-4B82-BD95-1653E70E2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208325</xdr:colOff>
      <xdr:row>32</xdr:row>
      <xdr:rowOff>101157</xdr:rowOff>
    </xdr:from>
    <xdr:to>
      <xdr:col>12</xdr:col>
      <xdr:colOff>232315</xdr:colOff>
      <xdr:row>48</xdr:row>
      <xdr:rowOff>116788</xdr:rowOff>
    </xdr:to>
    <xdr:graphicFrame macro="">
      <xdr:nvGraphicFramePr>
        <xdr:cNvPr id="4" name="Chart 7">
          <a:extLst>
            <a:ext uri="{FF2B5EF4-FFF2-40B4-BE49-F238E27FC236}">
              <a16:creationId xmlns:a16="http://schemas.microsoft.com/office/drawing/2014/main" id="{1EA982CC-7704-45E1-92C9-DA13E9257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188167</xdr:colOff>
      <xdr:row>55</xdr:row>
      <xdr:rowOff>120077</xdr:rowOff>
    </xdr:from>
    <xdr:to>
      <xdr:col>12</xdr:col>
      <xdr:colOff>212157</xdr:colOff>
      <xdr:row>71</xdr:row>
      <xdr:rowOff>145476</xdr:rowOff>
    </xdr:to>
    <xdr:graphicFrame macro="">
      <xdr:nvGraphicFramePr>
        <xdr:cNvPr id="5" name="Chart 7">
          <a:extLst>
            <a:ext uri="{FF2B5EF4-FFF2-40B4-BE49-F238E27FC236}">
              <a16:creationId xmlns:a16="http://schemas.microsoft.com/office/drawing/2014/main" id="{DD96F262-DA56-4556-AB5D-68C5E4A3A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209550</xdr:colOff>
      <xdr:row>79</xdr:row>
      <xdr:rowOff>172914</xdr:rowOff>
    </xdr:from>
    <xdr:to>
      <xdr:col>13</xdr:col>
      <xdr:colOff>44450</xdr:colOff>
      <xdr:row>91</xdr:row>
      <xdr:rowOff>153864</xdr:rowOff>
    </xdr:to>
    <xdr:graphicFrame macro="">
      <xdr:nvGraphicFramePr>
        <xdr:cNvPr id="6" name="Chart 8">
          <a:extLst>
            <a:ext uri="{FF2B5EF4-FFF2-40B4-BE49-F238E27FC236}">
              <a16:creationId xmlns:a16="http://schemas.microsoft.com/office/drawing/2014/main" id="{9552729E-23C2-4CE8-9ED8-20A58F880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336550</xdr:colOff>
      <xdr:row>3</xdr:row>
      <xdr:rowOff>25400</xdr:rowOff>
    </xdr:from>
    <xdr:to>
      <xdr:col>13</xdr:col>
      <xdr:colOff>317500</xdr:colOff>
      <xdr:row>11</xdr:row>
      <xdr:rowOff>158750</xdr:rowOff>
    </xdr:to>
    <xdr:graphicFrame macro="">
      <xdr:nvGraphicFramePr>
        <xdr:cNvPr id="2" name="Chart 12">
          <a:extLst>
            <a:ext uri="{FF2B5EF4-FFF2-40B4-BE49-F238E27FC236}">
              <a16:creationId xmlns:a16="http://schemas.microsoft.com/office/drawing/2014/main" id="{CECF090E-42FE-4AE3-B03E-F97190F9D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13</xdr:col>
      <xdr:colOff>587517</xdr:colOff>
      <xdr:row>28</xdr:row>
      <xdr:rowOff>133350</xdr:rowOff>
    </xdr:to>
    <xdr:graphicFrame macro="">
      <xdr:nvGraphicFramePr>
        <xdr:cNvPr id="3" name="Chart 12">
          <a:extLst>
            <a:ext uri="{FF2B5EF4-FFF2-40B4-BE49-F238E27FC236}">
              <a16:creationId xmlns:a16="http://schemas.microsoft.com/office/drawing/2014/main" id="{7639BCCF-13C9-4318-8056-E189FEA16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hit%20Computers\Downloads\NGMS.csv" TargetMode="External"/><Relationship Id="rId1" Type="http://schemas.openxmlformats.org/officeDocument/2006/relationships/externalLinkPath" Target="/Users/Mohit%20Computers/Downloads/NGMS.csv"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ohit%20Computers\Desktop\SFU\Equities\LULU\Lululemon%20-%20Valuation%20-%20Advanced%20Equities.xls" TargetMode="External"/><Relationship Id="rId1" Type="http://schemas.openxmlformats.org/officeDocument/2006/relationships/externalLinkPath" Target="/Users/Mohit%20Computers/Desktop/SFU/Equities/LULU/Lululemon%20-%20Valuation%20-%20Advanced%20Equiti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GMS"/>
      <sheetName val="S&amp;P 500 "/>
    </sheetNames>
    <sheetDataSet>
      <sheetData sheetId="0">
        <row r="2">
          <cell r="A2">
            <v>44704</v>
          </cell>
          <cell r="B2">
            <v>12.62</v>
          </cell>
        </row>
        <row r="3">
          <cell r="A3">
            <v>44705</v>
          </cell>
          <cell r="B3">
            <v>11.8</v>
          </cell>
        </row>
        <row r="4">
          <cell r="A4">
            <v>44706</v>
          </cell>
          <cell r="B4">
            <v>12.62</v>
          </cell>
        </row>
        <row r="5">
          <cell r="A5">
            <v>44707</v>
          </cell>
          <cell r="B5">
            <v>13.16</v>
          </cell>
        </row>
        <row r="6">
          <cell r="A6">
            <v>44708</v>
          </cell>
          <cell r="B6">
            <v>13.43</v>
          </cell>
        </row>
        <row r="7">
          <cell r="A7">
            <v>44712</v>
          </cell>
          <cell r="B7">
            <v>13.13</v>
          </cell>
        </row>
        <row r="8">
          <cell r="A8">
            <v>44713</v>
          </cell>
          <cell r="B8">
            <v>13.88</v>
          </cell>
        </row>
        <row r="9">
          <cell r="A9">
            <v>44714</v>
          </cell>
          <cell r="B9">
            <v>14.31</v>
          </cell>
        </row>
        <row r="10">
          <cell r="A10">
            <v>44715</v>
          </cell>
          <cell r="B10">
            <v>13.62</v>
          </cell>
        </row>
        <row r="11">
          <cell r="A11">
            <v>44718</v>
          </cell>
          <cell r="B11">
            <v>13.95</v>
          </cell>
        </row>
        <row r="12">
          <cell r="A12">
            <v>44719</v>
          </cell>
          <cell r="B12">
            <v>15.14</v>
          </cell>
        </row>
        <row r="13">
          <cell r="A13">
            <v>44720</v>
          </cell>
          <cell r="B13">
            <v>15.36</v>
          </cell>
        </row>
        <row r="14">
          <cell r="A14">
            <v>44721</v>
          </cell>
          <cell r="B14">
            <v>15.27</v>
          </cell>
        </row>
        <row r="15">
          <cell r="A15">
            <v>44722</v>
          </cell>
          <cell r="B15">
            <v>14.43</v>
          </cell>
        </row>
        <row r="16">
          <cell r="A16">
            <v>44725</v>
          </cell>
          <cell r="B16">
            <v>12.74</v>
          </cell>
        </row>
        <row r="17">
          <cell r="A17">
            <v>44726</v>
          </cell>
          <cell r="B17">
            <v>13.22</v>
          </cell>
        </row>
        <row r="18">
          <cell r="A18">
            <v>44727</v>
          </cell>
          <cell r="B18">
            <v>14.19</v>
          </cell>
        </row>
        <row r="19">
          <cell r="A19">
            <v>44728</v>
          </cell>
          <cell r="B19">
            <v>13.35</v>
          </cell>
        </row>
        <row r="20">
          <cell r="A20">
            <v>44729</v>
          </cell>
          <cell r="B20">
            <v>14.29</v>
          </cell>
        </row>
        <row r="21">
          <cell r="A21">
            <v>44733</v>
          </cell>
          <cell r="B21">
            <v>14.61</v>
          </cell>
        </row>
        <row r="22">
          <cell r="A22">
            <v>44734</v>
          </cell>
          <cell r="B22">
            <v>14.49</v>
          </cell>
        </row>
        <row r="23">
          <cell r="A23">
            <v>44735</v>
          </cell>
          <cell r="B23">
            <v>14.8</v>
          </cell>
        </row>
        <row r="24">
          <cell r="A24">
            <v>44736</v>
          </cell>
          <cell r="B24">
            <v>15.56</v>
          </cell>
        </row>
        <row r="25">
          <cell r="A25">
            <v>44739</v>
          </cell>
          <cell r="B25">
            <v>15.25</v>
          </cell>
        </row>
        <row r="26">
          <cell r="A26">
            <v>44740</v>
          </cell>
          <cell r="B26">
            <v>14.55</v>
          </cell>
        </row>
        <row r="27">
          <cell r="A27">
            <v>44741</v>
          </cell>
          <cell r="B27">
            <v>13.465</v>
          </cell>
        </row>
        <row r="28">
          <cell r="A28">
            <v>44742</v>
          </cell>
          <cell r="B28">
            <v>13.41</v>
          </cell>
        </row>
        <row r="29">
          <cell r="A29">
            <v>44743</v>
          </cell>
          <cell r="B29">
            <v>13.32</v>
          </cell>
        </row>
        <row r="30">
          <cell r="A30">
            <v>44747</v>
          </cell>
          <cell r="B30">
            <v>13.24</v>
          </cell>
        </row>
        <row r="31">
          <cell r="A31">
            <v>44748</v>
          </cell>
          <cell r="B31">
            <v>12.64</v>
          </cell>
        </row>
        <row r="32">
          <cell r="A32">
            <v>44749</v>
          </cell>
          <cell r="B32">
            <v>12.62</v>
          </cell>
        </row>
        <row r="33">
          <cell r="A33">
            <v>44750</v>
          </cell>
          <cell r="B33">
            <v>12.8</v>
          </cell>
        </row>
        <row r="34">
          <cell r="A34">
            <v>44753</v>
          </cell>
          <cell r="B34">
            <v>12.8</v>
          </cell>
        </row>
        <row r="35">
          <cell r="A35">
            <v>44754</v>
          </cell>
          <cell r="B35">
            <v>13.09</v>
          </cell>
        </row>
        <row r="36">
          <cell r="A36">
            <v>44755</v>
          </cell>
          <cell r="B36">
            <v>13.28</v>
          </cell>
        </row>
        <row r="37">
          <cell r="A37">
            <v>44756</v>
          </cell>
          <cell r="B37">
            <v>12.73</v>
          </cell>
        </row>
        <row r="38">
          <cell r="A38">
            <v>44757</v>
          </cell>
          <cell r="B38">
            <v>12.91</v>
          </cell>
        </row>
        <row r="39">
          <cell r="A39">
            <v>44760</v>
          </cell>
          <cell r="B39">
            <v>13.69</v>
          </cell>
        </row>
        <row r="40">
          <cell r="A40">
            <v>44761</v>
          </cell>
          <cell r="B40">
            <v>14.86</v>
          </cell>
        </row>
        <row r="41">
          <cell r="A41">
            <v>44762</v>
          </cell>
          <cell r="B41">
            <v>15.43</v>
          </cell>
        </row>
        <row r="42">
          <cell r="A42">
            <v>44763</v>
          </cell>
          <cell r="B42">
            <v>15.53</v>
          </cell>
        </row>
        <row r="43">
          <cell r="A43">
            <v>44764</v>
          </cell>
          <cell r="B43">
            <v>15.41</v>
          </cell>
        </row>
        <row r="44">
          <cell r="A44">
            <v>44767</v>
          </cell>
          <cell r="B44">
            <v>15.73</v>
          </cell>
        </row>
        <row r="45">
          <cell r="A45">
            <v>44768</v>
          </cell>
          <cell r="B45">
            <v>15.2</v>
          </cell>
        </row>
        <row r="46">
          <cell r="A46">
            <v>44769</v>
          </cell>
          <cell r="B46">
            <v>16.030000999999999</v>
          </cell>
        </row>
        <row r="47">
          <cell r="A47">
            <v>44770</v>
          </cell>
          <cell r="B47">
            <v>15.54</v>
          </cell>
        </row>
        <row r="48">
          <cell r="A48">
            <v>44771</v>
          </cell>
          <cell r="B48">
            <v>15.29</v>
          </cell>
        </row>
        <row r="49">
          <cell r="A49">
            <v>44774</v>
          </cell>
          <cell r="B49">
            <v>16.639999</v>
          </cell>
        </row>
        <row r="50">
          <cell r="A50">
            <v>44775</v>
          </cell>
          <cell r="B50">
            <v>17.110001</v>
          </cell>
        </row>
        <row r="51">
          <cell r="A51">
            <v>44776</v>
          </cell>
          <cell r="B51">
            <v>18.350000000000001</v>
          </cell>
        </row>
        <row r="52">
          <cell r="A52">
            <v>44777</v>
          </cell>
          <cell r="B52">
            <v>16.440000999999999</v>
          </cell>
        </row>
        <row r="53">
          <cell r="A53">
            <v>44778</v>
          </cell>
          <cell r="B53">
            <v>16.739999999999998</v>
          </cell>
        </row>
        <row r="54">
          <cell r="A54">
            <v>44781</v>
          </cell>
          <cell r="B54">
            <v>17.239999999999998</v>
          </cell>
        </row>
        <row r="55">
          <cell r="A55">
            <v>44782</v>
          </cell>
          <cell r="B55">
            <v>17.139999</v>
          </cell>
        </row>
        <row r="56">
          <cell r="A56">
            <v>44783</v>
          </cell>
          <cell r="B56">
            <v>17.649999999999999</v>
          </cell>
        </row>
        <row r="57">
          <cell r="A57">
            <v>44784</v>
          </cell>
          <cell r="B57">
            <v>16.02</v>
          </cell>
        </row>
        <row r="58">
          <cell r="A58">
            <v>44785</v>
          </cell>
          <cell r="B58">
            <v>17.510000000000002</v>
          </cell>
        </row>
        <row r="59">
          <cell r="A59">
            <v>44788</v>
          </cell>
          <cell r="B59">
            <v>18.27</v>
          </cell>
        </row>
        <row r="60">
          <cell r="A60">
            <v>44789</v>
          </cell>
          <cell r="B60">
            <v>18.18</v>
          </cell>
        </row>
        <row r="61">
          <cell r="A61">
            <v>44790</v>
          </cell>
          <cell r="B61">
            <v>17.709999</v>
          </cell>
        </row>
        <row r="62">
          <cell r="A62">
            <v>44791</v>
          </cell>
          <cell r="B62">
            <v>17.940000999999999</v>
          </cell>
        </row>
        <row r="63">
          <cell r="A63">
            <v>44792</v>
          </cell>
          <cell r="B63">
            <v>16.559999000000001</v>
          </cell>
        </row>
        <row r="64">
          <cell r="A64">
            <v>44795</v>
          </cell>
          <cell r="B64">
            <v>16.549999</v>
          </cell>
        </row>
        <row r="65">
          <cell r="A65">
            <v>44796</v>
          </cell>
          <cell r="B65">
            <v>16.629999000000002</v>
          </cell>
        </row>
        <row r="66">
          <cell r="A66">
            <v>44797</v>
          </cell>
          <cell r="B66">
            <v>16.77</v>
          </cell>
        </row>
        <row r="67">
          <cell r="A67">
            <v>44798</v>
          </cell>
          <cell r="B67">
            <v>16.93</v>
          </cell>
        </row>
        <row r="68">
          <cell r="A68">
            <v>44799</v>
          </cell>
          <cell r="B68">
            <v>16.16</v>
          </cell>
        </row>
        <row r="69">
          <cell r="A69">
            <v>44802</v>
          </cell>
          <cell r="B69">
            <v>16.010000000000002</v>
          </cell>
        </row>
        <row r="70">
          <cell r="A70">
            <v>44803</v>
          </cell>
          <cell r="B70">
            <v>15.85</v>
          </cell>
        </row>
        <row r="71">
          <cell r="A71">
            <v>44804</v>
          </cell>
          <cell r="B71">
            <v>15.99</v>
          </cell>
        </row>
        <row r="72">
          <cell r="A72">
            <v>44805</v>
          </cell>
          <cell r="B72">
            <v>15.15</v>
          </cell>
        </row>
        <row r="73">
          <cell r="A73">
            <v>44806</v>
          </cell>
          <cell r="B73">
            <v>15.06</v>
          </cell>
        </row>
        <row r="74">
          <cell r="A74">
            <v>44810</v>
          </cell>
          <cell r="B74">
            <v>14.57</v>
          </cell>
        </row>
        <row r="75">
          <cell r="A75">
            <v>44811</v>
          </cell>
          <cell r="B75">
            <v>14.81</v>
          </cell>
        </row>
        <row r="76">
          <cell r="A76">
            <v>44812</v>
          </cell>
          <cell r="B76">
            <v>14.98</v>
          </cell>
        </row>
        <row r="77">
          <cell r="A77">
            <v>44813</v>
          </cell>
          <cell r="B77">
            <v>15.43</v>
          </cell>
        </row>
        <row r="78">
          <cell r="A78">
            <v>44816</v>
          </cell>
          <cell r="B78">
            <v>16.170000000000002</v>
          </cell>
        </row>
        <row r="79">
          <cell r="A79">
            <v>44817</v>
          </cell>
          <cell r="B79">
            <v>15.13</v>
          </cell>
        </row>
        <row r="80">
          <cell r="A80">
            <v>44818</v>
          </cell>
          <cell r="B80">
            <v>15.1</v>
          </cell>
        </row>
        <row r="81">
          <cell r="A81">
            <v>44819</v>
          </cell>
          <cell r="B81">
            <v>15.01</v>
          </cell>
        </row>
        <row r="82">
          <cell r="A82">
            <v>44820</v>
          </cell>
          <cell r="B82">
            <v>14.39</v>
          </cell>
        </row>
        <row r="83">
          <cell r="A83">
            <v>44823</v>
          </cell>
          <cell r="B83">
            <v>14.39</v>
          </cell>
        </row>
        <row r="84">
          <cell r="A84">
            <v>44824</v>
          </cell>
          <cell r="B84">
            <v>14.28</v>
          </cell>
        </row>
        <row r="85">
          <cell r="A85">
            <v>44825</v>
          </cell>
          <cell r="B85">
            <v>13.97</v>
          </cell>
        </row>
        <row r="86">
          <cell r="A86">
            <v>44826</v>
          </cell>
          <cell r="B86">
            <v>13.47</v>
          </cell>
        </row>
        <row r="87">
          <cell r="A87">
            <v>44827</v>
          </cell>
          <cell r="B87">
            <v>13.08</v>
          </cell>
        </row>
        <row r="88">
          <cell r="A88">
            <v>44830</v>
          </cell>
          <cell r="B88">
            <v>12.51</v>
          </cell>
        </row>
        <row r="89">
          <cell r="A89">
            <v>44831</v>
          </cell>
          <cell r="B89">
            <v>12.45</v>
          </cell>
        </row>
        <row r="90">
          <cell r="A90">
            <v>44832</v>
          </cell>
          <cell r="B90">
            <v>13.2</v>
          </cell>
        </row>
        <row r="91">
          <cell r="A91">
            <v>44833</v>
          </cell>
          <cell r="B91">
            <v>12.7</v>
          </cell>
        </row>
        <row r="92">
          <cell r="A92">
            <v>44834</v>
          </cell>
          <cell r="B92">
            <v>12.9</v>
          </cell>
        </row>
        <row r="93">
          <cell r="A93">
            <v>44837</v>
          </cell>
          <cell r="B93">
            <v>13.26</v>
          </cell>
        </row>
        <row r="94">
          <cell r="A94">
            <v>44838</v>
          </cell>
          <cell r="B94">
            <v>13.98</v>
          </cell>
        </row>
        <row r="95">
          <cell r="A95">
            <v>44839</v>
          </cell>
          <cell r="B95">
            <v>13.68</v>
          </cell>
        </row>
        <row r="96">
          <cell r="A96">
            <v>44840</v>
          </cell>
          <cell r="B96">
            <v>13.5</v>
          </cell>
        </row>
        <row r="97">
          <cell r="A97">
            <v>44841</v>
          </cell>
          <cell r="B97">
            <v>13.78</v>
          </cell>
        </row>
        <row r="98">
          <cell r="A98">
            <v>44844</v>
          </cell>
          <cell r="B98">
            <v>13.26</v>
          </cell>
        </row>
        <row r="99">
          <cell r="A99">
            <v>44845</v>
          </cell>
          <cell r="B99">
            <v>14.57</v>
          </cell>
        </row>
        <row r="100">
          <cell r="A100">
            <v>44846</v>
          </cell>
          <cell r="B100">
            <v>15.25</v>
          </cell>
        </row>
        <row r="101">
          <cell r="A101">
            <v>44847</v>
          </cell>
          <cell r="B101">
            <v>16.489999999999998</v>
          </cell>
        </row>
        <row r="102">
          <cell r="A102">
            <v>44848</v>
          </cell>
          <cell r="B102">
            <v>17.059999000000001</v>
          </cell>
        </row>
        <row r="103">
          <cell r="A103">
            <v>44851</v>
          </cell>
          <cell r="B103">
            <v>17.25</v>
          </cell>
        </row>
        <row r="104">
          <cell r="A104">
            <v>44852</v>
          </cell>
          <cell r="B104">
            <v>17.43</v>
          </cell>
        </row>
        <row r="105">
          <cell r="A105">
            <v>44853</v>
          </cell>
          <cell r="B105">
            <v>17.780000999999999</v>
          </cell>
        </row>
        <row r="106">
          <cell r="A106">
            <v>44854</v>
          </cell>
          <cell r="B106">
            <v>17.25</v>
          </cell>
        </row>
        <row r="107">
          <cell r="A107">
            <v>44855</v>
          </cell>
          <cell r="B107">
            <v>16.27</v>
          </cell>
        </row>
        <row r="108">
          <cell r="A108">
            <v>44858</v>
          </cell>
          <cell r="B108">
            <v>16.530000999999999</v>
          </cell>
        </row>
        <row r="109">
          <cell r="A109">
            <v>44859</v>
          </cell>
          <cell r="B109">
            <v>16.809999000000001</v>
          </cell>
        </row>
        <row r="110">
          <cell r="A110">
            <v>44860</v>
          </cell>
          <cell r="B110">
            <v>17.32</v>
          </cell>
        </row>
        <row r="111">
          <cell r="A111">
            <v>44861</v>
          </cell>
          <cell r="B111">
            <v>17.25</v>
          </cell>
        </row>
        <row r="112">
          <cell r="A112">
            <v>44862</v>
          </cell>
          <cell r="B112">
            <v>17.290001</v>
          </cell>
        </row>
        <row r="113">
          <cell r="A113">
            <v>44865</v>
          </cell>
          <cell r="B113">
            <v>17.200001</v>
          </cell>
        </row>
        <row r="114">
          <cell r="A114">
            <v>44866</v>
          </cell>
          <cell r="B114">
            <v>17.190000999999999</v>
          </cell>
        </row>
        <row r="115">
          <cell r="A115">
            <v>44867</v>
          </cell>
          <cell r="B115">
            <v>16.34</v>
          </cell>
        </row>
        <row r="116">
          <cell r="A116">
            <v>44868</v>
          </cell>
          <cell r="B116">
            <v>15.93</v>
          </cell>
        </row>
        <row r="117">
          <cell r="A117">
            <v>44869</v>
          </cell>
          <cell r="B117">
            <v>16.09</v>
          </cell>
        </row>
        <row r="118">
          <cell r="A118">
            <v>44872</v>
          </cell>
          <cell r="B118">
            <v>16.350000000000001</v>
          </cell>
        </row>
        <row r="119">
          <cell r="A119">
            <v>44873</v>
          </cell>
          <cell r="B119">
            <v>16.940000999999999</v>
          </cell>
        </row>
        <row r="120">
          <cell r="A120">
            <v>44874</v>
          </cell>
          <cell r="B120">
            <v>16.059999000000001</v>
          </cell>
        </row>
        <row r="121">
          <cell r="A121">
            <v>44875</v>
          </cell>
          <cell r="B121">
            <v>16.59</v>
          </cell>
        </row>
        <row r="122">
          <cell r="A122">
            <v>44876</v>
          </cell>
          <cell r="B122">
            <v>17.5</v>
          </cell>
        </row>
        <row r="123">
          <cell r="A123">
            <v>44879</v>
          </cell>
          <cell r="B123">
            <v>17.809999000000001</v>
          </cell>
        </row>
        <row r="124">
          <cell r="A124">
            <v>44880</v>
          </cell>
          <cell r="B124">
            <v>17.82</v>
          </cell>
        </row>
        <row r="125">
          <cell r="A125">
            <v>44881</v>
          </cell>
          <cell r="B125">
            <v>18.239999999999998</v>
          </cell>
        </row>
        <row r="126">
          <cell r="A126">
            <v>44882</v>
          </cell>
          <cell r="B126">
            <v>18.149999999999999</v>
          </cell>
        </row>
        <row r="127">
          <cell r="A127">
            <v>44883</v>
          </cell>
          <cell r="B127">
            <v>17.920000000000002</v>
          </cell>
        </row>
        <row r="128">
          <cell r="A128">
            <v>44886</v>
          </cell>
          <cell r="B128">
            <v>15.86</v>
          </cell>
        </row>
        <row r="129">
          <cell r="A129">
            <v>44887</v>
          </cell>
          <cell r="B129">
            <v>14.5</v>
          </cell>
        </row>
        <row r="130">
          <cell r="A130">
            <v>44888</v>
          </cell>
          <cell r="B130">
            <v>13.91</v>
          </cell>
        </row>
        <row r="131">
          <cell r="A131">
            <v>44890</v>
          </cell>
          <cell r="B131">
            <v>13.39</v>
          </cell>
        </row>
        <row r="132">
          <cell r="A132">
            <v>44893</v>
          </cell>
          <cell r="B132">
            <v>13.57</v>
          </cell>
        </row>
        <row r="133">
          <cell r="A133">
            <v>44894</v>
          </cell>
          <cell r="B133">
            <v>13.34</v>
          </cell>
        </row>
        <row r="134">
          <cell r="A134">
            <v>44895</v>
          </cell>
          <cell r="B134">
            <v>13.81</v>
          </cell>
        </row>
        <row r="135">
          <cell r="A135">
            <v>44896</v>
          </cell>
          <cell r="B135">
            <v>15.64</v>
          </cell>
        </row>
        <row r="136">
          <cell r="A136">
            <v>44897</v>
          </cell>
          <cell r="B136">
            <v>15.67</v>
          </cell>
        </row>
        <row r="137">
          <cell r="A137">
            <v>44900</v>
          </cell>
          <cell r="B137">
            <v>15.19</v>
          </cell>
        </row>
        <row r="138">
          <cell r="A138">
            <v>44901</v>
          </cell>
          <cell r="B138">
            <v>13.9</v>
          </cell>
        </row>
        <row r="139">
          <cell r="A139">
            <v>44902</v>
          </cell>
          <cell r="B139">
            <v>13.83</v>
          </cell>
        </row>
        <row r="140">
          <cell r="A140">
            <v>44903</v>
          </cell>
          <cell r="B140">
            <v>14.07</v>
          </cell>
        </row>
        <row r="141">
          <cell r="A141">
            <v>44904</v>
          </cell>
          <cell r="B141">
            <v>13.18</v>
          </cell>
        </row>
        <row r="142">
          <cell r="A142">
            <v>44907</v>
          </cell>
          <cell r="B142">
            <v>13.7</v>
          </cell>
        </row>
        <row r="143">
          <cell r="A143">
            <v>44908</v>
          </cell>
          <cell r="B143">
            <v>13.68</v>
          </cell>
        </row>
        <row r="144">
          <cell r="A144">
            <v>44909</v>
          </cell>
          <cell r="B144">
            <v>13.75</v>
          </cell>
        </row>
        <row r="145">
          <cell r="A145">
            <v>44910</v>
          </cell>
          <cell r="B145">
            <v>13.25</v>
          </cell>
        </row>
        <row r="146">
          <cell r="A146">
            <v>44911</v>
          </cell>
          <cell r="B146">
            <v>13.04</v>
          </cell>
        </row>
        <row r="147">
          <cell r="A147">
            <v>44914</v>
          </cell>
          <cell r="B147">
            <v>12.23</v>
          </cell>
        </row>
        <row r="148">
          <cell r="A148">
            <v>44915</v>
          </cell>
          <cell r="B148">
            <v>12.27</v>
          </cell>
        </row>
        <row r="149">
          <cell r="A149">
            <v>44916</v>
          </cell>
          <cell r="B149">
            <v>12.43</v>
          </cell>
        </row>
        <row r="150">
          <cell r="A150">
            <v>44917</v>
          </cell>
          <cell r="B150">
            <v>11.83</v>
          </cell>
        </row>
        <row r="151">
          <cell r="A151">
            <v>44918</v>
          </cell>
          <cell r="B151">
            <v>12.07</v>
          </cell>
        </row>
        <row r="152">
          <cell r="A152">
            <v>44922</v>
          </cell>
          <cell r="B152">
            <v>11.9</v>
          </cell>
        </row>
        <row r="153">
          <cell r="A153">
            <v>44923</v>
          </cell>
          <cell r="B153">
            <v>11.74</v>
          </cell>
        </row>
        <row r="154">
          <cell r="A154">
            <v>44924</v>
          </cell>
          <cell r="B154">
            <v>12.2</v>
          </cell>
        </row>
        <row r="155">
          <cell r="A155">
            <v>44925</v>
          </cell>
          <cell r="B155">
            <v>12.19</v>
          </cell>
        </row>
        <row r="156">
          <cell r="A156">
            <v>44929</v>
          </cell>
          <cell r="B156">
            <v>12.91</v>
          </cell>
        </row>
        <row r="157">
          <cell r="A157">
            <v>44930</v>
          </cell>
          <cell r="B157">
            <v>13.39</v>
          </cell>
        </row>
        <row r="158">
          <cell r="A158">
            <v>44931</v>
          </cell>
          <cell r="B158">
            <v>11.96</v>
          </cell>
        </row>
        <row r="159">
          <cell r="A159">
            <v>44932</v>
          </cell>
          <cell r="B159">
            <v>12.49</v>
          </cell>
        </row>
        <row r="160">
          <cell r="A160">
            <v>44935</v>
          </cell>
          <cell r="B160">
            <v>12.33</v>
          </cell>
        </row>
        <row r="161">
          <cell r="A161">
            <v>44936</v>
          </cell>
          <cell r="B161">
            <v>13.14</v>
          </cell>
        </row>
        <row r="162">
          <cell r="A162">
            <v>44937</v>
          </cell>
          <cell r="B162">
            <v>12.69</v>
          </cell>
        </row>
        <row r="163">
          <cell r="A163">
            <v>44938</v>
          </cell>
          <cell r="B163">
            <v>12.29</v>
          </cell>
        </row>
        <row r="164">
          <cell r="A164">
            <v>44939</v>
          </cell>
          <cell r="B164">
            <v>12.26</v>
          </cell>
        </row>
        <row r="165">
          <cell r="A165">
            <v>44943</v>
          </cell>
          <cell r="B165">
            <v>12.27</v>
          </cell>
        </row>
        <row r="166">
          <cell r="A166">
            <v>44944</v>
          </cell>
          <cell r="B166">
            <v>12.02</v>
          </cell>
        </row>
        <row r="167">
          <cell r="A167">
            <v>44945</v>
          </cell>
          <cell r="B167">
            <v>11.29</v>
          </cell>
        </row>
        <row r="168">
          <cell r="A168">
            <v>44946</v>
          </cell>
          <cell r="B168">
            <v>12.29</v>
          </cell>
        </row>
        <row r="169">
          <cell r="A169">
            <v>44949</v>
          </cell>
          <cell r="B169">
            <v>12.92</v>
          </cell>
        </row>
        <row r="170">
          <cell r="A170">
            <v>44950</v>
          </cell>
          <cell r="B170">
            <v>12.71</v>
          </cell>
        </row>
        <row r="171">
          <cell r="A171">
            <v>44951</v>
          </cell>
          <cell r="B171">
            <v>12.8</v>
          </cell>
        </row>
        <row r="172">
          <cell r="A172">
            <v>44952</v>
          </cell>
          <cell r="B172">
            <v>12.54</v>
          </cell>
        </row>
        <row r="173">
          <cell r="A173">
            <v>44953</v>
          </cell>
          <cell r="B173">
            <v>12.5</v>
          </cell>
        </row>
        <row r="174">
          <cell r="A174">
            <v>44956</v>
          </cell>
          <cell r="B174">
            <v>12.42</v>
          </cell>
        </row>
        <row r="175">
          <cell r="A175">
            <v>44957</v>
          </cell>
          <cell r="B175">
            <v>12.9</v>
          </cell>
        </row>
        <row r="176">
          <cell r="A176">
            <v>44958</v>
          </cell>
          <cell r="B176">
            <v>13.44</v>
          </cell>
        </row>
        <row r="177">
          <cell r="A177">
            <v>44959</v>
          </cell>
          <cell r="B177">
            <v>14.34</v>
          </cell>
        </row>
        <row r="178">
          <cell r="A178">
            <v>44960</v>
          </cell>
          <cell r="B178">
            <v>14.16</v>
          </cell>
        </row>
        <row r="179">
          <cell r="A179">
            <v>44963</v>
          </cell>
          <cell r="B179">
            <v>13.8</v>
          </cell>
        </row>
        <row r="180">
          <cell r="A180">
            <v>44964</v>
          </cell>
          <cell r="B180">
            <v>14.31</v>
          </cell>
        </row>
        <row r="181">
          <cell r="A181">
            <v>44965</v>
          </cell>
          <cell r="B181">
            <v>14.09</v>
          </cell>
        </row>
        <row r="182">
          <cell r="A182">
            <v>44966</v>
          </cell>
          <cell r="B182">
            <v>13.89</v>
          </cell>
        </row>
        <row r="183">
          <cell r="A183">
            <v>44967</v>
          </cell>
          <cell r="B183">
            <v>13.88</v>
          </cell>
        </row>
        <row r="184">
          <cell r="A184">
            <v>44970</v>
          </cell>
          <cell r="B184">
            <v>14.74</v>
          </cell>
        </row>
        <row r="185">
          <cell r="A185">
            <v>44971</v>
          </cell>
          <cell r="B185">
            <v>14.74</v>
          </cell>
        </row>
        <row r="186">
          <cell r="A186">
            <v>44972</v>
          </cell>
          <cell r="B186">
            <v>15.24</v>
          </cell>
        </row>
        <row r="187">
          <cell r="A187">
            <v>44973</v>
          </cell>
          <cell r="B187">
            <v>14.97</v>
          </cell>
        </row>
        <row r="188">
          <cell r="A188">
            <v>44974</v>
          </cell>
          <cell r="B188">
            <v>14.88</v>
          </cell>
        </row>
        <row r="189">
          <cell r="A189">
            <v>44978</v>
          </cell>
          <cell r="B189">
            <v>14.45</v>
          </cell>
        </row>
        <row r="190">
          <cell r="A190">
            <v>44979</v>
          </cell>
          <cell r="B190">
            <v>14.74</v>
          </cell>
        </row>
        <row r="191">
          <cell r="A191">
            <v>44980</v>
          </cell>
          <cell r="B191">
            <v>14.8</v>
          </cell>
        </row>
        <row r="192">
          <cell r="A192">
            <v>44981</v>
          </cell>
          <cell r="B192">
            <v>14.13</v>
          </cell>
        </row>
        <row r="193">
          <cell r="A193">
            <v>44984</v>
          </cell>
          <cell r="B193">
            <v>15</v>
          </cell>
        </row>
        <row r="194">
          <cell r="A194">
            <v>44985</v>
          </cell>
          <cell r="B194">
            <v>15.55</v>
          </cell>
        </row>
        <row r="195">
          <cell r="A195">
            <v>44986</v>
          </cell>
          <cell r="B195">
            <v>15.8</v>
          </cell>
        </row>
        <row r="196">
          <cell r="A196">
            <v>44987</v>
          </cell>
          <cell r="B196">
            <v>15.33</v>
          </cell>
        </row>
        <row r="197">
          <cell r="A197">
            <v>44988</v>
          </cell>
          <cell r="B197">
            <v>15.48</v>
          </cell>
        </row>
        <row r="198">
          <cell r="A198">
            <v>44991</v>
          </cell>
          <cell r="B198">
            <v>14.8</v>
          </cell>
        </row>
        <row r="199">
          <cell r="A199">
            <v>44992</v>
          </cell>
          <cell r="B199">
            <v>16.68</v>
          </cell>
        </row>
        <row r="200">
          <cell r="A200">
            <v>44993</v>
          </cell>
          <cell r="B200">
            <v>16.610001</v>
          </cell>
        </row>
        <row r="201">
          <cell r="A201">
            <v>44994</v>
          </cell>
          <cell r="B201">
            <v>15.97</v>
          </cell>
        </row>
        <row r="202">
          <cell r="A202">
            <v>44995</v>
          </cell>
          <cell r="B202">
            <v>14.22</v>
          </cell>
        </row>
        <row r="203">
          <cell r="A203">
            <v>44998</v>
          </cell>
          <cell r="B203">
            <v>14.21</v>
          </cell>
        </row>
        <row r="204">
          <cell r="A204">
            <v>44999</v>
          </cell>
          <cell r="B204">
            <v>15.18</v>
          </cell>
        </row>
        <row r="205">
          <cell r="A205">
            <v>45000</v>
          </cell>
          <cell r="B205">
            <v>14.45</v>
          </cell>
        </row>
        <row r="206">
          <cell r="A206">
            <v>45001</v>
          </cell>
          <cell r="B206">
            <v>15.28</v>
          </cell>
        </row>
        <row r="207">
          <cell r="A207">
            <v>45002</v>
          </cell>
          <cell r="B207">
            <v>15.16</v>
          </cell>
        </row>
        <row r="208">
          <cell r="A208">
            <v>45005</v>
          </cell>
          <cell r="B208">
            <v>15.03</v>
          </cell>
        </row>
        <row r="209">
          <cell r="A209">
            <v>45006</v>
          </cell>
          <cell r="B209">
            <v>15.64</v>
          </cell>
        </row>
        <row r="210">
          <cell r="A210">
            <v>45007</v>
          </cell>
          <cell r="B210">
            <v>14.75</v>
          </cell>
        </row>
        <row r="211">
          <cell r="A211">
            <v>45008</v>
          </cell>
          <cell r="B211">
            <v>14.52</v>
          </cell>
        </row>
        <row r="212">
          <cell r="A212">
            <v>45009</v>
          </cell>
          <cell r="B212">
            <v>14.51</v>
          </cell>
        </row>
        <row r="213">
          <cell r="A213">
            <v>45012</v>
          </cell>
          <cell r="B213">
            <v>14.71</v>
          </cell>
        </row>
        <row r="214">
          <cell r="A214">
            <v>45013</v>
          </cell>
          <cell r="B214">
            <v>14.5</v>
          </cell>
        </row>
        <row r="215">
          <cell r="A215">
            <v>45014</v>
          </cell>
          <cell r="B215">
            <v>14.41</v>
          </cell>
        </row>
        <row r="216">
          <cell r="A216">
            <v>45015</v>
          </cell>
          <cell r="B216">
            <v>14.58</v>
          </cell>
        </row>
        <row r="217">
          <cell r="A217">
            <v>45016</v>
          </cell>
          <cell r="B217">
            <v>15.2</v>
          </cell>
        </row>
        <row r="218">
          <cell r="A218">
            <v>45019</v>
          </cell>
          <cell r="B218">
            <v>15.35</v>
          </cell>
        </row>
        <row r="219">
          <cell r="A219">
            <v>45020</v>
          </cell>
          <cell r="B219">
            <v>15</v>
          </cell>
        </row>
        <row r="220">
          <cell r="A220">
            <v>45021</v>
          </cell>
          <cell r="B220">
            <v>14.89</v>
          </cell>
        </row>
        <row r="221">
          <cell r="A221">
            <v>45022</v>
          </cell>
          <cell r="B221">
            <v>14.9</v>
          </cell>
        </row>
        <row r="222">
          <cell r="A222">
            <v>45026</v>
          </cell>
          <cell r="B222">
            <v>15.47</v>
          </cell>
        </row>
        <row r="223">
          <cell r="A223">
            <v>45027</v>
          </cell>
          <cell r="B223">
            <v>15.59</v>
          </cell>
        </row>
        <row r="224">
          <cell r="A224">
            <v>45028</v>
          </cell>
          <cell r="B224">
            <v>14.7</v>
          </cell>
        </row>
        <row r="225">
          <cell r="A225">
            <v>45029</v>
          </cell>
          <cell r="B225">
            <v>14.81</v>
          </cell>
        </row>
        <row r="226">
          <cell r="A226">
            <v>45030</v>
          </cell>
          <cell r="B226">
            <v>14.85</v>
          </cell>
        </row>
        <row r="227">
          <cell r="A227">
            <v>45033</v>
          </cell>
          <cell r="B227">
            <v>14.86</v>
          </cell>
        </row>
        <row r="228">
          <cell r="A228">
            <v>45034</v>
          </cell>
          <cell r="B228">
            <v>14.1</v>
          </cell>
        </row>
        <row r="229">
          <cell r="A229">
            <v>45035</v>
          </cell>
          <cell r="B229">
            <v>13.69</v>
          </cell>
        </row>
        <row r="230">
          <cell r="A230">
            <v>45036</v>
          </cell>
          <cell r="B230">
            <v>13.56</v>
          </cell>
        </row>
        <row r="231">
          <cell r="A231">
            <v>45037</v>
          </cell>
          <cell r="B231">
            <v>13.41</v>
          </cell>
        </row>
        <row r="232">
          <cell r="A232">
            <v>45040</v>
          </cell>
          <cell r="B232">
            <v>12.95</v>
          </cell>
        </row>
        <row r="233">
          <cell r="A233">
            <v>45041</v>
          </cell>
          <cell r="B233">
            <v>12.77</v>
          </cell>
        </row>
        <row r="234">
          <cell r="A234">
            <v>45042</v>
          </cell>
          <cell r="B234">
            <v>12.84</v>
          </cell>
        </row>
        <row r="235">
          <cell r="A235">
            <v>45043</v>
          </cell>
          <cell r="B235">
            <v>13.26</v>
          </cell>
        </row>
        <row r="236">
          <cell r="A236">
            <v>45044</v>
          </cell>
          <cell r="B236">
            <v>13.45</v>
          </cell>
        </row>
        <row r="237">
          <cell r="A237">
            <v>45047</v>
          </cell>
          <cell r="B237">
            <v>13.1</v>
          </cell>
        </row>
        <row r="238">
          <cell r="A238">
            <v>45048</v>
          </cell>
          <cell r="B238">
            <v>12.76</v>
          </cell>
        </row>
        <row r="239">
          <cell r="A239">
            <v>45049</v>
          </cell>
          <cell r="B239">
            <v>12.68</v>
          </cell>
        </row>
        <row r="240">
          <cell r="A240">
            <v>45050</v>
          </cell>
          <cell r="B240">
            <v>12.75</v>
          </cell>
        </row>
        <row r="241">
          <cell r="A241">
            <v>45051</v>
          </cell>
          <cell r="B241">
            <v>13.02</v>
          </cell>
        </row>
        <row r="242">
          <cell r="A242">
            <v>45054</v>
          </cell>
          <cell r="B242">
            <v>13.17</v>
          </cell>
        </row>
        <row r="243">
          <cell r="A243">
            <v>45055</v>
          </cell>
          <cell r="B243">
            <v>12.94</v>
          </cell>
        </row>
        <row r="244">
          <cell r="A244">
            <v>45056</v>
          </cell>
          <cell r="B244">
            <v>13.2</v>
          </cell>
        </row>
        <row r="245">
          <cell r="A245">
            <v>45057</v>
          </cell>
          <cell r="B245">
            <v>14.39</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y Stats"/>
      <sheetName val="Income Statement"/>
      <sheetName val="Balance Sheet"/>
      <sheetName val="Cash Flow"/>
      <sheetName val="Revenue Calculation"/>
      <sheetName val="COGS"/>
      <sheetName val="SG&amp;A"/>
      <sheetName val="Other Cost"/>
      <sheetName val="Unusual Items"/>
      <sheetName val="Tax Rate"/>
      <sheetName val="Current Assets"/>
      <sheetName val="Fixed Assets"/>
      <sheetName val="Liabilities "/>
      <sheetName val="IS Pro Forma"/>
      <sheetName val="BS Pro Forma"/>
      <sheetName val="WACC"/>
      <sheetName val="FCFF FCFE Valuation"/>
      <sheetName val="Valuation by Comparables"/>
      <sheetName val="Scenario Analyis"/>
      <sheetName val="Sensitivity Analysis"/>
      <sheetName val="Multiples"/>
      <sheetName val="Historical Capitalization"/>
      <sheetName val="Capital Structure Summary"/>
      <sheetName val="Capital Structure Details"/>
      <sheetName val="Ratios"/>
      <sheetName val="Supplemental"/>
      <sheetName val="Pension OPEB"/>
      <sheetName val="Industry Specific"/>
      <sheetName val="Segments"/>
      <sheetName val="Data - Equity Risk Premium"/>
      <sheetName val="Sheet3"/>
    </sheetNames>
    <sheetDataSet>
      <sheetData sheetId="0"/>
      <sheetData sheetId="1"/>
      <sheetData sheetId="2"/>
      <sheetData sheetId="3"/>
      <sheetData sheetId="4"/>
      <sheetData sheetId="5"/>
      <sheetData sheetId="6"/>
      <sheetData sheetId="7"/>
      <sheetData sheetId="8"/>
      <sheetData sheetId="9"/>
      <sheetData sheetId="10">
        <row r="30">
          <cell r="E30" t="str">
            <v>Receivables/Revenue</v>
          </cell>
          <cell r="F30" t="str">
            <v>Average Rec/Rev</v>
          </cell>
        </row>
        <row r="31">
          <cell r="B31">
            <v>2010</v>
          </cell>
          <cell r="E31">
            <v>1.8189526118463757E-2</v>
          </cell>
          <cell r="F31">
            <v>9.304236673405037E-3</v>
          </cell>
        </row>
        <row r="32">
          <cell r="B32">
            <v>2011</v>
          </cell>
          <cell r="E32">
            <v>1.2808695749918506E-2</v>
          </cell>
          <cell r="F32">
            <v>9.304236673405037E-3</v>
          </cell>
        </row>
        <row r="33">
          <cell r="B33">
            <v>2012</v>
          </cell>
          <cell r="E33">
            <v>5.1976391807273693E-3</v>
          </cell>
          <cell r="F33">
            <v>9.304236673405037E-3</v>
          </cell>
        </row>
        <row r="34">
          <cell r="B34">
            <v>2013</v>
          </cell>
          <cell r="E34">
            <v>4.6345553497699147E-3</v>
          </cell>
          <cell r="F34">
            <v>9.304236673405037E-3</v>
          </cell>
        </row>
        <row r="35">
          <cell r="B35">
            <v>2014</v>
          </cell>
          <cell r="E35">
            <v>7.4805742627521068E-3</v>
          </cell>
          <cell r="F35">
            <v>9.304236673405037E-3</v>
          </cell>
        </row>
        <row r="36">
          <cell r="B36">
            <v>2015</v>
          </cell>
          <cell r="E36">
            <v>7.6485091082693036E-3</v>
          </cell>
          <cell r="F36">
            <v>9.304236673405037E-3</v>
          </cell>
        </row>
        <row r="37">
          <cell r="B37">
            <v>2016</v>
          </cell>
          <cell r="E37">
            <v>6.3614917183647066E-3</v>
          </cell>
          <cell r="F37">
            <v>9.304236673405037E-3</v>
          </cell>
        </row>
        <row r="38">
          <cell r="B38">
            <v>2017</v>
          </cell>
          <cell r="E38">
            <v>3.9242584004722759E-3</v>
          </cell>
          <cell r="F38">
            <v>9.304236673405037E-3</v>
          </cell>
        </row>
        <row r="39">
          <cell r="B39">
            <v>2018</v>
          </cell>
          <cell r="E39">
            <v>7.2373310845880289E-3</v>
          </cell>
          <cell r="F39">
            <v>9.304236673405037E-3</v>
          </cell>
        </row>
        <row r="40">
          <cell r="B40">
            <v>2019</v>
          </cell>
          <cell r="E40">
            <v>1.0882764111389437E-2</v>
          </cell>
          <cell r="F40">
            <v>9.304236673405037E-3</v>
          </cell>
        </row>
        <row r="41">
          <cell r="B41">
            <v>2020</v>
          </cell>
          <cell r="E41">
            <v>1.0107064164113453E-2</v>
          </cell>
          <cell r="F41">
            <v>9.304236673405037E-3</v>
          </cell>
        </row>
        <row r="42">
          <cell r="B42">
            <v>2021</v>
          </cell>
          <cell r="E42">
            <v>1.4175537310316799E-2</v>
          </cell>
          <cell r="F42">
            <v>9.304236673405037E-3</v>
          </cell>
        </row>
        <row r="43">
          <cell r="B43">
            <v>2022</v>
          </cell>
          <cell r="E43">
            <v>1.2307130195119823E-2</v>
          </cell>
          <cell r="F43">
            <v>9.304236673405037E-3</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vestinisrael.gov.il/BusinessInIsrael/Pages/Taxation.asp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investinisrael.gov.il/BusinessInIsrael/Pages/Taxation.aspx"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marketscreener.com/quote/stock/ARISTOCRAT-LEISURE-LIMITE-6491399/news/Aristocrat-Boosts-Real-Money-Gaming-Strategy-4386976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867E-C7A1-40DC-A0A4-6135C8B21C25}">
  <sheetPr>
    <outlinePr summaryBelow="0" summaryRight="0"/>
    <pageSetUpPr autoPageBreaks="0"/>
  </sheetPr>
  <dimension ref="A5:IU91"/>
  <sheetViews>
    <sheetView workbookViewId="0">
      <selection activeCell="C50" sqref="C50"/>
    </sheetView>
  </sheetViews>
  <sheetFormatPr defaultRowHeight="10" x14ac:dyDescent="0.2"/>
  <cols>
    <col min="1" max="1" width="45.81640625" style="75" customWidth="1"/>
    <col min="2" max="8" width="14.81640625" style="75" customWidth="1"/>
    <col min="9" max="256" width="8.7265625" style="75"/>
    <col min="257" max="257" width="45.81640625" style="75" customWidth="1"/>
    <col min="258" max="264" width="14.81640625" style="75" customWidth="1"/>
    <col min="265" max="512" width="8.7265625" style="75"/>
    <col min="513" max="513" width="45.81640625" style="75" customWidth="1"/>
    <col min="514" max="520" width="14.81640625" style="75" customWidth="1"/>
    <col min="521" max="768" width="8.7265625" style="75"/>
    <col min="769" max="769" width="45.81640625" style="75" customWidth="1"/>
    <col min="770" max="776" width="14.81640625" style="75" customWidth="1"/>
    <col min="777" max="1024" width="8.7265625" style="75"/>
    <col min="1025" max="1025" width="45.81640625" style="75" customWidth="1"/>
    <col min="1026" max="1032" width="14.81640625" style="75" customWidth="1"/>
    <col min="1033" max="1280" width="8.7265625" style="75"/>
    <col min="1281" max="1281" width="45.81640625" style="75" customWidth="1"/>
    <col min="1282" max="1288" width="14.81640625" style="75" customWidth="1"/>
    <col min="1289" max="1536" width="8.7265625" style="75"/>
    <col min="1537" max="1537" width="45.81640625" style="75" customWidth="1"/>
    <col min="1538" max="1544" width="14.81640625" style="75" customWidth="1"/>
    <col min="1545" max="1792" width="8.7265625" style="75"/>
    <col min="1793" max="1793" width="45.81640625" style="75" customWidth="1"/>
    <col min="1794" max="1800" width="14.81640625" style="75" customWidth="1"/>
    <col min="1801" max="2048" width="8.7265625" style="75"/>
    <col min="2049" max="2049" width="45.81640625" style="75" customWidth="1"/>
    <col min="2050" max="2056" width="14.81640625" style="75" customWidth="1"/>
    <col min="2057" max="2304" width="8.7265625" style="75"/>
    <col min="2305" max="2305" width="45.81640625" style="75" customWidth="1"/>
    <col min="2306" max="2312" width="14.81640625" style="75" customWidth="1"/>
    <col min="2313" max="2560" width="8.7265625" style="75"/>
    <col min="2561" max="2561" width="45.81640625" style="75" customWidth="1"/>
    <col min="2562" max="2568" width="14.81640625" style="75" customWidth="1"/>
    <col min="2569" max="2816" width="8.7265625" style="75"/>
    <col min="2817" max="2817" width="45.81640625" style="75" customWidth="1"/>
    <col min="2818" max="2824" width="14.81640625" style="75" customWidth="1"/>
    <col min="2825" max="3072" width="8.7265625" style="75"/>
    <col min="3073" max="3073" width="45.81640625" style="75" customWidth="1"/>
    <col min="3074" max="3080" width="14.81640625" style="75" customWidth="1"/>
    <col min="3081" max="3328" width="8.7265625" style="75"/>
    <col min="3329" max="3329" width="45.81640625" style="75" customWidth="1"/>
    <col min="3330" max="3336" width="14.81640625" style="75" customWidth="1"/>
    <col min="3337" max="3584" width="8.7265625" style="75"/>
    <col min="3585" max="3585" width="45.81640625" style="75" customWidth="1"/>
    <col min="3586" max="3592" width="14.81640625" style="75" customWidth="1"/>
    <col min="3593" max="3840" width="8.7265625" style="75"/>
    <col min="3841" max="3841" width="45.81640625" style="75" customWidth="1"/>
    <col min="3842" max="3848" width="14.81640625" style="75" customWidth="1"/>
    <col min="3849" max="4096" width="8.7265625" style="75"/>
    <col min="4097" max="4097" width="45.81640625" style="75" customWidth="1"/>
    <col min="4098" max="4104" width="14.81640625" style="75" customWidth="1"/>
    <col min="4105" max="4352" width="8.7265625" style="75"/>
    <col min="4353" max="4353" width="45.81640625" style="75" customWidth="1"/>
    <col min="4354" max="4360" width="14.81640625" style="75" customWidth="1"/>
    <col min="4361" max="4608" width="8.7265625" style="75"/>
    <col min="4609" max="4609" width="45.81640625" style="75" customWidth="1"/>
    <col min="4610" max="4616" width="14.81640625" style="75" customWidth="1"/>
    <col min="4617" max="4864" width="8.7265625" style="75"/>
    <col min="4865" max="4865" width="45.81640625" style="75" customWidth="1"/>
    <col min="4866" max="4872" width="14.81640625" style="75" customWidth="1"/>
    <col min="4873" max="5120" width="8.7265625" style="75"/>
    <col min="5121" max="5121" width="45.81640625" style="75" customWidth="1"/>
    <col min="5122" max="5128" width="14.81640625" style="75" customWidth="1"/>
    <col min="5129" max="5376" width="8.7265625" style="75"/>
    <col min="5377" max="5377" width="45.81640625" style="75" customWidth="1"/>
    <col min="5378" max="5384" width="14.81640625" style="75" customWidth="1"/>
    <col min="5385" max="5632" width="8.7265625" style="75"/>
    <col min="5633" max="5633" width="45.81640625" style="75" customWidth="1"/>
    <col min="5634" max="5640" width="14.81640625" style="75" customWidth="1"/>
    <col min="5641" max="5888" width="8.7265625" style="75"/>
    <col min="5889" max="5889" width="45.81640625" style="75" customWidth="1"/>
    <col min="5890" max="5896" width="14.81640625" style="75" customWidth="1"/>
    <col min="5897" max="6144" width="8.7265625" style="75"/>
    <col min="6145" max="6145" width="45.81640625" style="75" customWidth="1"/>
    <col min="6146" max="6152" width="14.81640625" style="75" customWidth="1"/>
    <col min="6153" max="6400" width="8.7265625" style="75"/>
    <col min="6401" max="6401" width="45.81640625" style="75" customWidth="1"/>
    <col min="6402" max="6408" width="14.81640625" style="75" customWidth="1"/>
    <col min="6409" max="6656" width="8.7265625" style="75"/>
    <col min="6657" max="6657" width="45.81640625" style="75" customWidth="1"/>
    <col min="6658" max="6664" width="14.81640625" style="75" customWidth="1"/>
    <col min="6665" max="6912" width="8.7265625" style="75"/>
    <col min="6913" max="6913" width="45.81640625" style="75" customWidth="1"/>
    <col min="6914" max="6920" width="14.81640625" style="75" customWidth="1"/>
    <col min="6921" max="7168" width="8.7265625" style="75"/>
    <col min="7169" max="7169" width="45.81640625" style="75" customWidth="1"/>
    <col min="7170" max="7176" width="14.81640625" style="75" customWidth="1"/>
    <col min="7177" max="7424" width="8.7265625" style="75"/>
    <col min="7425" max="7425" width="45.81640625" style="75" customWidth="1"/>
    <col min="7426" max="7432" width="14.81640625" style="75" customWidth="1"/>
    <col min="7433" max="7680" width="8.7265625" style="75"/>
    <col min="7681" max="7681" width="45.81640625" style="75" customWidth="1"/>
    <col min="7682" max="7688" width="14.81640625" style="75" customWidth="1"/>
    <col min="7689" max="7936" width="8.7265625" style="75"/>
    <col min="7937" max="7937" width="45.81640625" style="75" customWidth="1"/>
    <col min="7938" max="7944" width="14.81640625" style="75" customWidth="1"/>
    <col min="7945" max="8192" width="8.7265625" style="75"/>
    <col min="8193" max="8193" width="45.81640625" style="75" customWidth="1"/>
    <col min="8194" max="8200" width="14.81640625" style="75" customWidth="1"/>
    <col min="8201" max="8448" width="8.7265625" style="75"/>
    <col min="8449" max="8449" width="45.81640625" style="75" customWidth="1"/>
    <col min="8450" max="8456" width="14.81640625" style="75" customWidth="1"/>
    <col min="8457" max="8704" width="8.7265625" style="75"/>
    <col min="8705" max="8705" width="45.81640625" style="75" customWidth="1"/>
    <col min="8706" max="8712" width="14.81640625" style="75" customWidth="1"/>
    <col min="8713" max="8960" width="8.7265625" style="75"/>
    <col min="8961" max="8961" width="45.81640625" style="75" customWidth="1"/>
    <col min="8962" max="8968" width="14.81640625" style="75" customWidth="1"/>
    <col min="8969" max="9216" width="8.7265625" style="75"/>
    <col min="9217" max="9217" width="45.81640625" style="75" customWidth="1"/>
    <col min="9218" max="9224" width="14.81640625" style="75" customWidth="1"/>
    <col min="9225" max="9472" width="8.7265625" style="75"/>
    <col min="9473" max="9473" width="45.81640625" style="75" customWidth="1"/>
    <col min="9474" max="9480" width="14.81640625" style="75" customWidth="1"/>
    <col min="9481" max="9728" width="8.7265625" style="75"/>
    <col min="9729" max="9729" width="45.81640625" style="75" customWidth="1"/>
    <col min="9730" max="9736" width="14.81640625" style="75" customWidth="1"/>
    <col min="9737" max="9984" width="8.7265625" style="75"/>
    <col min="9985" max="9985" width="45.81640625" style="75" customWidth="1"/>
    <col min="9986" max="9992" width="14.81640625" style="75" customWidth="1"/>
    <col min="9993" max="10240" width="8.7265625" style="75"/>
    <col min="10241" max="10241" width="45.81640625" style="75" customWidth="1"/>
    <col min="10242" max="10248" width="14.81640625" style="75" customWidth="1"/>
    <col min="10249" max="10496" width="8.7265625" style="75"/>
    <col min="10497" max="10497" width="45.81640625" style="75" customWidth="1"/>
    <col min="10498" max="10504" width="14.81640625" style="75" customWidth="1"/>
    <col min="10505" max="10752" width="8.7265625" style="75"/>
    <col min="10753" max="10753" width="45.81640625" style="75" customWidth="1"/>
    <col min="10754" max="10760" width="14.81640625" style="75" customWidth="1"/>
    <col min="10761" max="11008" width="8.7265625" style="75"/>
    <col min="11009" max="11009" width="45.81640625" style="75" customWidth="1"/>
    <col min="11010" max="11016" width="14.81640625" style="75" customWidth="1"/>
    <col min="11017" max="11264" width="8.7265625" style="75"/>
    <col min="11265" max="11265" width="45.81640625" style="75" customWidth="1"/>
    <col min="11266" max="11272" width="14.81640625" style="75" customWidth="1"/>
    <col min="11273" max="11520" width="8.7265625" style="75"/>
    <col min="11521" max="11521" width="45.81640625" style="75" customWidth="1"/>
    <col min="11522" max="11528" width="14.81640625" style="75" customWidth="1"/>
    <col min="11529" max="11776" width="8.7265625" style="75"/>
    <col min="11777" max="11777" width="45.81640625" style="75" customWidth="1"/>
    <col min="11778" max="11784" width="14.81640625" style="75" customWidth="1"/>
    <col min="11785" max="12032" width="8.7265625" style="75"/>
    <col min="12033" max="12033" width="45.81640625" style="75" customWidth="1"/>
    <col min="12034" max="12040" width="14.81640625" style="75" customWidth="1"/>
    <col min="12041" max="12288" width="8.7265625" style="75"/>
    <col min="12289" max="12289" width="45.81640625" style="75" customWidth="1"/>
    <col min="12290" max="12296" width="14.81640625" style="75" customWidth="1"/>
    <col min="12297" max="12544" width="8.7265625" style="75"/>
    <col min="12545" max="12545" width="45.81640625" style="75" customWidth="1"/>
    <col min="12546" max="12552" width="14.81640625" style="75" customWidth="1"/>
    <col min="12553" max="12800" width="8.7265625" style="75"/>
    <col min="12801" max="12801" width="45.81640625" style="75" customWidth="1"/>
    <col min="12802" max="12808" width="14.81640625" style="75" customWidth="1"/>
    <col min="12809" max="13056" width="8.7265625" style="75"/>
    <col min="13057" max="13057" width="45.81640625" style="75" customWidth="1"/>
    <col min="13058" max="13064" width="14.81640625" style="75" customWidth="1"/>
    <col min="13065" max="13312" width="8.7265625" style="75"/>
    <col min="13313" max="13313" width="45.81640625" style="75" customWidth="1"/>
    <col min="13314" max="13320" width="14.81640625" style="75" customWidth="1"/>
    <col min="13321" max="13568" width="8.7265625" style="75"/>
    <col min="13569" max="13569" width="45.81640625" style="75" customWidth="1"/>
    <col min="13570" max="13576" width="14.81640625" style="75" customWidth="1"/>
    <col min="13577" max="13824" width="8.7265625" style="75"/>
    <col min="13825" max="13825" width="45.81640625" style="75" customWidth="1"/>
    <col min="13826" max="13832" width="14.81640625" style="75" customWidth="1"/>
    <col min="13833" max="14080" width="8.7265625" style="75"/>
    <col min="14081" max="14081" width="45.81640625" style="75" customWidth="1"/>
    <col min="14082" max="14088" width="14.81640625" style="75" customWidth="1"/>
    <col min="14089" max="14336" width="8.7265625" style="75"/>
    <col min="14337" max="14337" width="45.81640625" style="75" customWidth="1"/>
    <col min="14338" max="14344" width="14.81640625" style="75" customWidth="1"/>
    <col min="14345" max="14592" width="8.7265625" style="75"/>
    <col min="14593" max="14593" width="45.81640625" style="75" customWidth="1"/>
    <col min="14594" max="14600" width="14.81640625" style="75" customWidth="1"/>
    <col min="14601" max="14848" width="8.7265625" style="75"/>
    <col min="14849" max="14849" width="45.81640625" style="75" customWidth="1"/>
    <col min="14850" max="14856" width="14.81640625" style="75" customWidth="1"/>
    <col min="14857" max="15104" width="8.7265625" style="75"/>
    <col min="15105" max="15105" width="45.81640625" style="75" customWidth="1"/>
    <col min="15106" max="15112" width="14.81640625" style="75" customWidth="1"/>
    <col min="15113" max="15360" width="8.7265625" style="75"/>
    <col min="15361" max="15361" width="45.81640625" style="75" customWidth="1"/>
    <col min="15362" max="15368" width="14.81640625" style="75" customWidth="1"/>
    <col min="15369" max="15616" width="8.7265625" style="75"/>
    <col min="15617" max="15617" width="45.81640625" style="75" customWidth="1"/>
    <col min="15618" max="15624" width="14.81640625" style="75" customWidth="1"/>
    <col min="15625" max="15872" width="8.7265625" style="75"/>
    <col min="15873" max="15873" width="45.81640625" style="75" customWidth="1"/>
    <col min="15874" max="15880" width="14.81640625" style="75" customWidth="1"/>
    <col min="15881" max="16128" width="8.7265625" style="75"/>
    <col min="16129" max="16129" width="45.81640625" style="75" customWidth="1"/>
    <col min="16130" max="16136" width="14.81640625" style="75" customWidth="1"/>
    <col min="16137" max="16384" width="8.7265625" style="75"/>
  </cols>
  <sheetData>
    <row r="5" spans="1:255" ht="17" x14ac:dyDescent="0.35">
      <c r="A5" s="74" t="s">
        <v>173</v>
      </c>
    </row>
    <row r="7" spans="1:255" ht="10.5" x14ac:dyDescent="0.25">
      <c r="A7" s="76" t="s">
        <v>174</v>
      </c>
      <c r="B7" s="77" t="s">
        <v>175</v>
      </c>
      <c r="C7" s="75" t="s">
        <v>176</v>
      </c>
      <c r="D7" s="78" t="s">
        <v>177</v>
      </c>
      <c r="E7" s="77" t="s">
        <v>178</v>
      </c>
      <c r="F7" s="75" t="s">
        <v>179</v>
      </c>
    </row>
    <row r="8" spans="1:255" ht="10.5" x14ac:dyDescent="0.25">
      <c r="A8" s="78"/>
      <c r="B8" s="77" t="s">
        <v>180</v>
      </c>
      <c r="C8" s="75" t="s">
        <v>181</v>
      </c>
      <c r="D8" s="78" t="s">
        <v>177</v>
      </c>
      <c r="E8" s="77" t="s">
        <v>182</v>
      </c>
      <c r="F8" s="75" t="s">
        <v>183</v>
      </c>
    </row>
    <row r="9" spans="1:255" ht="10.5" x14ac:dyDescent="0.25">
      <c r="A9" s="78"/>
      <c r="B9" s="77" t="s">
        <v>184</v>
      </c>
      <c r="C9" s="79" t="s">
        <v>185</v>
      </c>
      <c r="D9" s="78" t="s">
        <v>177</v>
      </c>
      <c r="E9" s="77" t="s">
        <v>186</v>
      </c>
      <c r="F9" s="75" t="s">
        <v>187</v>
      </c>
    </row>
    <row r="12" spans="1:255" x14ac:dyDescent="0.2">
      <c r="A12" s="80" t="s">
        <v>188</v>
      </c>
      <c r="B12" s="80"/>
      <c r="C12" s="80"/>
      <c r="D12" s="80"/>
      <c r="E12" s="80"/>
      <c r="F12" s="80"/>
      <c r="G12" s="80"/>
      <c r="H12" s="80"/>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row>
    <row r="13" spans="1:255" ht="42" x14ac:dyDescent="0.25">
      <c r="A13" s="82" t="s">
        <v>0</v>
      </c>
      <c r="B13" s="83" t="s">
        <v>189</v>
      </c>
      <c r="C13" s="83" t="s">
        <v>190</v>
      </c>
      <c r="D13" s="83" t="s">
        <v>191</v>
      </c>
      <c r="E13" s="83" t="s">
        <v>192</v>
      </c>
      <c r="F13" s="83" t="s">
        <v>193</v>
      </c>
      <c r="G13" s="83" t="s">
        <v>194</v>
      </c>
      <c r="H13" s="83" t="s">
        <v>195</v>
      </c>
    </row>
    <row r="14" spans="1:255" x14ac:dyDescent="0.2">
      <c r="A14" s="84" t="s">
        <v>26</v>
      </c>
      <c r="B14" s="85" t="s">
        <v>27</v>
      </c>
      <c r="C14" s="85" t="s">
        <v>27</v>
      </c>
      <c r="D14" s="85" t="s">
        <v>27</v>
      </c>
      <c r="E14" s="85" t="s">
        <v>27</v>
      </c>
      <c r="F14" s="85" t="s">
        <v>27</v>
      </c>
      <c r="G14" s="85" t="s">
        <v>27</v>
      </c>
      <c r="H14" s="85" t="s">
        <v>27</v>
      </c>
    </row>
    <row r="15" spans="1:255" ht="10.5" x14ac:dyDescent="0.2">
      <c r="A15" s="86"/>
      <c r="B15" s="78"/>
      <c r="C15" s="78"/>
      <c r="D15" s="78"/>
      <c r="E15" s="78"/>
      <c r="F15" s="78"/>
      <c r="G15" s="78"/>
      <c r="H15" s="78"/>
    </row>
    <row r="16" spans="1:255" ht="10.5" x14ac:dyDescent="0.2">
      <c r="A16" s="86" t="s">
        <v>196</v>
      </c>
      <c r="B16" s="87">
        <v>23.478000000000002</v>
      </c>
      <c r="C16" s="87">
        <v>33.061999999999998</v>
      </c>
      <c r="D16" s="87">
        <v>49.201999999999998</v>
      </c>
      <c r="E16" s="87">
        <v>50.463000000000001</v>
      </c>
      <c r="F16" s="87">
        <v>165.69800000000001</v>
      </c>
      <c r="G16" s="87">
        <v>201.98099999999999</v>
      </c>
      <c r="H16" s="88">
        <v>249.47476</v>
      </c>
    </row>
    <row r="17" spans="1:8" x14ac:dyDescent="0.2">
      <c r="A17" s="89" t="s">
        <v>197</v>
      </c>
      <c r="B17" s="90">
        <v>0.36905900000000003</v>
      </c>
      <c r="C17" s="90">
        <v>0.40821099999999999</v>
      </c>
      <c r="D17" s="90">
        <v>0.48817300000000002</v>
      </c>
      <c r="E17" s="90">
        <v>2.5628999999999999E-2</v>
      </c>
      <c r="F17" s="90">
        <v>2.2835540000000001</v>
      </c>
      <c r="G17" s="90">
        <v>3.010424</v>
      </c>
      <c r="H17" s="91">
        <v>0.18700848356800001</v>
      </c>
    </row>
    <row r="18" spans="1:8" x14ac:dyDescent="0.2">
      <c r="A18" s="78"/>
      <c r="B18" s="78"/>
      <c r="C18" s="78"/>
      <c r="D18" s="78"/>
      <c r="E18" s="78"/>
      <c r="F18" s="78"/>
      <c r="G18" s="78"/>
      <c r="H18" s="78"/>
    </row>
    <row r="19" spans="1:8" ht="10.5" x14ac:dyDescent="0.2">
      <c r="A19" s="86" t="s">
        <v>198</v>
      </c>
      <c r="B19" s="87">
        <v>23.478000000000002</v>
      </c>
      <c r="C19" s="87">
        <v>33.061999999999998</v>
      </c>
      <c r="D19" s="87">
        <v>49.201999999999998</v>
      </c>
      <c r="E19" s="87">
        <v>50.463000000000001</v>
      </c>
      <c r="F19" s="87">
        <v>165.69800000000001</v>
      </c>
      <c r="G19" s="87">
        <v>201.98099999999999</v>
      </c>
      <c r="H19" s="87" t="s">
        <v>30</v>
      </c>
    </row>
    <row r="20" spans="1:8" x14ac:dyDescent="0.2">
      <c r="A20" s="89" t="s">
        <v>199</v>
      </c>
      <c r="B20" s="90">
        <v>1</v>
      </c>
      <c r="C20" s="90">
        <v>1</v>
      </c>
      <c r="D20" s="90">
        <v>1</v>
      </c>
      <c r="E20" s="90">
        <v>1</v>
      </c>
      <c r="F20" s="90">
        <v>1</v>
      </c>
      <c r="G20" s="90">
        <v>1</v>
      </c>
      <c r="H20" s="92" t="s">
        <v>30</v>
      </c>
    </row>
    <row r="21" spans="1:8" x14ac:dyDescent="0.2">
      <c r="A21" s="78"/>
      <c r="B21" s="78"/>
      <c r="C21" s="78"/>
      <c r="D21" s="78"/>
      <c r="E21" s="78"/>
      <c r="F21" s="78"/>
      <c r="G21" s="78"/>
      <c r="H21" s="78"/>
    </row>
    <row r="22" spans="1:8" ht="10.5" x14ac:dyDescent="0.2">
      <c r="A22" s="86" t="s">
        <v>200</v>
      </c>
      <c r="B22" s="87">
        <v>6.7720000000000002</v>
      </c>
      <c r="C22" s="87">
        <v>14.994999999999999</v>
      </c>
      <c r="D22" s="87">
        <v>26.085999999999999</v>
      </c>
      <c r="E22" s="87">
        <v>17.297000000000001</v>
      </c>
      <c r="F22" s="87">
        <v>5.1829999999999998</v>
      </c>
      <c r="G22" s="87">
        <v>12.24775</v>
      </c>
      <c r="H22" s="88">
        <v>80.117639999999994</v>
      </c>
    </row>
    <row r="23" spans="1:8" x14ac:dyDescent="0.2">
      <c r="A23" s="89" t="s">
        <v>199</v>
      </c>
      <c r="B23" s="90">
        <v>0.28843999999999997</v>
      </c>
      <c r="C23" s="90">
        <v>0.45354100000000003</v>
      </c>
      <c r="D23" s="90">
        <v>0.53018100000000001</v>
      </c>
      <c r="E23" s="90">
        <v>0.34276499999999999</v>
      </c>
      <c r="F23" s="90">
        <v>3.1279000000000001E-2</v>
      </c>
      <c r="G23" s="90">
        <v>6.0637999999999997E-2</v>
      </c>
      <c r="H23" s="91">
        <v>0.32114527337400001</v>
      </c>
    </row>
    <row r="24" spans="1:8" x14ac:dyDescent="0.2">
      <c r="A24" s="78"/>
      <c r="B24" s="78"/>
      <c r="C24" s="78"/>
      <c r="D24" s="78"/>
      <c r="E24" s="78"/>
      <c r="F24" s="78"/>
      <c r="G24" s="78"/>
      <c r="H24" s="78"/>
    </row>
    <row r="25" spans="1:8" ht="10.5" x14ac:dyDescent="0.2">
      <c r="A25" s="86" t="s">
        <v>201</v>
      </c>
      <c r="B25" s="87">
        <v>-1</v>
      </c>
      <c r="C25" s="87">
        <v>5.31</v>
      </c>
      <c r="D25" s="87">
        <v>14.429</v>
      </c>
      <c r="E25" s="87">
        <v>2.6840000000000002</v>
      </c>
      <c r="F25" s="87">
        <v>-6.4</v>
      </c>
      <c r="G25" s="87">
        <v>-9.3000000000000007</v>
      </c>
      <c r="H25" s="88">
        <v>23.160270000000001</v>
      </c>
    </row>
    <row r="26" spans="1:8" x14ac:dyDescent="0.2">
      <c r="A26" s="89" t="s">
        <v>199</v>
      </c>
      <c r="B26" s="90">
        <v>-4.2039E-2</v>
      </c>
      <c r="C26" s="90">
        <v>0.160607</v>
      </c>
      <c r="D26" s="90">
        <v>0.29326000000000002</v>
      </c>
      <c r="E26" s="90">
        <v>5.3186999999999998E-2</v>
      </c>
      <c r="F26" s="90">
        <v>-3.8864999999999997E-2</v>
      </c>
      <c r="G26" s="90">
        <v>-4.6147000000000001E-2</v>
      </c>
      <c r="H26" s="91">
        <v>9.2836124985000004E-2</v>
      </c>
    </row>
    <row r="27" spans="1:8" x14ac:dyDescent="0.2">
      <c r="A27" s="78"/>
      <c r="B27" s="78"/>
      <c r="C27" s="78"/>
      <c r="D27" s="78"/>
      <c r="E27" s="78"/>
      <c r="F27" s="78"/>
      <c r="G27" s="78"/>
      <c r="H27" s="78"/>
    </row>
    <row r="28" spans="1:8" ht="10.5" x14ac:dyDescent="0.2">
      <c r="A28" s="86" t="s">
        <v>202</v>
      </c>
      <c r="B28" s="87">
        <v>-6</v>
      </c>
      <c r="C28" s="87">
        <v>-4</v>
      </c>
      <c r="D28" s="87">
        <v>6.5140000000000002</v>
      </c>
      <c r="E28" s="87">
        <v>4.6520000000000001</v>
      </c>
      <c r="F28" s="87">
        <v>-19</v>
      </c>
      <c r="G28" s="87">
        <v>-19</v>
      </c>
      <c r="H28" s="87" t="s">
        <v>30</v>
      </c>
    </row>
    <row r="29" spans="1:8" x14ac:dyDescent="0.2">
      <c r="A29" s="89" t="s">
        <v>199</v>
      </c>
      <c r="B29" s="90">
        <v>-0.25449300000000002</v>
      </c>
      <c r="C29" s="90">
        <v>-0.120319</v>
      </c>
      <c r="D29" s="90">
        <v>0.13239200000000001</v>
      </c>
      <c r="E29" s="90">
        <v>9.2186000000000004E-2</v>
      </c>
      <c r="F29" s="90">
        <v>-0.114455</v>
      </c>
      <c r="G29" s="90">
        <v>-9.3820000000000001E-2</v>
      </c>
      <c r="H29" s="92" t="s">
        <v>30</v>
      </c>
    </row>
    <row r="30" spans="1:8" x14ac:dyDescent="0.2">
      <c r="A30" s="78"/>
      <c r="B30" s="78"/>
      <c r="C30" s="78"/>
      <c r="D30" s="78"/>
      <c r="E30" s="78"/>
      <c r="F30" s="78"/>
      <c r="G30" s="78"/>
      <c r="H30" s="78"/>
    </row>
    <row r="31" spans="1:8" ht="10.5" x14ac:dyDescent="0.2">
      <c r="A31" s="86" t="s">
        <v>203</v>
      </c>
      <c r="B31" s="87">
        <v>-6</v>
      </c>
      <c r="C31" s="87">
        <v>-4</v>
      </c>
      <c r="D31" s="87">
        <v>6.5140000000000002</v>
      </c>
      <c r="E31" s="87">
        <v>4.6520000000000001</v>
      </c>
      <c r="F31" s="87">
        <v>-19</v>
      </c>
      <c r="G31" s="87">
        <v>-19</v>
      </c>
      <c r="H31" s="88">
        <v>-5.18</v>
      </c>
    </row>
    <row r="32" spans="1:8" x14ac:dyDescent="0.2">
      <c r="A32" s="89" t="s">
        <v>199</v>
      </c>
      <c r="B32" s="90">
        <v>-0.25449300000000002</v>
      </c>
      <c r="C32" s="90">
        <v>-0.120319</v>
      </c>
      <c r="D32" s="90">
        <v>0.13239200000000001</v>
      </c>
      <c r="E32" s="90">
        <v>9.2186000000000004E-2</v>
      </c>
      <c r="F32" s="90">
        <v>-0.114455</v>
      </c>
      <c r="G32" s="90">
        <v>-9.3820000000000001E-2</v>
      </c>
      <c r="H32" s="91">
        <v>-2.0746267076999999E-2</v>
      </c>
    </row>
    <row r="33" spans="1:255" x14ac:dyDescent="0.2">
      <c r="A33" s="78"/>
      <c r="B33" s="78"/>
      <c r="C33" s="78"/>
      <c r="D33" s="78"/>
      <c r="E33" s="78"/>
      <c r="F33" s="78"/>
      <c r="G33" s="78"/>
      <c r="H33" s="78"/>
    </row>
    <row r="34" spans="1:255" ht="10.5" x14ac:dyDescent="0.2">
      <c r="A34" s="86" t="s">
        <v>204</v>
      </c>
      <c r="B34" s="88">
        <v>-0.27</v>
      </c>
      <c r="C34" s="88">
        <v>-0.18</v>
      </c>
      <c r="D34" s="88">
        <v>0.27</v>
      </c>
      <c r="E34" s="88">
        <v>0.16999900000000001</v>
      </c>
      <c r="F34" s="88">
        <v>-0.64</v>
      </c>
      <c r="G34" s="88">
        <v>-0.61</v>
      </c>
      <c r="H34" s="88">
        <v>-7.0000000000000007E-2</v>
      </c>
    </row>
    <row r="35" spans="1:255" x14ac:dyDescent="0.2">
      <c r="A35" s="89" t="s">
        <v>197</v>
      </c>
      <c r="B35" s="90" t="s">
        <v>205</v>
      </c>
      <c r="C35" s="90" t="s">
        <v>205</v>
      </c>
      <c r="D35" s="90" t="s">
        <v>205</v>
      </c>
      <c r="E35" s="90">
        <v>-0.37037500000000001</v>
      </c>
      <c r="F35" s="90" t="s">
        <v>205</v>
      </c>
      <c r="G35" s="90" t="s">
        <v>205</v>
      </c>
      <c r="H35" s="92" t="s">
        <v>30</v>
      </c>
    </row>
    <row r="36" spans="1:255" x14ac:dyDescent="0.2">
      <c r="A36" s="78"/>
      <c r="B36" s="78"/>
      <c r="C36" s="78"/>
      <c r="D36" s="78"/>
      <c r="E36" s="78"/>
      <c r="F36" s="78"/>
      <c r="G36" s="78"/>
      <c r="H36" s="78"/>
    </row>
    <row r="37" spans="1:255" x14ac:dyDescent="0.2">
      <c r="A37" s="78"/>
      <c r="B37" s="78" t="s">
        <v>28</v>
      </c>
      <c r="C37" s="78" t="s">
        <v>28</v>
      </c>
      <c r="D37" s="78" t="s">
        <v>28</v>
      </c>
      <c r="E37" s="78" t="s">
        <v>28</v>
      </c>
      <c r="F37" s="78" t="s">
        <v>28</v>
      </c>
      <c r="G37" s="78" t="s">
        <v>28</v>
      </c>
      <c r="H37" s="78" t="s">
        <v>28</v>
      </c>
    </row>
    <row r="38" spans="1:255" x14ac:dyDescent="0.2">
      <c r="A38" s="78" t="s">
        <v>26</v>
      </c>
      <c r="B38" s="93" t="s">
        <v>27</v>
      </c>
      <c r="C38" s="93" t="s">
        <v>27</v>
      </c>
      <c r="D38" s="93" t="s">
        <v>27</v>
      </c>
      <c r="E38" s="93" t="s">
        <v>27</v>
      </c>
      <c r="F38" s="93" t="s">
        <v>27</v>
      </c>
      <c r="G38" s="93" t="s">
        <v>27</v>
      </c>
      <c r="H38" s="93" t="s">
        <v>27</v>
      </c>
    </row>
    <row r="39" spans="1:255" x14ac:dyDescent="0.2">
      <c r="A39" s="78" t="s">
        <v>206</v>
      </c>
      <c r="B39" s="94">
        <v>1</v>
      </c>
      <c r="C39" s="94">
        <v>1</v>
      </c>
      <c r="D39" s="94">
        <v>1</v>
      </c>
      <c r="E39" s="94">
        <v>1</v>
      </c>
      <c r="F39" s="94">
        <v>1</v>
      </c>
      <c r="G39" s="94">
        <v>1</v>
      </c>
      <c r="H39" s="94">
        <v>1</v>
      </c>
    </row>
    <row r="40" spans="1:255" x14ac:dyDescent="0.2">
      <c r="A40" s="78" t="s">
        <v>207</v>
      </c>
      <c r="B40" s="93" t="s">
        <v>208</v>
      </c>
      <c r="C40" s="93" t="s">
        <v>208</v>
      </c>
      <c r="D40" s="93" t="s">
        <v>208</v>
      </c>
      <c r="E40" s="93" t="s">
        <v>208</v>
      </c>
      <c r="F40" s="93" t="s">
        <v>208</v>
      </c>
      <c r="G40" s="93" t="s">
        <v>208</v>
      </c>
      <c r="H40" s="93" t="s">
        <v>209</v>
      </c>
    </row>
    <row r="41" spans="1:255" x14ac:dyDescent="0.2">
      <c r="A41" s="95"/>
      <c r="B41" s="95"/>
      <c r="C41" s="95"/>
      <c r="D41" s="95"/>
      <c r="E41" s="95"/>
      <c r="F41" s="95"/>
      <c r="G41" s="95"/>
      <c r="H41" s="95"/>
    </row>
    <row r="42" spans="1:255" x14ac:dyDescent="0.2">
      <c r="A42" s="75" t="s">
        <v>210</v>
      </c>
    </row>
    <row r="43" spans="1:255" x14ac:dyDescent="0.2">
      <c r="A43" s="75" t="s">
        <v>211</v>
      </c>
    </row>
    <row r="44" spans="1:255" x14ac:dyDescent="0.2">
      <c r="A44" s="75" t="s">
        <v>212</v>
      </c>
    </row>
    <row r="45" spans="1:255" x14ac:dyDescent="0.2">
      <c r="A45" s="75" t="s">
        <v>213</v>
      </c>
    </row>
    <row r="46" spans="1:255" x14ac:dyDescent="0.2">
      <c r="A46" s="75" t="s">
        <v>214</v>
      </c>
    </row>
    <row r="48" spans="1:255" x14ac:dyDescent="0.2">
      <c r="A48" s="80" t="s">
        <v>215</v>
      </c>
      <c r="B48" s="80"/>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c r="BO48" s="81"/>
      <c r="BP48" s="81"/>
      <c r="BQ48" s="81"/>
      <c r="BR48" s="81"/>
      <c r="BS48" s="81"/>
      <c r="BT48" s="81"/>
      <c r="BU48" s="81"/>
      <c r="BV48" s="81"/>
      <c r="BW48" s="81"/>
      <c r="BX48" s="81"/>
      <c r="BY48" s="81"/>
      <c r="BZ48" s="81"/>
      <c r="CA48" s="81"/>
      <c r="CB48" s="81"/>
      <c r="CC48" s="81"/>
      <c r="CD48" s="81"/>
      <c r="CE48" s="81"/>
      <c r="CF48" s="81"/>
      <c r="CG48" s="81"/>
      <c r="CH48" s="81"/>
      <c r="CI48" s="81"/>
      <c r="CJ48" s="81"/>
      <c r="CK48" s="81"/>
      <c r="CL48" s="81"/>
      <c r="CM48" s="81"/>
      <c r="CN48" s="81"/>
      <c r="CO48" s="81"/>
      <c r="CP48" s="81"/>
      <c r="CQ48" s="81"/>
      <c r="CR48" s="81"/>
      <c r="CS48" s="81"/>
      <c r="CT48" s="81"/>
      <c r="CU48" s="81"/>
      <c r="CV48" s="81"/>
      <c r="CW48" s="81"/>
      <c r="CX48" s="81"/>
      <c r="CY48" s="81"/>
      <c r="CZ48" s="81"/>
      <c r="DA48" s="81"/>
      <c r="DB48" s="81"/>
      <c r="DC48" s="81"/>
      <c r="DD48" s="81"/>
      <c r="DE48" s="81"/>
      <c r="DF48" s="81"/>
      <c r="DG48" s="81"/>
      <c r="DH48" s="81"/>
      <c r="DI48" s="81"/>
      <c r="DJ48" s="81"/>
      <c r="DK48" s="81"/>
      <c r="DL48" s="81"/>
      <c r="DM48" s="81"/>
      <c r="DN48" s="81"/>
      <c r="DO48" s="81"/>
      <c r="DP48" s="81"/>
      <c r="DQ48" s="81"/>
      <c r="DR48" s="81"/>
      <c r="DS48" s="81"/>
      <c r="DT48" s="81"/>
      <c r="DU48" s="81"/>
      <c r="DV48" s="81"/>
      <c r="DW48" s="81"/>
      <c r="DX48" s="81"/>
      <c r="DY48" s="81"/>
      <c r="DZ48" s="81"/>
      <c r="EA48" s="81"/>
      <c r="EB48" s="81"/>
      <c r="EC48" s="81"/>
      <c r="ED48" s="81"/>
      <c r="EE48" s="81"/>
      <c r="EF48" s="81"/>
      <c r="EG48" s="81"/>
      <c r="EH48" s="81"/>
      <c r="EI48" s="81"/>
      <c r="EJ48" s="81"/>
      <c r="EK48" s="81"/>
      <c r="EL48" s="81"/>
      <c r="EM48" s="81"/>
      <c r="EN48" s="81"/>
      <c r="EO48" s="81"/>
      <c r="EP48" s="81"/>
      <c r="EQ48" s="81"/>
      <c r="ER48" s="81"/>
      <c r="ES48" s="81"/>
      <c r="ET48" s="81"/>
      <c r="EU48" s="81"/>
      <c r="EV48" s="81"/>
      <c r="EW48" s="81"/>
      <c r="EX48" s="81"/>
      <c r="EY48" s="81"/>
      <c r="EZ48" s="81"/>
      <c r="FA48" s="81"/>
      <c r="FB48" s="81"/>
      <c r="FC48" s="81"/>
      <c r="FD48" s="81"/>
      <c r="FE48" s="81"/>
      <c r="FF48" s="81"/>
      <c r="FG48" s="81"/>
      <c r="FH48" s="81"/>
      <c r="FI48" s="81"/>
      <c r="FJ48" s="81"/>
      <c r="FK48" s="81"/>
      <c r="FL48" s="81"/>
      <c r="FM48" s="81"/>
      <c r="FN48" s="81"/>
      <c r="FO48" s="81"/>
      <c r="FP48" s="81"/>
      <c r="FQ48" s="81"/>
      <c r="FR48" s="81"/>
      <c r="FS48" s="81"/>
      <c r="FT48" s="81"/>
      <c r="FU48" s="81"/>
      <c r="FV48" s="81"/>
      <c r="FW48" s="81"/>
      <c r="FX48" s="81"/>
      <c r="FY48" s="81"/>
      <c r="FZ48" s="81"/>
      <c r="GA48" s="81"/>
      <c r="GB48" s="81"/>
      <c r="GC48" s="81"/>
      <c r="GD48" s="81"/>
      <c r="GE48" s="81"/>
      <c r="GF48" s="81"/>
      <c r="GG48" s="81"/>
      <c r="GH48" s="81"/>
      <c r="GI48" s="81"/>
      <c r="GJ48" s="81"/>
      <c r="GK48" s="81"/>
      <c r="GL48" s="81"/>
      <c r="GM48" s="81"/>
      <c r="GN48" s="81"/>
      <c r="GO48" s="81"/>
      <c r="GP48" s="81"/>
      <c r="GQ48" s="81"/>
      <c r="GR48" s="81"/>
      <c r="GS48" s="81"/>
      <c r="GT48" s="81"/>
      <c r="GU48" s="81"/>
      <c r="GV48" s="81"/>
      <c r="GW48" s="81"/>
      <c r="GX48" s="81"/>
      <c r="GY48" s="81"/>
      <c r="GZ48" s="81"/>
      <c r="HA48" s="81"/>
      <c r="HB48" s="81"/>
      <c r="HC48" s="81"/>
      <c r="HD48" s="81"/>
      <c r="HE48" s="81"/>
      <c r="HF48" s="81"/>
      <c r="HG48" s="81"/>
      <c r="HH48" s="81"/>
      <c r="HI48" s="81"/>
      <c r="HJ48" s="81"/>
      <c r="HK48" s="81"/>
      <c r="HL48" s="81"/>
      <c r="HM48" s="81"/>
      <c r="HN48" s="81"/>
      <c r="HO48" s="81"/>
      <c r="HP48" s="81"/>
      <c r="HQ48" s="81"/>
      <c r="HR48" s="81"/>
      <c r="HS48" s="81"/>
      <c r="HT48" s="81"/>
      <c r="HU48" s="81"/>
      <c r="HV48" s="81"/>
      <c r="HW48" s="81"/>
      <c r="HX48" s="81"/>
      <c r="HY48" s="81"/>
      <c r="HZ48" s="81"/>
      <c r="IA48" s="81"/>
      <c r="IB48" s="81"/>
      <c r="IC48" s="81"/>
      <c r="ID48" s="81"/>
      <c r="IE48" s="81"/>
      <c r="IF48" s="81"/>
      <c r="IG48" s="81"/>
      <c r="IH48" s="81"/>
      <c r="II48" s="81"/>
      <c r="IJ48" s="81"/>
      <c r="IK48" s="81"/>
      <c r="IL48" s="81"/>
      <c r="IM48" s="81"/>
      <c r="IN48" s="81"/>
      <c r="IO48" s="81"/>
      <c r="IP48" s="81"/>
      <c r="IQ48" s="81"/>
      <c r="IR48" s="81"/>
      <c r="IS48" s="81"/>
      <c r="IT48" s="81"/>
      <c r="IU48" s="81"/>
    </row>
    <row r="49" spans="1:2" x14ac:dyDescent="0.2">
      <c r="A49" s="84" t="s">
        <v>26</v>
      </c>
      <c r="B49" s="85" t="s">
        <v>27</v>
      </c>
    </row>
    <row r="50" spans="1:2" x14ac:dyDescent="0.2">
      <c r="A50" s="78" t="s">
        <v>216</v>
      </c>
      <c r="B50" s="96">
        <v>27.56</v>
      </c>
    </row>
    <row r="51" spans="1:2" x14ac:dyDescent="0.2">
      <c r="A51" s="78" t="s">
        <v>217</v>
      </c>
      <c r="B51" s="94">
        <v>33.561064000000002</v>
      </c>
    </row>
    <row r="52" spans="1:2" x14ac:dyDescent="0.2">
      <c r="A52" s="78"/>
      <c r="B52" s="78"/>
    </row>
    <row r="53" spans="1:2" ht="10.5" x14ac:dyDescent="0.2">
      <c r="A53" s="86" t="s">
        <v>218</v>
      </c>
      <c r="B53" s="87">
        <v>924.94292299999995</v>
      </c>
    </row>
    <row r="54" spans="1:2" x14ac:dyDescent="0.2">
      <c r="A54" s="78" t="s">
        <v>219</v>
      </c>
      <c r="B54" s="94">
        <v>44.366999999999997</v>
      </c>
    </row>
    <row r="55" spans="1:2" x14ac:dyDescent="0.2">
      <c r="A55" s="78" t="s">
        <v>220</v>
      </c>
      <c r="B55" s="94">
        <v>221.91800000000001</v>
      </c>
    </row>
    <row r="56" spans="1:2" x14ac:dyDescent="0.2">
      <c r="A56" s="78" t="s">
        <v>221</v>
      </c>
      <c r="B56" s="94" t="s">
        <v>30</v>
      </c>
    </row>
    <row r="57" spans="1:2" x14ac:dyDescent="0.2">
      <c r="A57" s="78" t="s">
        <v>222</v>
      </c>
      <c r="B57" s="94" t="s">
        <v>30</v>
      </c>
    </row>
    <row r="58" spans="1:2" x14ac:dyDescent="0.2">
      <c r="A58" s="78" t="s">
        <v>223</v>
      </c>
      <c r="B58" s="94" t="s">
        <v>30</v>
      </c>
    </row>
    <row r="59" spans="1:2" ht="10.5" x14ac:dyDescent="0.2">
      <c r="A59" s="86" t="s">
        <v>224</v>
      </c>
      <c r="B59" s="87">
        <v>1102.493923</v>
      </c>
    </row>
    <row r="60" spans="1:2" x14ac:dyDescent="0.2">
      <c r="A60" s="78"/>
      <c r="B60" s="78"/>
    </row>
    <row r="61" spans="1:2" x14ac:dyDescent="0.2">
      <c r="A61" s="78" t="s">
        <v>225</v>
      </c>
      <c r="B61" s="94">
        <v>148.54</v>
      </c>
    </row>
    <row r="62" spans="1:2" x14ac:dyDescent="0.2">
      <c r="A62" s="78" t="s">
        <v>221</v>
      </c>
      <c r="B62" s="94" t="s">
        <v>30</v>
      </c>
    </row>
    <row r="63" spans="1:2" x14ac:dyDescent="0.2">
      <c r="A63" s="78" t="s">
        <v>222</v>
      </c>
      <c r="B63" s="94" t="s">
        <v>30</v>
      </c>
    </row>
    <row r="64" spans="1:2" x14ac:dyDescent="0.2">
      <c r="A64" s="78" t="s">
        <v>220</v>
      </c>
      <c r="B64" s="94">
        <v>221.91800000000001</v>
      </c>
    </row>
    <row r="65" spans="1:255" ht="10.5" x14ac:dyDescent="0.2">
      <c r="A65" s="86" t="s">
        <v>226</v>
      </c>
      <c r="B65" s="87">
        <v>370.45800000000003</v>
      </c>
    </row>
    <row r="66" spans="1:255" x14ac:dyDescent="0.2">
      <c r="A66" s="78"/>
      <c r="B66" s="78"/>
    </row>
    <row r="67" spans="1:255" ht="60" x14ac:dyDescent="0.2">
      <c r="A67" s="95" t="s">
        <v>227</v>
      </c>
      <c r="B67" s="95"/>
    </row>
    <row r="69" spans="1:255" ht="200" customHeight="1" x14ac:dyDescent="0.2">
      <c r="A69" s="97"/>
    </row>
    <row r="71" spans="1:255" x14ac:dyDescent="0.2">
      <c r="A71" s="75" t="s">
        <v>228</v>
      </c>
    </row>
    <row r="72" spans="1:255" x14ac:dyDescent="0.2">
      <c r="A72" s="75" t="s">
        <v>229</v>
      </c>
    </row>
    <row r="73" spans="1:255" x14ac:dyDescent="0.2">
      <c r="A73" s="75" t="s">
        <v>230</v>
      </c>
    </row>
    <row r="74" spans="1:255" x14ac:dyDescent="0.2">
      <c r="A74" s="75" t="s">
        <v>231</v>
      </c>
    </row>
    <row r="76" spans="1:255" x14ac:dyDescent="0.2">
      <c r="A76" s="80" t="s">
        <v>232</v>
      </c>
      <c r="B76" s="80"/>
      <c r="C76" s="80"/>
      <c r="D76" s="80"/>
      <c r="E76" s="80"/>
      <c r="F76" s="80"/>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c r="BN76" s="81"/>
      <c r="BO76" s="81"/>
      <c r="BP76" s="81"/>
      <c r="BQ76" s="81"/>
      <c r="BR76" s="81"/>
      <c r="BS76" s="81"/>
      <c r="BT76" s="81"/>
      <c r="BU76" s="81"/>
      <c r="BV76" s="81"/>
      <c r="BW76" s="81"/>
      <c r="BX76" s="81"/>
      <c r="BY76" s="81"/>
      <c r="BZ76" s="81"/>
      <c r="CA76" s="81"/>
      <c r="CB76" s="81"/>
      <c r="CC76" s="81"/>
      <c r="CD76" s="81"/>
      <c r="CE76" s="81"/>
      <c r="CF76" s="81"/>
      <c r="CG76" s="81"/>
      <c r="CH76" s="81"/>
      <c r="CI76" s="81"/>
      <c r="CJ76" s="81"/>
      <c r="CK76" s="81"/>
      <c r="CL76" s="81"/>
      <c r="CM76" s="81"/>
      <c r="CN76" s="81"/>
      <c r="CO76" s="81"/>
      <c r="CP76" s="81"/>
      <c r="CQ76" s="81"/>
      <c r="CR76" s="81"/>
      <c r="CS76" s="81"/>
      <c r="CT76" s="81"/>
      <c r="CU76" s="81"/>
      <c r="CV76" s="81"/>
      <c r="CW76" s="81"/>
      <c r="CX76" s="81"/>
      <c r="CY76" s="81"/>
      <c r="CZ76" s="81"/>
      <c r="DA76" s="81"/>
      <c r="DB76" s="81"/>
      <c r="DC76" s="81"/>
      <c r="DD76" s="81"/>
      <c r="DE76" s="81"/>
      <c r="DF76" s="81"/>
      <c r="DG76" s="81"/>
      <c r="DH76" s="81"/>
      <c r="DI76" s="81"/>
      <c r="DJ76" s="81"/>
      <c r="DK76" s="81"/>
      <c r="DL76" s="81"/>
      <c r="DM76" s="81"/>
      <c r="DN76" s="81"/>
      <c r="DO76" s="81"/>
      <c r="DP76" s="81"/>
      <c r="DQ76" s="81"/>
      <c r="DR76" s="81"/>
      <c r="DS76" s="81"/>
      <c r="DT76" s="81"/>
      <c r="DU76" s="81"/>
      <c r="DV76" s="81"/>
      <c r="DW76" s="81"/>
      <c r="DX76" s="81"/>
      <c r="DY76" s="81"/>
      <c r="DZ76" s="81"/>
      <c r="EA76" s="81"/>
      <c r="EB76" s="81"/>
      <c r="EC76" s="81"/>
      <c r="ED76" s="81"/>
      <c r="EE76" s="81"/>
      <c r="EF76" s="81"/>
      <c r="EG76" s="81"/>
      <c r="EH76" s="81"/>
      <c r="EI76" s="81"/>
      <c r="EJ76" s="81"/>
      <c r="EK76" s="81"/>
      <c r="EL76" s="81"/>
      <c r="EM76" s="81"/>
      <c r="EN76" s="81"/>
      <c r="EO76" s="81"/>
      <c r="EP76" s="81"/>
      <c r="EQ76" s="81"/>
      <c r="ER76" s="81"/>
      <c r="ES76" s="81"/>
      <c r="ET76" s="81"/>
      <c r="EU76" s="81"/>
      <c r="EV76" s="81"/>
      <c r="EW76" s="81"/>
      <c r="EX76" s="81"/>
      <c r="EY76" s="81"/>
      <c r="EZ76" s="81"/>
      <c r="FA76" s="81"/>
      <c r="FB76" s="81"/>
      <c r="FC76" s="81"/>
      <c r="FD76" s="81"/>
      <c r="FE76" s="81"/>
      <c r="FF76" s="81"/>
      <c r="FG76" s="81"/>
      <c r="FH76" s="81"/>
      <c r="FI76" s="81"/>
      <c r="FJ76" s="81"/>
      <c r="FK76" s="81"/>
      <c r="FL76" s="81"/>
      <c r="FM76" s="81"/>
      <c r="FN76" s="81"/>
      <c r="FO76" s="81"/>
      <c r="FP76" s="81"/>
      <c r="FQ76" s="81"/>
      <c r="FR76" s="81"/>
      <c r="FS76" s="81"/>
      <c r="FT76" s="81"/>
      <c r="FU76" s="81"/>
      <c r="FV76" s="81"/>
      <c r="FW76" s="81"/>
      <c r="FX76" s="81"/>
      <c r="FY76" s="81"/>
      <c r="FZ76" s="81"/>
      <c r="GA76" s="81"/>
      <c r="GB76" s="81"/>
      <c r="GC76" s="81"/>
      <c r="GD76" s="81"/>
      <c r="GE76" s="81"/>
      <c r="GF76" s="81"/>
      <c r="GG76" s="81"/>
      <c r="GH76" s="81"/>
      <c r="GI76" s="81"/>
      <c r="GJ76" s="81"/>
      <c r="GK76" s="81"/>
      <c r="GL76" s="81"/>
      <c r="GM76" s="81"/>
      <c r="GN76" s="81"/>
      <c r="GO76" s="81"/>
      <c r="GP76" s="81"/>
      <c r="GQ76" s="81"/>
      <c r="GR76" s="81"/>
      <c r="GS76" s="81"/>
      <c r="GT76" s="81"/>
      <c r="GU76" s="81"/>
      <c r="GV76" s="81"/>
      <c r="GW76" s="81"/>
      <c r="GX76" s="81"/>
      <c r="GY76" s="81"/>
      <c r="GZ76" s="81"/>
      <c r="HA76" s="81"/>
      <c r="HB76" s="81"/>
      <c r="HC76" s="81"/>
      <c r="HD76" s="81"/>
      <c r="HE76" s="81"/>
      <c r="HF76" s="81"/>
      <c r="HG76" s="81"/>
      <c r="HH76" s="81"/>
      <c r="HI76" s="81"/>
      <c r="HJ76" s="81"/>
      <c r="HK76" s="81"/>
      <c r="HL76" s="81"/>
      <c r="HM76" s="81"/>
      <c r="HN76" s="81"/>
      <c r="HO76" s="81"/>
      <c r="HP76" s="81"/>
      <c r="HQ76" s="81"/>
      <c r="HR76" s="81"/>
      <c r="HS76" s="81"/>
      <c r="HT76" s="81"/>
      <c r="HU76" s="81"/>
      <c r="HV76" s="81"/>
      <c r="HW76" s="81"/>
      <c r="HX76" s="81"/>
      <c r="HY76" s="81"/>
      <c r="HZ76" s="81"/>
      <c r="IA76" s="81"/>
      <c r="IB76" s="81"/>
      <c r="IC76" s="81"/>
      <c r="ID76" s="81"/>
      <c r="IE76" s="81"/>
      <c r="IF76" s="81"/>
      <c r="IG76" s="81"/>
      <c r="IH76" s="81"/>
      <c r="II76" s="81"/>
      <c r="IJ76" s="81"/>
      <c r="IK76" s="81"/>
      <c r="IL76" s="81"/>
      <c r="IM76" s="81"/>
      <c r="IN76" s="81"/>
      <c r="IO76" s="81"/>
      <c r="IP76" s="81"/>
      <c r="IQ76" s="81"/>
      <c r="IR76" s="81"/>
      <c r="IS76" s="81"/>
      <c r="IT76" s="81"/>
      <c r="IU76" s="81"/>
    </row>
    <row r="77" spans="1:255" ht="42" x14ac:dyDescent="0.25">
      <c r="A77" s="82" t="s">
        <v>0</v>
      </c>
      <c r="B77" s="83" t="s">
        <v>193</v>
      </c>
      <c r="C77" s="83" t="s">
        <v>233</v>
      </c>
      <c r="D77" s="83" t="s">
        <v>234</v>
      </c>
      <c r="E77" s="83" t="s">
        <v>235</v>
      </c>
      <c r="F77" s="83" t="s">
        <v>236</v>
      </c>
    </row>
    <row r="78" spans="1:255" ht="10.5" x14ac:dyDescent="0.2">
      <c r="A78" s="86" t="s">
        <v>237</v>
      </c>
      <c r="B78" s="98">
        <v>6.6447620000000001</v>
      </c>
      <c r="C78" s="98">
        <v>5.4584039999999998</v>
      </c>
      <c r="D78" s="99">
        <v>4.4192603846580001</v>
      </c>
      <c r="E78" s="99">
        <v>4.0979782520860004</v>
      </c>
      <c r="F78" s="99">
        <v>3.7758322248590002</v>
      </c>
    </row>
    <row r="79" spans="1:255" x14ac:dyDescent="0.2">
      <c r="A79" s="78"/>
      <c r="B79" s="78"/>
      <c r="C79" s="78"/>
      <c r="D79" s="78"/>
      <c r="E79" s="78"/>
      <c r="F79" s="78"/>
    </row>
    <row r="80" spans="1:255" ht="10.5" x14ac:dyDescent="0.2">
      <c r="A80" s="86" t="s">
        <v>238</v>
      </c>
      <c r="B80" s="98">
        <v>38.983956999999997</v>
      </c>
      <c r="C80" s="98">
        <v>27.694067</v>
      </c>
      <c r="D80" s="99">
        <v>13.760938587807001</v>
      </c>
      <c r="E80" s="99">
        <v>12.400661145482999</v>
      </c>
      <c r="F80" s="99">
        <v>11.527178401346999</v>
      </c>
    </row>
    <row r="81" spans="1:6" x14ac:dyDescent="0.2">
      <c r="A81" s="78"/>
      <c r="B81" s="78"/>
      <c r="C81" s="78"/>
      <c r="D81" s="78"/>
      <c r="E81" s="78"/>
      <c r="F81" s="78"/>
    </row>
    <row r="82" spans="1:6" ht="10.5" x14ac:dyDescent="0.2">
      <c r="A82" s="86" t="s">
        <v>239</v>
      </c>
      <c r="B82" s="98">
        <v>70.263172999999995</v>
      </c>
      <c r="C82" s="98">
        <v>63.761142</v>
      </c>
      <c r="D82" s="99">
        <v>47.602809632185</v>
      </c>
      <c r="E82" s="99">
        <v>36.423864579784997</v>
      </c>
      <c r="F82" s="99">
        <v>31.638130221827002</v>
      </c>
    </row>
    <row r="83" spans="1:6" x14ac:dyDescent="0.2">
      <c r="A83" s="78"/>
      <c r="B83" s="78"/>
      <c r="C83" s="78"/>
      <c r="D83" s="78"/>
      <c r="E83" s="78"/>
      <c r="F83" s="78"/>
    </row>
    <row r="84" spans="1:6" ht="10.5" x14ac:dyDescent="0.2">
      <c r="A84" s="86" t="s">
        <v>240</v>
      </c>
      <c r="B84" s="93" t="s">
        <v>205</v>
      </c>
      <c r="C84" s="93" t="s">
        <v>205</v>
      </c>
      <c r="D84" s="93" t="s">
        <v>30</v>
      </c>
      <c r="E84" s="93" t="s">
        <v>30</v>
      </c>
      <c r="F84" s="93" t="s">
        <v>30</v>
      </c>
    </row>
    <row r="85" spans="1:6" x14ac:dyDescent="0.2">
      <c r="A85" s="78"/>
      <c r="B85" s="78"/>
      <c r="C85" s="78"/>
      <c r="D85" s="78"/>
      <c r="E85" s="78"/>
      <c r="F85" s="78"/>
    </row>
    <row r="86" spans="1:6" ht="10.5" x14ac:dyDescent="0.2">
      <c r="A86" s="86" t="s">
        <v>241</v>
      </c>
      <c r="B86" s="98">
        <v>6.3491299999999997</v>
      </c>
      <c r="C86" s="98">
        <v>6.2194969999999996</v>
      </c>
      <c r="D86" s="99">
        <v>4.7797433229279997</v>
      </c>
      <c r="E86" s="99">
        <v>3.561183615454</v>
      </c>
      <c r="F86" s="99">
        <v>2.7824331145889998</v>
      </c>
    </row>
    <row r="87" spans="1:6" x14ac:dyDescent="0.2">
      <c r="A87" s="78"/>
      <c r="B87" s="78"/>
      <c r="C87" s="78"/>
      <c r="D87" s="78"/>
      <c r="E87" s="78"/>
      <c r="F87" s="78"/>
    </row>
    <row r="88" spans="1:6" ht="10.5" x14ac:dyDescent="0.2">
      <c r="A88" s="86" t="s">
        <v>242</v>
      </c>
      <c r="B88" s="93" t="s">
        <v>205</v>
      </c>
      <c r="C88" s="93" t="s">
        <v>205</v>
      </c>
      <c r="D88" s="93" t="s">
        <v>30</v>
      </c>
      <c r="E88" s="93" t="s">
        <v>30</v>
      </c>
      <c r="F88" s="93" t="s">
        <v>30</v>
      </c>
    </row>
    <row r="89" spans="1:6" x14ac:dyDescent="0.2">
      <c r="A89" s="78"/>
      <c r="B89" s="78"/>
      <c r="C89" s="78"/>
      <c r="D89" s="78"/>
      <c r="E89" s="78"/>
      <c r="F89" s="78"/>
    </row>
    <row r="90" spans="1:6" x14ac:dyDescent="0.2">
      <c r="A90" s="95"/>
      <c r="B90" s="95"/>
      <c r="C90" s="95"/>
      <c r="D90" s="95"/>
      <c r="E90" s="95"/>
      <c r="F90" s="95"/>
    </row>
    <row r="91" spans="1:6" x14ac:dyDescent="0.2">
      <c r="A91" s="100" t="s">
        <v>243</v>
      </c>
    </row>
  </sheetData>
  <pageMargins left="0.2" right="0.2" top="0.5" bottom="0.5" header="0.5" footer="0.5"/>
  <pageSetup fitToWidth="0" fitToHeight="0" orientation="landscape" horizontalDpi="0" verticalDpi="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E884-23DD-4DE4-9D3E-CDC904046DA9}">
  <sheetPr>
    <tabColor theme="5" tint="0.59999389629810485"/>
  </sheetPr>
  <dimension ref="A1:AC93"/>
  <sheetViews>
    <sheetView showGridLines="0" zoomScale="65" workbookViewId="0">
      <selection activeCell="C92" sqref="C92"/>
    </sheetView>
  </sheetViews>
  <sheetFormatPr defaultRowHeight="14.5" x14ac:dyDescent="0.35"/>
  <cols>
    <col min="2" max="2" width="20.6328125" bestFit="1" customWidth="1"/>
    <col min="3" max="3" width="24.453125" bestFit="1" customWidth="1"/>
    <col min="4" max="4" width="15.1796875" bestFit="1" customWidth="1"/>
    <col min="5" max="5" width="18.453125" bestFit="1" customWidth="1"/>
    <col min="6" max="6" width="14.81640625" bestFit="1" customWidth="1"/>
    <col min="7" max="7" width="12.90625" bestFit="1" customWidth="1"/>
    <col min="8" max="9" width="18.54296875" bestFit="1" customWidth="1"/>
    <col min="10" max="10" width="17" bestFit="1" customWidth="1"/>
  </cols>
  <sheetData>
    <row r="1" spans="1:24" s="35" customFormat="1" ht="10.5" customHeight="1" x14ac:dyDescent="0.2">
      <c r="A1" s="279" t="s">
        <v>136</v>
      </c>
      <c r="B1" s="279"/>
      <c r="C1" s="279"/>
      <c r="D1" s="279"/>
      <c r="E1" s="279"/>
      <c r="F1" s="279"/>
      <c r="G1" s="279"/>
      <c r="H1" s="279"/>
      <c r="I1" s="279"/>
      <c r="J1" s="279"/>
      <c r="K1" s="279"/>
      <c r="L1" s="279"/>
      <c r="M1" s="279"/>
      <c r="N1" s="279"/>
      <c r="O1" s="279"/>
      <c r="P1" s="279"/>
      <c r="Q1" s="279"/>
      <c r="R1" s="279"/>
      <c r="S1" s="279"/>
      <c r="T1" s="279"/>
      <c r="U1" s="279"/>
      <c r="V1" s="279"/>
      <c r="W1" s="279"/>
      <c r="X1" s="279"/>
    </row>
    <row r="2" spans="1:24" s="35" customFormat="1" ht="10.5" customHeight="1" x14ac:dyDescent="0.2">
      <c r="A2" s="279"/>
      <c r="B2" s="279"/>
      <c r="C2" s="279"/>
      <c r="D2" s="279"/>
      <c r="E2" s="279"/>
      <c r="F2" s="279"/>
      <c r="G2" s="279"/>
      <c r="H2" s="279"/>
      <c r="I2" s="279"/>
      <c r="J2" s="279"/>
      <c r="K2" s="279"/>
      <c r="L2" s="279"/>
      <c r="M2" s="279"/>
      <c r="N2" s="279"/>
      <c r="O2" s="279"/>
      <c r="P2" s="279"/>
      <c r="Q2" s="279"/>
      <c r="R2" s="279"/>
      <c r="S2" s="279"/>
      <c r="T2" s="279"/>
      <c r="U2" s="279"/>
      <c r="V2" s="279"/>
      <c r="W2" s="279"/>
      <c r="X2" s="279"/>
    </row>
    <row r="3" spans="1:24" s="35" customFormat="1" ht="10.5" x14ac:dyDescent="0.2">
      <c r="B3" s="36" t="s">
        <v>137</v>
      </c>
      <c r="C3" s="37" t="s">
        <v>74</v>
      </c>
      <c r="D3" s="8" t="s">
        <v>31</v>
      </c>
      <c r="E3" s="8" t="s">
        <v>138</v>
      </c>
      <c r="F3" s="8" t="s">
        <v>139</v>
      </c>
    </row>
    <row r="4" spans="1:24" s="35" customFormat="1" ht="10.5" x14ac:dyDescent="0.2">
      <c r="B4" s="36">
        <v>2018</v>
      </c>
      <c r="C4" s="38">
        <v>3.234</v>
      </c>
      <c r="D4" s="33">
        <v>23.478000000000002</v>
      </c>
      <c r="E4" s="33">
        <f t="shared" ref="E4:E8" si="0">C4/D4</f>
        <v>0.13774597495527727</v>
      </c>
      <c r="F4" s="39">
        <f>AVERAGE($E$4:$E$9)</f>
        <v>0.6184932945191346</v>
      </c>
    </row>
    <row r="5" spans="1:24" s="35" customFormat="1" ht="10.5" x14ac:dyDescent="0.2">
      <c r="B5" s="36">
        <v>2019</v>
      </c>
      <c r="C5" s="38">
        <v>6.016</v>
      </c>
      <c r="D5" s="33">
        <v>33.061999999999998</v>
      </c>
      <c r="E5" s="33">
        <f t="shared" si="0"/>
        <v>0.18196116387393382</v>
      </c>
      <c r="F5" s="39">
        <f>AVERAGE($E$4:$E$9)</f>
        <v>0.6184932945191346</v>
      </c>
    </row>
    <row r="6" spans="1:24" s="35" customFormat="1" ht="10.5" x14ac:dyDescent="0.2">
      <c r="B6" s="36">
        <v>2020</v>
      </c>
      <c r="C6" s="38">
        <v>59.767000000000003</v>
      </c>
      <c r="D6" s="33">
        <v>49.201999999999998</v>
      </c>
      <c r="E6" s="33">
        <f t="shared" si="0"/>
        <v>1.2147270436161133</v>
      </c>
      <c r="F6" s="39">
        <f>AVERAGE($E$4:$E$8)</f>
        <v>0.6184932945191346</v>
      </c>
    </row>
    <row r="7" spans="1:24" s="35" customFormat="1" ht="10.5" x14ac:dyDescent="0.2">
      <c r="B7" s="36">
        <v>2021</v>
      </c>
      <c r="C7" s="38">
        <v>66.081999999999994</v>
      </c>
      <c r="D7" s="33">
        <v>50.463000000000001</v>
      </c>
      <c r="E7" s="33">
        <f t="shared" si="0"/>
        <v>1.3095139012742008</v>
      </c>
      <c r="F7" s="39">
        <f>AVERAGE($E$4:$E$8)</f>
        <v>0.6184932945191346</v>
      </c>
    </row>
    <row r="8" spans="1:24" s="35" customFormat="1" ht="10.5" x14ac:dyDescent="0.2">
      <c r="B8" s="36">
        <v>2022</v>
      </c>
      <c r="C8" s="38">
        <v>41.179000000000002</v>
      </c>
      <c r="D8" s="33">
        <v>165.69800000000001</v>
      </c>
      <c r="E8" s="33">
        <f t="shared" si="0"/>
        <v>0.24851838887614816</v>
      </c>
      <c r="F8" s="39">
        <f>AVERAGE($E$4:$E$9)</f>
        <v>0.6184932945191346</v>
      </c>
    </row>
    <row r="9" spans="1:24" s="35" customFormat="1" ht="10.5" x14ac:dyDescent="0.25">
      <c r="B9" s="40"/>
    </row>
    <row r="10" spans="1:24" s="35" customFormat="1" ht="10.5" x14ac:dyDescent="0.25">
      <c r="B10" s="40"/>
    </row>
    <row r="11" spans="1:24" s="35" customFormat="1" ht="10.5" x14ac:dyDescent="0.25">
      <c r="B11" s="40"/>
    </row>
    <row r="12" spans="1:24" s="35" customFormat="1" ht="10.5" x14ac:dyDescent="0.25">
      <c r="B12" s="40"/>
    </row>
    <row r="13" spans="1:24" s="35" customFormat="1" ht="10.5" x14ac:dyDescent="0.25">
      <c r="B13" s="40"/>
    </row>
    <row r="14" spans="1:24" s="35" customFormat="1" ht="10.5" x14ac:dyDescent="0.25">
      <c r="B14" s="40"/>
    </row>
    <row r="15" spans="1:24" s="35" customFormat="1" ht="10.5" x14ac:dyDescent="0.25">
      <c r="B15" s="40"/>
    </row>
    <row r="16" spans="1:24" s="35" customFormat="1" ht="10.5" x14ac:dyDescent="0.25">
      <c r="B16" s="40"/>
    </row>
    <row r="17" spans="1:24" s="35" customFormat="1" ht="10.5" x14ac:dyDescent="0.25">
      <c r="B17" s="40"/>
    </row>
    <row r="18" spans="1:24" s="35" customFormat="1" ht="15.5" customHeight="1" x14ac:dyDescent="0.2">
      <c r="A18" s="279" t="s">
        <v>140</v>
      </c>
      <c r="B18" s="279"/>
      <c r="C18" s="279"/>
      <c r="D18" s="279"/>
      <c r="E18" s="279"/>
      <c r="F18" s="279"/>
      <c r="G18" s="279"/>
      <c r="H18" s="279"/>
      <c r="I18" s="279"/>
      <c r="J18" s="279"/>
      <c r="K18" s="279"/>
      <c r="L18" s="279"/>
      <c r="M18" s="279"/>
      <c r="N18" s="279"/>
      <c r="O18" s="279"/>
      <c r="P18" s="279"/>
      <c r="Q18" s="279"/>
      <c r="R18" s="279"/>
      <c r="S18" s="279"/>
      <c r="T18" s="279"/>
      <c r="U18" s="279"/>
      <c r="V18" s="279"/>
      <c r="W18" s="279"/>
      <c r="X18" s="279"/>
    </row>
    <row r="19" spans="1:24" s="35" customFormat="1" ht="15.5" customHeight="1" x14ac:dyDescent="0.2">
      <c r="A19" s="279"/>
      <c r="B19" s="279"/>
      <c r="C19" s="279"/>
      <c r="D19" s="279"/>
      <c r="E19" s="279"/>
      <c r="F19" s="279"/>
      <c r="G19" s="279"/>
      <c r="H19" s="279"/>
      <c r="I19" s="279"/>
      <c r="J19" s="279"/>
      <c r="K19" s="279"/>
      <c r="L19" s="279"/>
      <c r="M19" s="279"/>
      <c r="N19" s="279"/>
      <c r="O19" s="279"/>
      <c r="P19" s="279"/>
      <c r="Q19" s="279"/>
      <c r="R19" s="279"/>
      <c r="S19" s="279"/>
      <c r="T19" s="279"/>
      <c r="U19" s="279"/>
      <c r="V19" s="279"/>
      <c r="W19" s="279"/>
      <c r="X19" s="279"/>
    </row>
    <row r="20" spans="1:24" s="35" customFormat="1" ht="10.5" x14ac:dyDescent="0.25">
      <c r="B20" s="40"/>
    </row>
    <row r="21" spans="1:24" s="35" customFormat="1" ht="10.5" x14ac:dyDescent="0.25">
      <c r="B21" s="41" t="s">
        <v>137</v>
      </c>
      <c r="C21" s="5" t="s">
        <v>31</v>
      </c>
      <c r="D21" s="42" t="s">
        <v>141</v>
      </c>
      <c r="E21" s="43" t="s">
        <v>142</v>
      </c>
      <c r="F21" s="36" t="s">
        <v>143</v>
      </c>
      <c r="G21" s="41" t="s">
        <v>144</v>
      </c>
      <c r="H21" s="41" t="s">
        <v>145</v>
      </c>
    </row>
    <row r="22" spans="1:24" s="35" customFormat="1" ht="10.5" x14ac:dyDescent="0.25">
      <c r="B22" s="43">
        <v>2018</v>
      </c>
      <c r="C22" s="44">
        <v>23.478000000000002</v>
      </c>
      <c r="D22" s="45">
        <v>2.64</v>
      </c>
      <c r="E22" s="46">
        <f>D22/C22</f>
        <v>0.11244569384104268</v>
      </c>
      <c r="F22" s="47">
        <f>AVERAGE($E$22:$E$26)</f>
        <v>0.15705160233508569</v>
      </c>
      <c r="G22" s="48"/>
      <c r="H22" s="48"/>
    </row>
    <row r="23" spans="1:24" s="35" customFormat="1" ht="10.5" x14ac:dyDescent="0.25">
      <c r="B23" s="43">
        <v>2019</v>
      </c>
      <c r="C23" s="44">
        <v>33.061999999999998</v>
      </c>
      <c r="D23" s="45">
        <v>3.2829999999999999</v>
      </c>
      <c r="E23" s="46">
        <f>D23/C23</f>
        <v>9.9298288064847862E-2</v>
      </c>
      <c r="F23" s="47">
        <f>AVERAGE($E$22:$E$27)</f>
        <v>0.15705160233508569</v>
      </c>
      <c r="G23" s="48">
        <f>(C23-C22)/C22</f>
        <v>0.40821194309566383</v>
      </c>
      <c r="H23" s="48">
        <f>(D23-D22)/D22</f>
        <v>0.24356060606060598</v>
      </c>
    </row>
    <row r="24" spans="1:24" s="35" customFormat="1" ht="10.5" x14ac:dyDescent="0.25">
      <c r="B24" s="43">
        <v>2020</v>
      </c>
      <c r="C24" s="44">
        <v>49.201999999999998</v>
      </c>
      <c r="D24" s="45">
        <v>6.9489999999999998</v>
      </c>
      <c r="E24" s="46">
        <f>D24/C24</f>
        <v>0.14123409617495225</v>
      </c>
      <c r="F24" s="47">
        <f>AVERAGE($E$22:$E$27)</f>
        <v>0.15705160233508569</v>
      </c>
      <c r="G24" s="48">
        <f t="shared" ref="G24:H26" si="1">(C24-C23)/C23</f>
        <v>0.4881737341963584</v>
      </c>
      <c r="H24" s="48">
        <f t="shared" si="1"/>
        <v>1.1166615900091379</v>
      </c>
    </row>
    <row r="25" spans="1:24" s="35" customFormat="1" ht="10.5" x14ac:dyDescent="0.25">
      <c r="B25" s="43">
        <v>2021</v>
      </c>
      <c r="C25" s="44">
        <v>50.463000000000001</v>
      </c>
      <c r="D25" s="45">
        <v>8.7669999999999995</v>
      </c>
      <c r="E25" s="46">
        <f t="shared" ref="E25:E26" si="2">D25/C25</f>
        <v>0.17373124863761566</v>
      </c>
      <c r="F25" s="47">
        <f>AVERAGE($E$22:$E$27)</f>
        <v>0.15705160233508569</v>
      </c>
      <c r="G25" s="48">
        <f t="shared" si="1"/>
        <v>2.5629039469940305E-2</v>
      </c>
      <c r="H25" s="48">
        <f t="shared" si="1"/>
        <v>0.2616203770326665</v>
      </c>
    </row>
    <row r="26" spans="1:24" s="35" customFormat="1" ht="10.5" x14ac:dyDescent="0.25">
      <c r="B26" s="43">
        <v>2022</v>
      </c>
      <c r="C26" s="44">
        <v>165.69800000000001</v>
      </c>
      <c r="D26" s="45">
        <v>42.841000000000001</v>
      </c>
      <c r="E26" s="46">
        <f t="shared" si="2"/>
        <v>0.25854868495696992</v>
      </c>
      <c r="F26" s="47">
        <f>AVERAGE($E$22:$E$27)</f>
        <v>0.15705160233508569</v>
      </c>
      <c r="G26" s="48">
        <f t="shared" si="1"/>
        <v>2.283554287299606</v>
      </c>
      <c r="H26" s="48">
        <f t="shared" si="1"/>
        <v>3.8866202805976959</v>
      </c>
    </row>
    <row r="27" spans="1:24" s="35" customFormat="1" ht="10.5" x14ac:dyDescent="0.25">
      <c r="B27" s="40"/>
    </row>
    <row r="28" spans="1:24" s="35" customFormat="1" ht="10.5" x14ac:dyDescent="0.25">
      <c r="B28" s="40"/>
    </row>
    <row r="29" spans="1:24" s="35" customFormat="1" ht="10.5" x14ac:dyDescent="0.25">
      <c r="B29" s="40"/>
    </row>
    <row r="30" spans="1:24" s="35" customFormat="1" ht="10.5" x14ac:dyDescent="0.25">
      <c r="B30" s="40"/>
    </row>
    <row r="31" spans="1:24" s="35" customFormat="1" ht="10" x14ac:dyDescent="0.2">
      <c r="A31" s="279" t="s">
        <v>146</v>
      </c>
      <c r="B31" s="279"/>
      <c r="C31" s="279"/>
      <c r="D31" s="279"/>
      <c r="E31" s="279"/>
      <c r="F31" s="279"/>
      <c r="G31" s="279"/>
      <c r="H31" s="279"/>
      <c r="I31" s="279"/>
      <c r="J31" s="279"/>
      <c r="K31" s="279"/>
      <c r="L31" s="279"/>
      <c r="M31" s="279"/>
      <c r="N31" s="279"/>
      <c r="O31" s="279"/>
      <c r="P31" s="279"/>
      <c r="Q31" s="279"/>
      <c r="R31" s="279"/>
      <c r="S31" s="279"/>
      <c r="T31" s="279"/>
      <c r="U31" s="279"/>
      <c r="V31" s="279"/>
      <c r="W31" s="279"/>
      <c r="X31" s="279"/>
    </row>
    <row r="32" spans="1:24" s="35" customFormat="1" ht="10" x14ac:dyDescent="0.2">
      <c r="A32" s="279"/>
      <c r="B32" s="279"/>
      <c r="C32" s="279"/>
      <c r="D32" s="279"/>
      <c r="E32" s="279"/>
      <c r="F32" s="279"/>
      <c r="G32" s="279"/>
      <c r="H32" s="279"/>
      <c r="I32" s="279"/>
      <c r="J32" s="279"/>
      <c r="K32" s="279"/>
      <c r="L32" s="279"/>
      <c r="M32" s="279"/>
      <c r="N32" s="279"/>
      <c r="O32" s="279"/>
      <c r="P32" s="279"/>
      <c r="Q32" s="279"/>
      <c r="R32" s="279"/>
      <c r="S32" s="279"/>
      <c r="T32" s="279"/>
      <c r="U32" s="279"/>
      <c r="V32" s="279"/>
      <c r="W32" s="279"/>
      <c r="X32" s="279"/>
    </row>
    <row r="33" spans="1:29" s="35" customFormat="1" ht="10.5" x14ac:dyDescent="0.25">
      <c r="B33" s="40"/>
    </row>
    <row r="34" spans="1:29" s="35" customFormat="1" ht="10.5" x14ac:dyDescent="0.25">
      <c r="B34" s="40"/>
    </row>
    <row r="35" spans="1:29" s="35" customFormat="1" ht="10" x14ac:dyDescent="0.2">
      <c r="B35" s="49"/>
      <c r="C35" s="49"/>
      <c r="D35" s="49"/>
      <c r="E35" s="49"/>
      <c r="F35" s="49"/>
      <c r="G35" s="49"/>
      <c r="H35" s="49"/>
      <c r="I35" s="49"/>
      <c r="J35" s="49"/>
      <c r="K35" s="49"/>
      <c r="L35" s="49"/>
      <c r="M35" s="49"/>
      <c r="N35" s="49"/>
      <c r="O35" s="49"/>
      <c r="P35" s="49"/>
      <c r="Q35" s="49"/>
      <c r="R35" s="49"/>
    </row>
    <row r="36" spans="1:29" s="35" customFormat="1" ht="10" x14ac:dyDescent="0.2">
      <c r="B36" s="49"/>
      <c r="C36" s="49"/>
      <c r="D36" s="49"/>
      <c r="E36" s="50"/>
      <c r="F36" s="50"/>
      <c r="G36" s="50"/>
      <c r="H36" s="50"/>
      <c r="I36" s="50"/>
      <c r="J36" s="50"/>
      <c r="K36" s="50"/>
      <c r="L36" s="50"/>
      <c r="M36" s="50"/>
      <c r="N36" s="50"/>
      <c r="O36" s="50"/>
      <c r="P36" s="50"/>
      <c r="Q36" s="49"/>
      <c r="R36" s="49"/>
    </row>
    <row r="37" spans="1:29" s="35" customFormat="1" ht="10.5" x14ac:dyDescent="0.25">
      <c r="B37" s="36" t="s">
        <v>137</v>
      </c>
      <c r="C37" s="41">
        <v>2018</v>
      </c>
      <c r="D37" s="41">
        <v>2019</v>
      </c>
      <c r="E37" s="41">
        <v>2020</v>
      </c>
      <c r="F37" s="41">
        <v>2021</v>
      </c>
      <c r="G37" s="41">
        <v>2022</v>
      </c>
      <c r="Q37" s="49"/>
      <c r="R37" s="49"/>
    </row>
    <row r="38" spans="1:29" s="35" customFormat="1" ht="10.5" x14ac:dyDescent="0.2">
      <c r="B38" s="51" t="s">
        <v>80</v>
      </c>
      <c r="C38" s="45">
        <v>6.3819999999999997</v>
      </c>
      <c r="D38" s="45">
        <v>10.342000000000001</v>
      </c>
      <c r="E38" s="45">
        <v>68.174000000000007</v>
      </c>
      <c r="F38" s="45">
        <v>77.519000000000005</v>
      </c>
      <c r="G38" s="45">
        <v>90.298000000000002</v>
      </c>
      <c r="Q38" s="49"/>
      <c r="R38" s="49"/>
    </row>
    <row r="39" spans="1:29" s="35" customFormat="1" ht="10.5" x14ac:dyDescent="0.2">
      <c r="B39" s="8" t="s">
        <v>31</v>
      </c>
      <c r="C39" s="6">
        <v>23.478000000000002</v>
      </c>
      <c r="D39" s="6">
        <v>33.061999999999998</v>
      </c>
      <c r="E39" s="6">
        <v>49.201999999999998</v>
      </c>
      <c r="F39" s="6">
        <v>50.463000000000001</v>
      </c>
      <c r="G39" s="6">
        <v>165.69800000000001</v>
      </c>
      <c r="Q39" s="49"/>
      <c r="R39" s="49"/>
    </row>
    <row r="40" spans="1:29" s="35" customFormat="1" ht="10.5" x14ac:dyDescent="0.2">
      <c r="B40" s="8" t="s">
        <v>148</v>
      </c>
      <c r="C40" s="6">
        <f>C38/C39</f>
        <v>0.27182894624755088</v>
      </c>
      <c r="D40" s="6">
        <f t="shared" ref="D40:G40" si="3">D38/D39</f>
        <v>0.31280624281652658</v>
      </c>
      <c r="E40" s="6">
        <f t="shared" si="3"/>
        <v>1.385594081541401</v>
      </c>
      <c r="F40" s="6">
        <f t="shared" si="3"/>
        <v>1.5361552028218695</v>
      </c>
      <c r="G40" s="6">
        <f t="shared" si="3"/>
        <v>0.54495528008787064</v>
      </c>
      <c r="I40" s="49"/>
      <c r="J40" s="49"/>
      <c r="K40" s="49"/>
      <c r="L40" s="49"/>
      <c r="M40" s="49"/>
      <c r="N40" s="49"/>
      <c r="O40" s="49"/>
      <c r="P40" s="49"/>
      <c r="Q40" s="49"/>
      <c r="R40" s="49"/>
    </row>
    <row r="41" spans="1:29" s="35" customFormat="1" ht="10" x14ac:dyDescent="0.2">
      <c r="B41" s="49"/>
      <c r="C41" s="49"/>
      <c r="D41" s="49"/>
      <c r="E41" s="49"/>
      <c r="F41" s="49"/>
      <c r="G41" s="49"/>
      <c r="H41" s="49"/>
      <c r="I41" s="49"/>
      <c r="J41" s="49"/>
      <c r="K41" s="49"/>
      <c r="L41" s="49"/>
      <c r="M41" s="49"/>
      <c r="N41" s="49"/>
      <c r="O41" s="49"/>
      <c r="P41" s="49"/>
      <c r="Q41" s="49"/>
      <c r="R41" s="49"/>
    </row>
    <row r="42" spans="1:29" s="35" customFormat="1" ht="10" x14ac:dyDescent="0.2">
      <c r="B42" s="49"/>
      <c r="C42" s="49"/>
      <c r="D42" s="49"/>
      <c r="E42" s="49"/>
      <c r="F42" s="49"/>
      <c r="G42" s="49"/>
      <c r="H42" s="49"/>
      <c r="I42" s="49"/>
      <c r="J42" s="49"/>
      <c r="K42" s="49"/>
      <c r="L42" s="49"/>
      <c r="M42" s="49"/>
      <c r="N42" s="49"/>
      <c r="O42" s="49"/>
      <c r="P42" s="49"/>
      <c r="Q42" s="49"/>
      <c r="R42" s="49"/>
    </row>
    <row r="43" spans="1:29" s="35" customFormat="1" ht="10" x14ac:dyDescent="0.2">
      <c r="B43" s="49"/>
      <c r="C43" s="49"/>
      <c r="D43" s="49"/>
      <c r="E43" s="49"/>
      <c r="F43" s="49"/>
      <c r="G43" s="49"/>
      <c r="H43" s="49"/>
      <c r="I43" s="49"/>
      <c r="J43" s="49"/>
      <c r="K43" s="49"/>
      <c r="L43" s="49"/>
      <c r="M43" s="49"/>
      <c r="N43" s="49"/>
      <c r="O43" s="49"/>
      <c r="P43" s="49"/>
      <c r="Q43" s="49"/>
      <c r="R43" s="49"/>
    </row>
    <row r="44" spans="1:29" s="35" customFormat="1" ht="10" x14ac:dyDescent="0.2">
      <c r="B44" s="49"/>
      <c r="C44" s="49"/>
      <c r="D44" s="49"/>
      <c r="E44" s="49"/>
      <c r="F44" s="49"/>
      <c r="G44" s="49"/>
      <c r="H44" s="49"/>
      <c r="I44" s="49"/>
      <c r="J44" s="49"/>
      <c r="K44" s="49"/>
      <c r="L44" s="49"/>
      <c r="M44" s="49"/>
      <c r="N44" s="49"/>
      <c r="O44" s="49"/>
      <c r="P44" s="49"/>
      <c r="Q44" s="49"/>
      <c r="R44" s="49"/>
    </row>
    <row r="45" spans="1:29" s="35" customFormat="1" ht="10" x14ac:dyDescent="0.2">
      <c r="B45" s="49"/>
      <c r="C45" s="49"/>
      <c r="D45" s="49"/>
      <c r="E45" s="49"/>
      <c r="F45" s="49"/>
      <c r="G45" s="49"/>
      <c r="H45" s="49"/>
      <c r="I45" s="49"/>
      <c r="J45" s="49"/>
      <c r="K45" s="49"/>
      <c r="L45" s="49"/>
      <c r="M45" s="49"/>
      <c r="N45" s="49"/>
      <c r="O45" s="49"/>
      <c r="P45" s="49"/>
      <c r="Q45" s="49"/>
      <c r="R45" s="49"/>
    </row>
    <row r="46" spans="1:29" s="35" customFormat="1" ht="10" x14ac:dyDescent="0.2">
      <c r="B46" s="49"/>
      <c r="C46" s="49"/>
      <c r="D46" s="49"/>
      <c r="E46" s="49"/>
      <c r="F46" s="49"/>
      <c r="G46" s="49"/>
      <c r="H46" s="49"/>
      <c r="I46" s="49"/>
      <c r="J46" s="49"/>
      <c r="K46" s="49"/>
      <c r="L46" s="49"/>
      <c r="M46" s="49"/>
      <c r="N46" s="49"/>
      <c r="O46" s="49"/>
      <c r="P46" s="49"/>
      <c r="Q46" s="49"/>
      <c r="R46" s="49"/>
    </row>
    <row r="47" spans="1:29" s="35" customFormat="1" ht="10" x14ac:dyDescent="0.2">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row>
    <row r="48" spans="1:29" s="35" customFormat="1" ht="10" x14ac:dyDescent="0.2">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row>
    <row r="49" spans="1:29" s="35" customFormat="1" ht="10" x14ac:dyDescent="0.2">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row>
    <row r="50" spans="1:29" s="35" customFormat="1" ht="10" x14ac:dyDescent="0.2">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row>
    <row r="51" spans="1:29" s="35" customFormat="1" ht="10" x14ac:dyDescent="0.2">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row>
    <row r="52" spans="1:29" s="35" customFormat="1" ht="10" x14ac:dyDescent="0.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row>
    <row r="53" spans="1:29" s="35" customFormat="1" ht="10" x14ac:dyDescent="0.2">
      <c r="A53" s="49"/>
      <c r="B53" s="49"/>
      <c r="C53" s="49"/>
      <c r="D53" s="49"/>
      <c r="E53" s="49"/>
      <c r="F53" s="49"/>
      <c r="G53" s="49"/>
      <c r="H53" s="49"/>
      <c r="I53" s="49"/>
      <c r="J53" s="49"/>
      <c r="K53" s="49"/>
      <c r="L53" s="49"/>
      <c r="M53" s="49"/>
      <c r="N53" s="49"/>
      <c r="O53" s="49"/>
      <c r="P53" s="49"/>
      <c r="Q53" s="49"/>
      <c r="R53" s="49"/>
      <c r="AA53" s="49"/>
      <c r="AB53" s="49"/>
      <c r="AC53" s="49"/>
    </row>
    <row r="54" spans="1:29" s="35" customFormat="1" ht="10" x14ac:dyDescent="0.2">
      <c r="A54" s="279" t="s">
        <v>149</v>
      </c>
      <c r="B54" s="279"/>
      <c r="C54" s="279"/>
      <c r="D54" s="279"/>
      <c r="E54" s="279"/>
      <c r="F54" s="279"/>
      <c r="G54" s="279"/>
      <c r="H54" s="279"/>
      <c r="I54" s="279"/>
      <c r="J54" s="279"/>
      <c r="K54" s="279"/>
      <c r="L54" s="279"/>
      <c r="M54" s="279"/>
      <c r="N54" s="279"/>
      <c r="O54" s="279"/>
      <c r="P54" s="279"/>
      <c r="Q54" s="279"/>
      <c r="R54" s="279"/>
      <c r="S54" s="279"/>
      <c r="T54" s="279"/>
      <c r="U54" s="279"/>
      <c r="V54" s="279"/>
      <c r="W54" s="279"/>
      <c r="X54" s="279"/>
      <c r="AA54" s="49"/>
      <c r="AB54" s="49"/>
      <c r="AC54" s="49"/>
    </row>
    <row r="55" spans="1:29" x14ac:dyDescent="0.35">
      <c r="A55" s="279"/>
      <c r="B55" s="279"/>
      <c r="C55" s="279"/>
      <c r="D55" s="279"/>
      <c r="E55" s="279"/>
      <c r="F55" s="279"/>
      <c r="G55" s="279"/>
      <c r="H55" s="279"/>
      <c r="I55" s="279"/>
      <c r="J55" s="279"/>
      <c r="K55" s="279"/>
      <c r="L55" s="279"/>
      <c r="M55" s="279"/>
      <c r="N55" s="279"/>
      <c r="O55" s="279"/>
      <c r="P55" s="279"/>
      <c r="Q55" s="279"/>
      <c r="R55" s="279"/>
      <c r="S55" s="279"/>
      <c r="T55" s="279"/>
      <c r="U55" s="279"/>
      <c r="V55" s="279"/>
      <c r="W55" s="279"/>
      <c r="X55" s="279"/>
    </row>
    <row r="56" spans="1:29" x14ac:dyDescent="0.35">
      <c r="A56" s="35"/>
      <c r="B56" s="40"/>
      <c r="C56" s="35"/>
      <c r="D56" s="35"/>
      <c r="E56" s="35"/>
      <c r="F56" s="35"/>
      <c r="G56" s="35"/>
      <c r="H56" s="35"/>
      <c r="I56" s="35"/>
      <c r="J56" s="35"/>
      <c r="K56" s="35"/>
      <c r="L56" s="35"/>
      <c r="M56" s="35"/>
      <c r="N56" s="35"/>
      <c r="O56" s="35"/>
      <c r="P56" s="35"/>
      <c r="Q56" s="35"/>
      <c r="R56" s="35"/>
      <c r="S56" s="35"/>
      <c r="T56" s="35"/>
      <c r="U56" s="35"/>
      <c r="V56" s="35"/>
      <c r="W56" s="35"/>
      <c r="X56" s="35"/>
    </row>
    <row r="57" spans="1:29" x14ac:dyDescent="0.35">
      <c r="A57" s="35"/>
      <c r="B57" s="49"/>
      <c r="C57" s="49"/>
      <c r="D57" s="49"/>
      <c r="E57" s="50"/>
      <c r="F57" s="50"/>
      <c r="G57" s="50"/>
      <c r="H57" s="50"/>
      <c r="I57" s="50"/>
      <c r="J57" s="50"/>
      <c r="K57" s="50"/>
      <c r="L57" s="50"/>
      <c r="M57" s="50"/>
      <c r="N57" s="50"/>
      <c r="O57" s="50"/>
      <c r="P57" s="50"/>
      <c r="Q57" s="49"/>
      <c r="R57" s="49"/>
      <c r="S57" s="35"/>
      <c r="T57" s="35"/>
      <c r="U57" s="35"/>
      <c r="V57" s="35"/>
      <c r="W57" s="35"/>
      <c r="X57" s="35"/>
    </row>
    <row r="58" spans="1:29" x14ac:dyDescent="0.35">
      <c r="A58" s="35"/>
      <c r="B58" s="36" t="s">
        <v>137</v>
      </c>
      <c r="C58" s="41">
        <v>2018</v>
      </c>
      <c r="D58" s="41">
        <v>2019</v>
      </c>
      <c r="E58" s="41">
        <v>2020</v>
      </c>
      <c r="F58" s="41">
        <v>2021</v>
      </c>
      <c r="G58" s="41">
        <v>2022</v>
      </c>
      <c r="I58" s="35"/>
      <c r="J58" s="35"/>
      <c r="K58" s="35"/>
      <c r="L58" s="35"/>
      <c r="M58" s="35"/>
      <c r="N58" s="35"/>
      <c r="O58" s="35"/>
      <c r="P58" s="35"/>
      <c r="Q58" s="49"/>
      <c r="R58" s="49"/>
      <c r="S58" s="35"/>
      <c r="T58" s="35"/>
      <c r="U58" s="35"/>
      <c r="V58" s="35"/>
      <c r="W58" s="35"/>
      <c r="X58" s="35"/>
    </row>
    <row r="59" spans="1:29" x14ac:dyDescent="0.35">
      <c r="A59" s="35"/>
      <c r="B59" s="51" t="s">
        <v>149</v>
      </c>
      <c r="C59" s="45">
        <v>0.50800000000000001</v>
      </c>
      <c r="D59" s="45">
        <v>0.90500000000000003</v>
      </c>
      <c r="E59" s="45">
        <v>1.446</v>
      </c>
      <c r="F59" s="45">
        <v>2.661</v>
      </c>
      <c r="G59" s="45">
        <v>5.7889999999999997</v>
      </c>
      <c r="I59" s="35"/>
      <c r="J59" s="35"/>
      <c r="K59" s="35"/>
      <c r="L59" s="35"/>
      <c r="M59" s="35"/>
      <c r="N59" s="35"/>
      <c r="O59" s="35"/>
      <c r="P59" s="35"/>
      <c r="Q59" s="49"/>
      <c r="R59" s="49"/>
      <c r="S59" s="35"/>
      <c r="T59" s="35"/>
      <c r="U59" s="35"/>
      <c r="V59" s="35"/>
      <c r="W59" s="35"/>
      <c r="X59" s="35"/>
    </row>
    <row r="60" spans="1:29" x14ac:dyDescent="0.35">
      <c r="A60" s="35"/>
      <c r="B60" s="8" t="s">
        <v>31</v>
      </c>
      <c r="C60" s="6">
        <v>23.478000000000002</v>
      </c>
      <c r="D60" s="6">
        <v>33.061999999999998</v>
      </c>
      <c r="E60" s="6">
        <v>49.201999999999998</v>
      </c>
      <c r="F60" s="6">
        <v>50.463000000000001</v>
      </c>
      <c r="G60" s="6">
        <v>165.69800000000001</v>
      </c>
      <c r="I60" s="35"/>
      <c r="J60" s="35"/>
      <c r="K60" s="35"/>
      <c r="L60" s="35"/>
      <c r="M60" s="35"/>
      <c r="N60" s="35"/>
      <c r="O60" s="35"/>
      <c r="P60" s="35"/>
      <c r="Q60" s="49"/>
      <c r="R60" s="49"/>
      <c r="S60" s="35"/>
      <c r="T60" s="35"/>
      <c r="U60" s="35"/>
      <c r="V60" s="35"/>
      <c r="W60" s="35"/>
      <c r="X60" s="35"/>
    </row>
    <row r="61" spans="1:29" x14ac:dyDescent="0.35">
      <c r="A61" s="35"/>
      <c r="B61" s="8" t="s">
        <v>150</v>
      </c>
      <c r="C61" s="52">
        <f>C59/C60</f>
        <v>2.1637277451230938E-2</v>
      </c>
      <c r="D61" s="52">
        <f>D59/D60</f>
        <v>2.7372814711753679E-2</v>
      </c>
      <c r="E61" s="52">
        <f>E59/E60</f>
        <v>2.9389049225641235E-2</v>
      </c>
      <c r="F61" s="52">
        <f>F59/F60</f>
        <v>5.2731704417097673E-2</v>
      </c>
      <c r="G61" s="52">
        <f>G59/G60</f>
        <v>3.4937054158770769E-2</v>
      </c>
      <c r="I61" s="49"/>
      <c r="J61" s="49"/>
      <c r="K61" s="49"/>
      <c r="L61" s="49"/>
      <c r="M61" s="49"/>
      <c r="N61" s="49"/>
      <c r="O61" s="49"/>
      <c r="P61" s="49"/>
      <c r="Q61" s="49"/>
      <c r="R61" s="49"/>
      <c r="S61" s="35"/>
      <c r="T61" s="35"/>
      <c r="U61" s="35"/>
      <c r="V61" s="35"/>
      <c r="W61" s="35"/>
      <c r="X61" s="35"/>
    </row>
    <row r="62" spans="1:29" x14ac:dyDescent="0.35">
      <c r="A62" s="35"/>
      <c r="B62" s="8" t="s">
        <v>139</v>
      </c>
      <c r="C62" s="52">
        <f>AVERAGE($C$61:$G$61)</f>
        <v>3.321357999289886E-2</v>
      </c>
      <c r="D62" s="52">
        <f>AVERAGE($C$61:$G$61)</f>
        <v>3.321357999289886E-2</v>
      </c>
      <c r="E62" s="52">
        <f>AVERAGE($C$61:$G$61)</f>
        <v>3.321357999289886E-2</v>
      </c>
      <c r="F62" s="52">
        <f>AVERAGE($C$61:$G$61)</f>
        <v>3.321357999289886E-2</v>
      </c>
      <c r="G62" s="52">
        <f>AVERAGE($C$61:$G$61)</f>
        <v>3.321357999289886E-2</v>
      </c>
      <c r="I62" s="49"/>
      <c r="J62" s="49"/>
      <c r="K62" s="49"/>
      <c r="L62" s="49"/>
      <c r="M62" s="49"/>
      <c r="N62" s="49"/>
      <c r="O62" s="49"/>
      <c r="P62" s="49"/>
      <c r="Q62" s="49"/>
      <c r="R62" s="49"/>
      <c r="S62" s="35"/>
      <c r="T62" s="35"/>
      <c r="U62" s="35"/>
      <c r="V62" s="35"/>
      <c r="W62" s="35"/>
      <c r="X62" s="35"/>
    </row>
    <row r="63" spans="1:29" x14ac:dyDescent="0.35">
      <c r="A63" s="35"/>
      <c r="B63" s="49"/>
      <c r="C63" s="49"/>
      <c r="D63" s="49"/>
      <c r="E63" s="49"/>
      <c r="F63" s="49"/>
      <c r="G63" s="49"/>
      <c r="H63" s="49"/>
      <c r="I63" s="49"/>
      <c r="J63" s="49"/>
      <c r="K63" s="49"/>
      <c r="L63" s="49"/>
      <c r="M63" s="49"/>
      <c r="N63" s="49"/>
      <c r="O63" s="49"/>
      <c r="P63" s="49"/>
      <c r="Q63" s="49"/>
      <c r="R63" s="49"/>
      <c r="S63" s="35"/>
      <c r="T63" s="35"/>
      <c r="U63" s="35"/>
      <c r="V63" s="35"/>
      <c r="W63" s="35"/>
      <c r="X63" s="35"/>
    </row>
    <row r="64" spans="1:29" x14ac:dyDescent="0.35">
      <c r="A64" s="35"/>
      <c r="B64" s="49"/>
      <c r="C64" s="49"/>
      <c r="D64" s="49"/>
      <c r="E64" s="49"/>
      <c r="F64" s="49"/>
      <c r="G64" s="49"/>
      <c r="H64" s="49"/>
      <c r="I64" s="49"/>
      <c r="J64" s="49"/>
      <c r="K64" s="49"/>
      <c r="L64" s="49"/>
      <c r="M64" s="49"/>
      <c r="N64" s="49"/>
      <c r="O64" s="49"/>
      <c r="P64" s="49"/>
      <c r="Q64" s="49"/>
      <c r="R64" s="49"/>
      <c r="S64" s="35"/>
      <c r="T64" s="35"/>
      <c r="U64" s="35"/>
      <c r="V64" s="35"/>
      <c r="W64" s="35"/>
      <c r="X64" s="35"/>
    </row>
    <row r="65" spans="1:24" x14ac:dyDescent="0.35">
      <c r="A65" s="35"/>
      <c r="B65" s="49"/>
      <c r="C65" s="49"/>
      <c r="D65" s="49"/>
      <c r="E65" s="49"/>
      <c r="F65" s="49"/>
      <c r="G65" s="49"/>
      <c r="H65" s="49"/>
      <c r="I65" s="49"/>
      <c r="J65" s="49"/>
      <c r="K65" s="49"/>
      <c r="L65" s="49"/>
      <c r="M65" s="49"/>
      <c r="N65" s="49"/>
      <c r="O65" s="49"/>
      <c r="P65" s="49"/>
      <c r="Q65" s="49"/>
      <c r="R65" s="49"/>
      <c r="S65" s="35"/>
      <c r="T65" s="35"/>
      <c r="U65" s="35"/>
      <c r="V65" s="35"/>
      <c r="W65" s="35"/>
      <c r="X65" s="35"/>
    </row>
    <row r="66" spans="1:24" x14ac:dyDescent="0.35">
      <c r="A66" s="35"/>
      <c r="B66" s="49"/>
      <c r="C66" s="49"/>
      <c r="D66" s="49"/>
      <c r="E66" s="49"/>
      <c r="F66" s="49"/>
      <c r="G66" s="49"/>
      <c r="H66" s="49"/>
      <c r="I66" s="49"/>
      <c r="J66" s="49"/>
      <c r="K66" s="49"/>
      <c r="L66" s="49"/>
      <c r="M66" s="49"/>
      <c r="N66" s="49"/>
      <c r="O66" s="49"/>
      <c r="P66" s="49"/>
      <c r="Q66" s="49"/>
      <c r="R66" s="49"/>
      <c r="S66" s="35"/>
      <c r="T66" s="35"/>
      <c r="U66" s="35"/>
      <c r="V66" s="35"/>
      <c r="W66" s="35"/>
      <c r="X66" s="35"/>
    </row>
    <row r="67" spans="1:24" x14ac:dyDescent="0.35">
      <c r="A67" s="35"/>
      <c r="B67" s="49"/>
      <c r="C67" s="49"/>
      <c r="D67" s="49"/>
      <c r="E67" s="49"/>
      <c r="F67" s="49"/>
      <c r="G67" s="49"/>
      <c r="H67" s="49"/>
      <c r="I67" s="49"/>
      <c r="J67" s="49"/>
      <c r="K67" s="49"/>
      <c r="L67" s="49"/>
      <c r="M67" s="49"/>
      <c r="N67" s="49"/>
      <c r="O67" s="49"/>
      <c r="P67" s="49"/>
      <c r="Q67" s="49"/>
      <c r="R67" s="49"/>
      <c r="S67" s="35"/>
      <c r="T67" s="35"/>
      <c r="U67" s="35"/>
      <c r="V67" s="35"/>
      <c r="W67" s="35"/>
      <c r="X67" s="35"/>
    </row>
    <row r="68" spans="1:24" x14ac:dyDescent="0.35">
      <c r="A68" s="49"/>
      <c r="B68" s="49"/>
      <c r="C68" s="49"/>
      <c r="D68" s="49"/>
      <c r="E68" s="49"/>
      <c r="F68" s="49"/>
      <c r="G68" s="49"/>
      <c r="H68" s="49"/>
      <c r="I68" s="49"/>
      <c r="J68" s="49"/>
      <c r="K68" s="49"/>
      <c r="L68" s="49"/>
      <c r="M68" s="49"/>
      <c r="N68" s="49"/>
      <c r="O68" s="49"/>
      <c r="P68" s="49"/>
      <c r="Q68" s="49"/>
      <c r="R68" s="49"/>
      <c r="S68" s="49"/>
      <c r="T68" s="49"/>
      <c r="U68" s="49"/>
      <c r="V68" s="49"/>
      <c r="W68" s="49"/>
      <c r="X68" s="49"/>
    </row>
    <row r="69" spans="1:24" x14ac:dyDescent="0.35">
      <c r="A69" s="49"/>
      <c r="B69" s="49"/>
      <c r="C69" s="49"/>
      <c r="D69" s="49"/>
      <c r="E69" s="49"/>
      <c r="F69" s="49"/>
      <c r="G69" s="49"/>
      <c r="H69" s="49"/>
      <c r="I69" s="49"/>
      <c r="J69" s="49"/>
      <c r="K69" s="49"/>
      <c r="L69" s="49"/>
      <c r="M69" s="49"/>
      <c r="N69" s="49"/>
      <c r="O69" s="49"/>
      <c r="P69" s="49"/>
      <c r="Q69" s="49"/>
      <c r="R69" s="49"/>
      <c r="S69" s="49"/>
      <c r="T69" s="49"/>
      <c r="U69" s="49"/>
      <c r="V69" s="49"/>
      <c r="W69" s="49"/>
      <c r="X69" s="49"/>
    </row>
    <row r="70" spans="1:24" x14ac:dyDescent="0.35">
      <c r="A70" s="49"/>
      <c r="B70" s="49"/>
      <c r="C70" s="49"/>
      <c r="D70" s="49"/>
      <c r="E70" s="49"/>
      <c r="F70" s="49"/>
      <c r="G70" s="49"/>
      <c r="H70" s="49"/>
      <c r="I70" s="49"/>
      <c r="J70" s="49"/>
      <c r="K70" s="49"/>
      <c r="L70" s="49"/>
      <c r="M70" s="49"/>
      <c r="N70" s="49"/>
      <c r="O70" s="49"/>
      <c r="P70" s="49"/>
      <c r="Q70" s="49"/>
      <c r="R70" s="49"/>
      <c r="S70" s="49"/>
      <c r="T70" s="49"/>
      <c r="U70" s="49"/>
      <c r="V70" s="49"/>
      <c r="W70" s="49"/>
      <c r="X70" s="49"/>
    </row>
    <row r="71" spans="1:24" x14ac:dyDescent="0.35">
      <c r="A71" s="49"/>
      <c r="B71" s="49"/>
      <c r="C71" s="49"/>
      <c r="D71" s="49"/>
      <c r="E71" s="49"/>
      <c r="F71" s="49"/>
      <c r="G71" s="49"/>
      <c r="H71" s="49"/>
      <c r="I71" s="49"/>
      <c r="J71" s="49"/>
      <c r="K71" s="49"/>
      <c r="L71" s="49"/>
      <c r="M71" s="49"/>
      <c r="N71" s="49"/>
      <c r="O71" s="49"/>
      <c r="P71" s="49"/>
      <c r="Q71" s="49"/>
      <c r="R71" s="49"/>
      <c r="S71" s="49"/>
      <c r="T71" s="49"/>
      <c r="U71" s="49"/>
      <c r="V71" s="49"/>
      <c r="W71" s="49"/>
      <c r="X71" s="49"/>
    </row>
    <row r="72" spans="1:24" x14ac:dyDescent="0.35">
      <c r="A72" s="49"/>
      <c r="B72" s="49"/>
      <c r="C72" s="49"/>
      <c r="D72" s="49"/>
      <c r="E72" s="49"/>
      <c r="F72" s="49"/>
      <c r="G72" s="49"/>
      <c r="H72" s="49"/>
      <c r="I72" s="49"/>
      <c r="J72" s="49"/>
      <c r="K72" s="49"/>
      <c r="L72" s="49"/>
      <c r="M72" s="49"/>
      <c r="N72" s="49"/>
      <c r="O72" s="49"/>
      <c r="P72" s="49"/>
      <c r="Q72" s="49"/>
      <c r="R72" s="49"/>
      <c r="S72" s="49"/>
      <c r="T72" s="49"/>
      <c r="U72" s="49"/>
      <c r="V72" s="49"/>
      <c r="W72" s="49"/>
      <c r="X72" s="49"/>
    </row>
    <row r="73" spans="1:24" x14ac:dyDescent="0.35">
      <c r="A73" s="49"/>
      <c r="B73" s="49"/>
      <c r="C73" s="49"/>
      <c r="D73" s="49"/>
      <c r="E73" s="49"/>
      <c r="F73" s="49"/>
      <c r="G73" s="49"/>
      <c r="H73" s="49"/>
      <c r="I73" s="49"/>
      <c r="J73" s="49"/>
      <c r="K73" s="49"/>
      <c r="L73" s="49"/>
      <c r="M73" s="49"/>
      <c r="N73" s="49"/>
      <c r="O73" s="49"/>
      <c r="P73" s="49"/>
      <c r="Q73" s="49"/>
      <c r="R73" s="49"/>
      <c r="S73" s="49"/>
      <c r="T73" s="49"/>
      <c r="U73" s="49"/>
      <c r="V73" s="49"/>
      <c r="W73" s="49"/>
      <c r="X73" s="49"/>
    </row>
    <row r="74" spans="1:24" x14ac:dyDescent="0.35">
      <c r="A74" s="49"/>
      <c r="B74" s="49"/>
      <c r="C74" s="49"/>
      <c r="D74" s="49"/>
      <c r="E74" s="49"/>
      <c r="F74" s="49"/>
      <c r="G74" s="49"/>
      <c r="H74" s="49"/>
      <c r="I74" s="49"/>
      <c r="J74" s="49"/>
      <c r="K74" s="49"/>
      <c r="L74" s="49"/>
      <c r="M74" s="49"/>
      <c r="N74" s="49"/>
      <c r="O74" s="49"/>
      <c r="P74" s="49"/>
      <c r="Q74" s="49"/>
      <c r="R74" s="49"/>
      <c r="S74" s="35"/>
      <c r="T74" s="35"/>
      <c r="U74" s="35"/>
      <c r="V74" s="35"/>
      <c r="W74" s="35"/>
      <c r="X74" s="35"/>
    </row>
    <row r="75" spans="1:24" x14ac:dyDescent="0.35">
      <c r="A75" s="49"/>
      <c r="B75" s="49"/>
      <c r="C75" s="49"/>
      <c r="D75" s="49"/>
      <c r="E75" s="49"/>
      <c r="F75" s="49"/>
      <c r="G75" s="49"/>
      <c r="H75" s="49"/>
      <c r="I75" s="49"/>
      <c r="J75" s="49"/>
      <c r="K75" s="49"/>
      <c r="L75" s="49"/>
      <c r="M75" s="49"/>
      <c r="N75" s="49"/>
      <c r="O75" s="49"/>
      <c r="P75" s="49"/>
      <c r="Q75" s="49"/>
      <c r="R75" s="49"/>
      <c r="S75" s="35"/>
      <c r="T75" s="35"/>
      <c r="U75" s="35"/>
      <c r="V75" s="35"/>
      <c r="W75" s="35"/>
      <c r="X75" s="35"/>
    </row>
    <row r="76" spans="1:24" x14ac:dyDescent="0.35">
      <c r="A76" s="49"/>
      <c r="B76" s="49"/>
      <c r="C76" s="49"/>
      <c r="D76" s="49"/>
      <c r="E76" s="49"/>
      <c r="F76" s="49"/>
      <c r="G76" s="49"/>
      <c r="H76" s="49"/>
      <c r="I76" s="49"/>
      <c r="J76" s="49"/>
      <c r="K76" s="49"/>
      <c r="L76" s="49"/>
      <c r="M76" s="49"/>
      <c r="N76" s="49"/>
      <c r="O76" s="49"/>
      <c r="P76" s="49"/>
      <c r="Q76" s="49"/>
      <c r="R76" s="49"/>
      <c r="S76" s="35"/>
      <c r="T76" s="35"/>
      <c r="U76" s="35"/>
      <c r="V76" s="35"/>
      <c r="W76" s="35"/>
      <c r="X76" s="35"/>
    </row>
    <row r="77" spans="1:24" x14ac:dyDescent="0.35">
      <c r="A77" s="279" t="s">
        <v>154</v>
      </c>
      <c r="B77" s="279"/>
      <c r="C77" s="279"/>
      <c r="D77" s="279"/>
      <c r="E77" s="279"/>
      <c r="F77" s="279"/>
      <c r="G77" s="279"/>
      <c r="H77" s="279"/>
      <c r="I77" s="279"/>
      <c r="J77" s="279"/>
      <c r="K77" s="279"/>
      <c r="L77" s="279"/>
      <c r="M77" s="279"/>
      <c r="N77" s="279"/>
      <c r="O77" s="279"/>
      <c r="P77" s="279"/>
      <c r="Q77" s="279"/>
      <c r="R77" s="279"/>
      <c r="S77" s="279"/>
      <c r="T77" s="279"/>
      <c r="U77" s="279"/>
      <c r="V77" s="279"/>
      <c r="W77" s="279"/>
      <c r="X77" s="279"/>
    </row>
    <row r="78" spans="1:24" x14ac:dyDescent="0.35">
      <c r="A78" s="279"/>
      <c r="B78" s="279"/>
      <c r="C78" s="279"/>
      <c r="D78" s="279"/>
      <c r="E78" s="279"/>
      <c r="F78" s="279"/>
      <c r="G78" s="279"/>
      <c r="H78" s="279"/>
      <c r="I78" s="279"/>
      <c r="J78" s="279"/>
      <c r="K78" s="279"/>
      <c r="L78" s="279"/>
      <c r="M78" s="279"/>
      <c r="N78" s="279"/>
      <c r="O78" s="279"/>
      <c r="P78" s="279"/>
      <c r="Q78" s="279"/>
      <c r="R78" s="279"/>
      <c r="S78" s="279"/>
      <c r="T78" s="279"/>
      <c r="U78" s="279"/>
      <c r="V78" s="279"/>
      <c r="W78" s="279"/>
      <c r="X78" s="279"/>
    </row>
    <row r="79" spans="1:24" x14ac:dyDescent="0.35">
      <c r="A79" s="49"/>
      <c r="B79" s="49"/>
      <c r="C79" s="49"/>
      <c r="D79" s="49"/>
      <c r="E79" s="49"/>
      <c r="F79" s="49"/>
      <c r="G79" s="49"/>
      <c r="H79" s="49"/>
      <c r="I79" s="49"/>
      <c r="J79" s="49"/>
      <c r="K79" s="49"/>
      <c r="L79" s="49"/>
      <c r="M79" s="49"/>
      <c r="N79" s="49"/>
      <c r="O79" s="49"/>
      <c r="P79" s="49"/>
      <c r="Q79" s="49"/>
      <c r="R79" s="49"/>
      <c r="S79" s="35"/>
      <c r="T79" s="35"/>
      <c r="U79" s="35"/>
      <c r="V79" s="35"/>
      <c r="W79" s="35"/>
      <c r="X79" s="35"/>
    </row>
    <row r="80" spans="1:24" x14ac:dyDescent="0.35">
      <c r="A80" s="35"/>
      <c r="B80" s="49"/>
      <c r="C80" s="49"/>
      <c r="D80" s="49"/>
      <c r="E80" s="49"/>
      <c r="F80" s="49"/>
      <c r="G80" s="49"/>
      <c r="H80" s="49"/>
      <c r="I80" s="49"/>
      <c r="J80" s="49"/>
      <c r="K80" s="49"/>
      <c r="L80" s="49"/>
      <c r="M80" s="49"/>
      <c r="N80" s="49"/>
    </row>
    <row r="81" spans="1:14" x14ac:dyDescent="0.35">
      <c r="A81" s="35"/>
      <c r="B81" s="36" t="s">
        <v>137</v>
      </c>
      <c r="C81" s="51" t="s">
        <v>151</v>
      </c>
      <c r="D81" s="5" t="s">
        <v>31</v>
      </c>
      <c r="E81" s="5" t="s">
        <v>152</v>
      </c>
      <c r="F81" s="5" t="s">
        <v>153</v>
      </c>
      <c r="G81" s="49"/>
      <c r="H81" s="49"/>
      <c r="I81" s="49"/>
      <c r="J81" s="49"/>
      <c r="K81" s="49"/>
      <c r="L81" s="49"/>
      <c r="M81" s="49"/>
      <c r="N81" s="49"/>
    </row>
    <row r="82" spans="1:14" x14ac:dyDescent="0.35">
      <c r="A82" s="35"/>
      <c r="B82" s="43">
        <v>2018</v>
      </c>
      <c r="C82" s="53">
        <v>0.52400000000000002</v>
      </c>
      <c r="D82" s="33">
        <v>23.478000000000002</v>
      </c>
      <c r="E82" s="54">
        <f>C82/D82</f>
        <v>2.2318766504813015E-2</v>
      </c>
      <c r="F82" s="54">
        <f>AVERAGE($E$82:E86)</f>
        <v>0.11019509830848281</v>
      </c>
      <c r="G82" s="49"/>
      <c r="H82" s="49"/>
      <c r="I82" s="49"/>
      <c r="J82" s="49"/>
      <c r="K82" s="49"/>
      <c r="L82" s="49"/>
      <c r="M82" s="49"/>
      <c r="N82" s="49"/>
    </row>
    <row r="83" spans="1:14" x14ac:dyDescent="0.35">
      <c r="A83" s="35"/>
      <c r="B83" s="43">
        <v>2019</v>
      </c>
      <c r="C83" s="53">
        <v>5.5369999999999999</v>
      </c>
      <c r="D83" s="33">
        <v>33.061999999999998</v>
      </c>
      <c r="E83" s="54">
        <f t="shared" ref="E83:E86" si="4">C83/D83</f>
        <v>0.16747323210937029</v>
      </c>
      <c r="F83" s="54">
        <f>AVERAGE($E$82:E87)</f>
        <v>0.11019509830848281</v>
      </c>
      <c r="G83" s="49"/>
      <c r="H83" s="49"/>
      <c r="I83" s="49"/>
      <c r="J83" s="49"/>
      <c r="K83" s="49"/>
      <c r="L83" s="49"/>
      <c r="M83" s="49"/>
      <c r="N83" s="49"/>
    </row>
    <row r="84" spans="1:14" x14ac:dyDescent="0.35">
      <c r="A84" s="35"/>
      <c r="B84" s="43">
        <v>2020</v>
      </c>
      <c r="C84" s="53">
        <v>4.4279999999999999</v>
      </c>
      <c r="D84" s="33">
        <v>49.201999999999998</v>
      </c>
      <c r="E84" s="54">
        <f t="shared" si="4"/>
        <v>8.9996341612129591E-2</v>
      </c>
      <c r="F84" s="54">
        <f>AVERAGE($E$82:E88)</f>
        <v>0.11019509830848281</v>
      </c>
      <c r="G84" s="49"/>
      <c r="H84" s="49"/>
      <c r="I84" s="49"/>
      <c r="J84" s="49"/>
      <c r="K84" s="49"/>
      <c r="L84" s="49"/>
      <c r="M84" s="49"/>
      <c r="N84" s="49"/>
    </row>
    <row r="85" spans="1:14" x14ac:dyDescent="0.35">
      <c r="A85" s="35"/>
      <c r="B85" s="43">
        <v>2021</v>
      </c>
      <c r="C85" s="53">
        <v>10.041</v>
      </c>
      <c r="D85" s="33">
        <v>50.463000000000001</v>
      </c>
      <c r="E85" s="54">
        <f t="shared" si="4"/>
        <v>0.19897746864038998</v>
      </c>
      <c r="F85" s="54">
        <f>AVERAGE($E$82:E89)</f>
        <v>0.11019509830848281</v>
      </c>
      <c r="G85" s="49"/>
      <c r="H85" s="49"/>
      <c r="I85" s="49"/>
      <c r="J85" s="49"/>
      <c r="K85" s="49"/>
      <c r="L85" s="49"/>
      <c r="M85" s="49"/>
      <c r="N85" s="49"/>
    </row>
    <row r="86" spans="1:14" x14ac:dyDescent="0.35">
      <c r="A86" s="35"/>
      <c r="B86" s="43">
        <v>2022</v>
      </c>
      <c r="C86" s="53">
        <v>11.965</v>
      </c>
      <c r="D86" s="33">
        <v>165.69800000000001</v>
      </c>
      <c r="E86" s="54">
        <f t="shared" si="4"/>
        <v>7.2209682675711234E-2</v>
      </c>
      <c r="F86" s="54">
        <f>AVERAGE($E$82:E90)</f>
        <v>0.11019509830848281</v>
      </c>
      <c r="G86" s="49"/>
      <c r="H86" s="49"/>
      <c r="I86" s="49"/>
      <c r="J86" s="49"/>
      <c r="K86" s="49"/>
      <c r="L86" s="49"/>
      <c r="M86" s="49"/>
      <c r="N86" s="49"/>
    </row>
    <row r="87" spans="1:14" x14ac:dyDescent="0.35">
      <c r="A87" s="35"/>
      <c r="B87" s="35"/>
      <c r="C87" s="35"/>
      <c r="D87" s="35"/>
      <c r="E87" s="35"/>
      <c r="F87" s="35"/>
      <c r="G87" s="49"/>
      <c r="H87" s="49"/>
      <c r="I87" s="49"/>
      <c r="J87" s="49"/>
      <c r="K87" s="49"/>
      <c r="L87" s="49"/>
      <c r="M87" s="49"/>
      <c r="N87" s="49"/>
    </row>
    <row r="88" spans="1:14" x14ac:dyDescent="0.35">
      <c r="A88" s="35"/>
      <c r="B88" s="35"/>
      <c r="C88" s="35"/>
      <c r="D88" s="35"/>
      <c r="E88" s="35"/>
      <c r="F88" s="35"/>
      <c r="G88" s="49"/>
      <c r="H88" s="49"/>
      <c r="I88" s="49"/>
      <c r="J88" s="49"/>
      <c r="K88" s="49"/>
      <c r="L88" s="49"/>
      <c r="M88" s="49"/>
      <c r="N88" s="49"/>
    </row>
    <row r="89" spans="1:14" x14ac:dyDescent="0.35">
      <c r="A89" s="35"/>
      <c r="B89" s="35"/>
      <c r="C89" s="35"/>
      <c r="D89" s="35"/>
      <c r="E89" s="35"/>
      <c r="F89" s="35"/>
      <c r="G89" s="49"/>
      <c r="H89" s="49"/>
      <c r="I89" s="49"/>
      <c r="J89" s="49"/>
      <c r="K89" s="49"/>
      <c r="L89" s="49"/>
      <c r="M89" s="49"/>
      <c r="N89" s="49"/>
    </row>
    <row r="90" spans="1:14" x14ac:dyDescent="0.35">
      <c r="A90" s="35"/>
      <c r="B90" s="35"/>
      <c r="C90" s="35"/>
      <c r="D90" s="35"/>
      <c r="E90" s="35"/>
      <c r="F90" s="35"/>
      <c r="G90" s="49"/>
      <c r="H90" s="49"/>
      <c r="I90" s="49"/>
      <c r="J90" s="49"/>
      <c r="K90" s="49"/>
      <c r="L90" s="49"/>
      <c r="M90" s="49"/>
      <c r="N90" s="49"/>
    </row>
    <row r="91" spans="1:14" x14ac:dyDescent="0.35">
      <c r="A91" s="35"/>
      <c r="B91" s="49"/>
      <c r="C91" s="49"/>
      <c r="D91" s="49"/>
      <c r="E91" s="49"/>
      <c r="F91" s="49"/>
      <c r="G91" s="49"/>
      <c r="H91" s="49"/>
      <c r="I91" s="49"/>
      <c r="J91" s="49"/>
      <c r="K91" s="49"/>
      <c r="L91" s="49"/>
      <c r="M91" s="49"/>
      <c r="N91" s="49"/>
    </row>
    <row r="92" spans="1:14" x14ac:dyDescent="0.35">
      <c r="A92" s="35"/>
      <c r="B92" s="49"/>
      <c r="C92" s="49"/>
      <c r="D92" s="49"/>
      <c r="E92" s="49"/>
      <c r="F92" s="49"/>
      <c r="G92" s="49"/>
      <c r="H92" s="49"/>
      <c r="I92" s="49"/>
      <c r="J92" s="49"/>
      <c r="K92" s="49"/>
      <c r="L92" s="49"/>
      <c r="M92" s="49"/>
      <c r="N92" s="49"/>
    </row>
    <row r="93" spans="1:14" x14ac:dyDescent="0.35">
      <c r="A93" s="35"/>
      <c r="B93" s="49"/>
      <c r="C93" s="49"/>
      <c r="D93" s="49"/>
      <c r="E93" s="49"/>
      <c r="F93" s="49"/>
      <c r="G93" s="49"/>
      <c r="H93" s="49"/>
      <c r="I93" s="49"/>
      <c r="J93" s="49"/>
      <c r="K93" s="49"/>
      <c r="L93" s="49"/>
      <c r="M93" s="49"/>
      <c r="N93" s="49"/>
    </row>
  </sheetData>
  <mergeCells count="5">
    <mergeCell ref="A1:X2"/>
    <mergeCell ref="A18:X19"/>
    <mergeCell ref="A31:X32"/>
    <mergeCell ref="A54:X55"/>
    <mergeCell ref="A77:X7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A053-91B5-417B-8E8B-E1BD0A7C4136}">
  <sheetPr>
    <tabColor theme="5" tint="0.59999389629810485"/>
  </sheetPr>
  <dimension ref="A1:X27"/>
  <sheetViews>
    <sheetView showGridLines="0" zoomScale="52" workbookViewId="0">
      <selection activeCell="J41" sqref="J41"/>
    </sheetView>
  </sheetViews>
  <sheetFormatPr defaultRowHeight="14.5" x14ac:dyDescent="0.35"/>
  <cols>
    <col min="2" max="2" width="6.1796875" customWidth="1"/>
    <col min="3" max="3" width="16" bestFit="1" customWidth="1"/>
    <col min="4" max="4" width="16.26953125" bestFit="1" customWidth="1"/>
    <col min="5" max="5" width="16.08984375" bestFit="1" customWidth="1"/>
    <col min="6" max="6" width="8" bestFit="1" customWidth="1"/>
  </cols>
  <sheetData>
    <row r="1" spans="1:24" x14ac:dyDescent="0.35">
      <c r="A1" s="279" t="s">
        <v>155</v>
      </c>
      <c r="B1" s="279"/>
      <c r="C1" s="279"/>
      <c r="D1" s="279"/>
      <c r="E1" s="279"/>
      <c r="F1" s="279"/>
      <c r="G1" s="279"/>
      <c r="H1" s="279"/>
      <c r="I1" s="279"/>
      <c r="J1" s="279"/>
      <c r="K1" s="279"/>
      <c r="L1" s="279"/>
      <c r="M1" s="279"/>
      <c r="N1" s="279"/>
      <c r="O1" s="279"/>
      <c r="P1" s="279"/>
      <c r="Q1" s="279"/>
      <c r="R1" s="279"/>
      <c r="S1" s="279"/>
      <c r="T1" s="279"/>
      <c r="U1" s="279"/>
      <c r="V1" s="279"/>
      <c r="W1" s="279"/>
      <c r="X1" s="279"/>
    </row>
    <row r="2" spans="1:24" x14ac:dyDescent="0.35">
      <c r="A2" s="279"/>
      <c r="B2" s="279"/>
      <c r="C2" s="279"/>
      <c r="D2" s="279"/>
      <c r="E2" s="279"/>
      <c r="F2" s="279"/>
      <c r="G2" s="279"/>
      <c r="H2" s="279"/>
      <c r="I2" s="279"/>
      <c r="J2" s="279"/>
      <c r="K2" s="279"/>
      <c r="L2" s="279"/>
      <c r="M2" s="279"/>
      <c r="N2" s="279"/>
      <c r="O2" s="279"/>
      <c r="P2" s="279"/>
      <c r="Q2" s="279"/>
      <c r="R2" s="279"/>
      <c r="S2" s="279"/>
      <c r="T2" s="279"/>
      <c r="U2" s="279"/>
      <c r="V2" s="279"/>
      <c r="W2" s="279"/>
      <c r="X2" s="279"/>
    </row>
    <row r="3" spans="1:24" ht="15.5" x14ac:dyDescent="0.35">
      <c r="A3" s="57"/>
      <c r="B3" s="57"/>
      <c r="C3" s="57"/>
      <c r="D3" s="57"/>
      <c r="E3" s="57"/>
      <c r="F3" s="57"/>
      <c r="G3" s="57"/>
      <c r="H3" s="57"/>
      <c r="I3" s="57"/>
      <c r="J3" s="57"/>
      <c r="K3" s="57"/>
      <c r="L3" s="57"/>
      <c r="M3" s="57"/>
      <c r="N3" s="57"/>
      <c r="O3" s="57"/>
      <c r="P3" s="57"/>
      <c r="Q3" s="57"/>
      <c r="R3" s="57"/>
      <c r="S3" s="57"/>
      <c r="T3" s="57"/>
      <c r="U3" s="57"/>
      <c r="V3" s="57"/>
      <c r="W3" s="57"/>
      <c r="X3" s="57"/>
    </row>
    <row r="4" spans="1:24" x14ac:dyDescent="0.35">
      <c r="B4" s="43" t="s">
        <v>137</v>
      </c>
      <c r="C4" s="58" t="s">
        <v>156</v>
      </c>
      <c r="D4" s="59" t="s">
        <v>91</v>
      </c>
      <c r="E4" s="43" t="s">
        <v>157</v>
      </c>
      <c r="F4" s="43" t="s">
        <v>153</v>
      </c>
      <c r="G4" s="49"/>
      <c r="H4" s="49"/>
      <c r="I4" s="49"/>
      <c r="J4" s="49"/>
      <c r="K4" s="49"/>
      <c r="L4" s="49"/>
      <c r="M4" s="49"/>
      <c r="N4" s="49"/>
    </row>
    <row r="5" spans="1:24" x14ac:dyDescent="0.35">
      <c r="B5" s="41">
        <v>2018</v>
      </c>
      <c r="C5" s="56">
        <v>24.465</v>
      </c>
      <c r="D5" s="53">
        <v>0.38700000000000001</v>
      </c>
      <c r="E5" s="55">
        <f t="shared" ref="E5:E9" si="0">D5/C5</f>
        <v>1.5818516247700799E-2</v>
      </c>
      <c r="F5" s="55">
        <f>AVERAGE($E$5:$E$9)</f>
        <v>3.1616548109149024E-2</v>
      </c>
      <c r="G5" s="49"/>
      <c r="H5" s="49"/>
      <c r="I5" s="49"/>
      <c r="J5" s="49"/>
      <c r="K5" s="49"/>
      <c r="L5" s="49"/>
      <c r="M5" s="49"/>
      <c r="N5" s="49"/>
    </row>
    <row r="6" spans="1:24" x14ac:dyDescent="0.35">
      <c r="B6" s="41">
        <v>2019</v>
      </c>
      <c r="C6" s="56">
        <v>27.751999999999999</v>
      </c>
      <c r="D6" s="53">
        <v>0.56100000000000005</v>
      </c>
      <c r="E6" s="55">
        <f t="shared" si="0"/>
        <v>2.0214759296627274E-2</v>
      </c>
      <c r="F6" s="55">
        <f t="shared" ref="F6:F8" si="1">AVERAGE($E$5:$E$9)</f>
        <v>3.1616548109149024E-2</v>
      </c>
      <c r="G6" s="49"/>
      <c r="H6" s="49"/>
      <c r="I6" s="49"/>
      <c r="J6" s="49"/>
      <c r="K6" s="49"/>
      <c r="L6" s="49"/>
      <c r="M6" s="49"/>
      <c r="N6" s="49"/>
    </row>
    <row r="7" spans="1:24" x14ac:dyDescent="0.35">
      <c r="B7" s="41">
        <v>2020</v>
      </c>
      <c r="C7" s="56">
        <v>34.773000000000003</v>
      </c>
      <c r="D7" s="53">
        <v>1.6930000000000001</v>
      </c>
      <c r="E7" s="55">
        <f t="shared" si="0"/>
        <v>4.868719983895551E-2</v>
      </c>
      <c r="F7" s="55">
        <f t="shared" si="1"/>
        <v>3.1616548109149024E-2</v>
      </c>
      <c r="G7" s="49"/>
      <c r="H7" s="49"/>
      <c r="I7" s="49"/>
      <c r="J7" s="49"/>
      <c r="K7" s="49"/>
      <c r="L7" s="49"/>
      <c r="M7" s="49"/>
      <c r="N7" s="49"/>
    </row>
    <row r="8" spans="1:24" x14ac:dyDescent="0.35">
      <c r="B8" s="41">
        <v>2021</v>
      </c>
      <c r="C8" s="56">
        <v>47.779000000000003</v>
      </c>
      <c r="D8" s="53">
        <v>1.371</v>
      </c>
      <c r="E8" s="55">
        <f t="shared" si="0"/>
        <v>2.8694614788924003E-2</v>
      </c>
      <c r="F8" s="55">
        <f t="shared" si="1"/>
        <v>3.1616548109149024E-2</v>
      </c>
      <c r="G8" s="49"/>
      <c r="H8" s="49"/>
      <c r="I8" s="49"/>
      <c r="J8" s="49"/>
      <c r="K8" s="49"/>
      <c r="L8" s="49"/>
      <c r="M8" s="49"/>
      <c r="N8" s="49"/>
    </row>
    <row r="9" spans="1:24" x14ac:dyDescent="0.35">
      <c r="B9" s="41">
        <v>2022</v>
      </c>
      <c r="C9" s="56">
        <v>172.13800000000001</v>
      </c>
      <c r="D9" s="53">
        <v>7.6890000000000001</v>
      </c>
      <c r="E9" s="55">
        <f t="shared" si="0"/>
        <v>4.466765037353751E-2</v>
      </c>
      <c r="F9" s="55">
        <f>AVERAGE($E$5:$E$9)</f>
        <v>3.1616548109149024E-2</v>
      </c>
      <c r="G9" s="49"/>
      <c r="H9" s="49"/>
      <c r="I9" s="49"/>
      <c r="J9" s="49"/>
      <c r="K9" s="49"/>
      <c r="L9" s="49"/>
      <c r="M9" s="49"/>
      <c r="N9" s="49"/>
    </row>
    <row r="16" spans="1:24" x14ac:dyDescent="0.35">
      <c r="A16" s="279" t="s">
        <v>158</v>
      </c>
      <c r="B16" s="279"/>
      <c r="C16" s="279"/>
      <c r="D16" s="279"/>
      <c r="E16" s="279"/>
      <c r="F16" s="279"/>
      <c r="G16" s="279"/>
      <c r="H16" s="279"/>
      <c r="I16" s="279"/>
      <c r="J16" s="279"/>
      <c r="K16" s="279"/>
      <c r="L16" s="279"/>
      <c r="M16" s="279"/>
      <c r="N16" s="279"/>
      <c r="O16" s="279"/>
      <c r="P16" s="279"/>
      <c r="Q16" s="279"/>
      <c r="R16" s="279"/>
      <c r="S16" s="279"/>
      <c r="T16" s="279"/>
      <c r="U16" s="279"/>
      <c r="V16" s="279"/>
      <c r="W16" s="279"/>
      <c r="X16" s="279"/>
    </row>
    <row r="17" spans="1:24" x14ac:dyDescent="0.35">
      <c r="A17" s="279"/>
      <c r="B17" s="279"/>
      <c r="C17" s="279"/>
      <c r="D17" s="279"/>
      <c r="E17" s="279"/>
      <c r="F17" s="279"/>
      <c r="G17" s="279"/>
      <c r="H17" s="279"/>
      <c r="I17" s="279"/>
      <c r="J17" s="279"/>
      <c r="K17" s="279"/>
      <c r="L17" s="279"/>
      <c r="M17" s="279"/>
      <c r="N17" s="279"/>
      <c r="O17" s="279"/>
      <c r="P17" s="279"/>
      <c r="Q17" s="279"/>
      <c r="R17" s="279"/>
      <c r="S17" s="279"/>
      <c r="T17" s="279"/>
      <c r="U17" s="279"/>
      <c r="V17" s="279"/>
      <c r="W17" s="279"/>
      <c r="X17" s="279"/>
    </row>
    <row r="22" spans="1:24" x14ac:dyDescent="0.35">
      <c r="B22" s="43" t="s">
        <v>137</v>
      </c>
      <c r="C22" s="58" t="s">
        <v>156</v>
      </c>
      <c r="D22" s="59" t="s">
        <v>92</v>
      </c>
      <c r="E22" s="43" t="s">
        <v>157</v>
      </c>
      <c r="F22" s="43" t="s">
        <v>153</v>
      </c>
    </row>
    <row r="23" spans="1:24" x14ac:dyDescent="0.35">
      <c r="B23" s="41">
        <v>2018</v>
      </c>
      <c r="C23" s="56">
        <v>24.465</v>
      </c>
      <c r="D23" s="60">
        <v>2.6320000000000001</v>
      </c>
      <c r="E23" s="55">
        <f t="shared" ref="E23:E27" si="2">D23/C23</f>
        <v>0.10758226037195995</v>
      </c>
      <c r="F23" s="55">
        <f>AVERAGE($E$23:$E$27)</f>
        <v>0.16983169176119323</v>
      </c>
    </row>
    <row r="24" spans="1:24" x14ac:dyDescent="0.35">
      <c r="B24" s="41">
        <v>2019</v>
      </c>
      <c r="C24" s="56">
        <v>27.751999999999999</v>
      </c>
      <c r="D24" s="60">
        <v>3.8769999999999998</v>
      </c>
      <c r="E24" s="55">
        <f t="shared" si="2"/>
        <v>0.13970164312481984</v>
      </c>
      <c r="F24" s="55">
        <f t="shared" ref="F24:F27" si="3">AVERAGE($E$23:$E$27)</f>
        <v>0.16983169176119323</v>
      </c>
    </row>
    <row r="25" spans="1:24" x14ac:dyDescent="0.35">
      <c r="B25" s="41">
        <v>2020</v>
      </c>
      <c r="C25" s="56">
        <v>34.773000000000003</v>
      </c>
      <c r="D25" s="60">
        <v>6.7789999999999999</v>
      </c>
      <c r="E25" s="55">
        <f t="shared" si="2"/>
        <v>0.19495010496649698</v>
      </c>
      <c r="F25" s="55">
        <f t="shared" si="3"/>
        <v>0.16983169176119323</v>
      </c>
    </row>
    <row r="26" spans="1:24" x14ac:dyDescent="0.35">
      <c r="B26" s="41">
        <v>2021</v>
      </c>
      <c r="C26" s="56">
        <v>47.779000000000003</v>
      </c>
      <c r="D26" s="60">
        <v>9.6419999999999995</v>
      </c>
      <c r="E26" s="55">
        <f t="shared" si="2"/>
        <v>0.20180413989409571</v>
      </c>
      <c r="F26" s="55">
        <f t="shared" si="3"/>
        <v>0.16983169176119323</v>
      </c>
    </row>
    <row r="27" spans="1:24" x14ac:dyDescent="0.35">
      <c r="B27" s="41">
        <v>2022</v>
      </c>
      <c r="C27" s="56">
        <v>172.13800000000001</v>
      </c>
      <c r="D27" s="60">
        <v>35.308999999999997</v>
      </c>
      <c r="E27" s="55">
        <f t="shared" si="2"/>
        <v>0.20512031044859355</v>
      </c>
      <c r="F27" s="55">
        <f t="shared" si="3"/>
        <v>0.16983169176119323</v>
      </c>
    </row>
  </sheetData>
  <mergeCells count="2">
    <mergeCell ref="A1:X2"/>
    <mergeCell ref="A16:X1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1E913-52FD-418B-906A-8413FD6E1D05}">
  <sheetPr>
    <tabColor theme="5" tint="0.59999389629810485"/>
  </sheetPr>
  <dimension ref="B2:E10"/>
  <sheetViews>
    <sheetView showGridLines="0" zoomScale="81" workbookViewId="0">
      <selection activeCell="F13" sqref="F13"/>
    </sheetView>
  </sheetViews>
  <sheetFormatPr defaultRowHeight="14.5" x14ac:dyDescent="0.35"/>
  <cols>
    <col min="2" max="2" width="17.6328125" bestFit="1" customWidth="1"/>
    <col min="3" max="3" width="11.1796875" bestFit="1" customWidth="1"/>
    <col min="4" max="4" width="13.26953125" customWidth="1"/>
    <col min="5" max="5" width="12.81640625" bestFit="1" customWidth="1"/>
    <col min="6" max="6" width="15.54296875" customWidth="1"/>
    <col min="7" max="7" width="13.6328125" customWidth="1"/>
    <col min="8" max="8" width="14.1796875" customWidth="1"/>
  </cols>
  <sheetData>
    <row r="2" spans="2:5" ht="43.5" x14ac:dyDescent="0.35">
      <c r="B2" s="11" t="s">
        <v>0</v>
      </c>
      <c r="C2" s="11" t="s">
        <v>6</v>
      </c>
      <c r="D2" s="11" t="s">
        <v>8</v>
      </c>
      <c r="E2" s="11" t="s">
        <v>16</v>
      </c>
    </row>
    <row r="3" spans="2:5" x14ac:dyDescent="0.35">
      <c r="B3" s="4" t="s">
        <v>9</v>
      </c>
      <c r="C3" s="9">
        <v>23.478000000000002</v>
      </c>
      <c r="D3" s="1"/>
      <c r="E3" s="10">
        <f>AVERAGE($D$4:$D$6)</f>
        <v>0.30733823892065421</v>
      </c>
    </row>
    <row r="4" spans="2:5" x14ac:dyDescent="0.35">
      <c r="B4" s="4" t="s">
        <v>15</v>
      </c>
      <c r="C4" s="9">
        <v>33.061999999999998</v>
      </c>
      <c r="D4" s="10">
        <f>(C4-C3)/C3</f>
        <v>0.40821194309566383</v>
      </c>
      <c r="E4" s="10">
        <f t="shared" ref="E4:E7" si="0">AVERAGE($D$4:$D$6)</f>
        <v>0.30733823892065421</v>
      </c>
    </row>
    <row r="5" spans="2:5" x14ac:dyDescent="0.35">
      <c r="B5" s="4" t="s">
        <v>14</v>
      </c>
      <c r="C5" s="9">
        <v>49.201999999999998</v>
      </c>
      <c r="D5" s="10">
        <f t="shared" ref="D5:D6" si="1">(C5-C4)/C4</f>
        <v>0.4881737341963584</v>
      </c>
      <c r="E5" s="10">
        <f t="shared" si="0"/>
        <v>0.30733823892065421</v>
      </c>
    </row>
    <row r="6" spans="2:5" x14ac:dyDescent="0.35">
      <c r="B6" s="4" t="s">
        <v>13</v>
      </c>
      <c r="C6" s="9">
        <v>50.463000000000001</v>
      </c>
      <c r="D6" s="10">
        <f t="shared" si="1"/>
        <v>2.5629039469940305E-2</v>
      </c>
      <c r="E6" s="10">
        <f t="shared" si="0"/>
        <v>0.30733823892065421</v>
      </c>
    </row>
    <row r="7" spans="2:5" x14ac:dyDescent="0.35">
      <c r="B7" s="4" t="s">
        <v>12</v>
      </c>
      <c r="C7" s="9">
        <v>165.69800000000001</v>
      </c>
      <c r="D7" s="10">
        <f>(C7-C6)/C6</f>
        <v>2.283554287299606</v>
      </c>
      <c r="E7" s="10">
        <f t="shared" si="0"/>
        <v>0.30733823892065421</v>
      </c>
    </row>
    <row r="8" spans="2:5" x14ac:dyDescent="0.35">
      <c r="B8" s="11" t="s">
        <v>11</v>
      </c>
      <c r="C8" s="9">
        <f>C7*E3+C7</f>
        <v>216.62333151267455</v>
      </c>
      <c r="D8" s="12">
        <f>(C8-C7)/C7</f>
        <v>0.30733823892065409</v>
      </c>
      <c r="E8" s="1"/>
    </row>
    <row r="10" spans="2:5" ht="58" customHeight="1" x14ac:dyDescent="0.35">
      <c r="B10" s="280" t="s">
        <v>574</v>
      </c>
      <c r="C10" s="280"/>
      <c r="D10" s="280"/>
      <c r="E10" s="280"/>
    </row>
  </sheetData>
  <mergeCells count="1">
    <mergeCell ref="B10:E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766C-A5A5-40DD-AEBB-7390A25483D0}">
  <sheetPr>
    <tabColor theme="5" tint="0.59999389629810485"/>
  </sheetPr>
  <dimension ref="A2:X13"/>
  <sheetViews>
    <sheetView showGridLines="0" zoomScale="74" workbookViewId="0">
      <selection activeCell="I17" sqref="I17"/>
    </sheetView>
  </sheetViews>
  <sheetFormatPr defaultRowHeight="14.5" x14ac:dyDescent="0.35"/>
  <cols>
    <col min="2" max="2" width="24.81640625" bestFit="1" customWidth="1"/>
    <col min="3" max="3" width="7.81640625" bestFit="1" customWidth="1"/>
    <col min="4" max="4" width="7.7265625" bestFit="1" customWidth="1"/>
    <col min="5" max="6" width="12.453125" bestFit="1" customWidth="1"/>
    <col min="7" max="7" width="8.6328125" bestFit="1" customWidth="1"/>
    <col min="8" max="8" width="6.26953125" bestFit="1" customWidth="1"/>
    <col min="9" max="9" width="13.26953125" bestFit="1" customWidth="1"/>
  </cols>
  <sheetData>
    <row r="2" spans="1:24" x14ac:dyDescent="0.35">
      <c r="A2" s="279" t="s">
        <v>160</v>
      </c>
      <c r="B2" s="279"/>
      <c r="C2" s="279"/>
      <c r="D2" s="279"/>
      <c r="E2" s="279"/>
      <c r="F2" s="279"/>
      <c r="G2" s="279"/>
      <c r="H2" s="279"/>
      <c r="I2" s="279"/>
      <c r="J2" s="279"/>
      <c r="K2" s="279"/>
      <c r="L2" s="279"/>
      <c r="M2" s="279"/>
      <c r="N2" s="279"/>
      <c r="O2" s="279"/>
      <c r="P2" s="279"/>
      <c r="Q2" s="279"/>
      <c r="R2" s="279"/>
      <c r="S2" s="279"/>
      <c r="T2" s="279"/>
      <c r="U2" s="279"/>
      <c r="V2" s="279"/>
      <c r="W2" s="279"/>
      <c r="X2" s="279"/>
    </row>
    <row r="3" spans="1:24" x14ac:dyDescent="0.35">
      <c r="A3" s="279"/>
      <c r="B3" s="279"/>
      <c r="C3" s="279"/>
      <c r="D3" s="279"/>
      <c r="E3" s="279"/>
      <c r="F3" s="279"/>
      <c r="G3" s="279"/>
      <c r="H3" s="279"/>
      <c r="I3" s="279"/>
      <c r="J3" s="279"/>
      <c r="K3" s="279"/>
      <c r="L3" s="279"/>
      <c r="M3" s="279"/>
      <c r="N3" s="279"/>
      <c r="O3" s="279"/>
      <c r="P3" s="279"/>
      <c r="Q3" s="279"/>
      <c r="R3" s="279"/>
      <c r="S3" s="279"/>
      <c r="T3" s="279"/>
      <c r="U3" s="279"/>
      <c r="V3" s="279"/>
      <c r="W3" s="279"/>
      <c r="X3" s="279"/>
    </row>
    <row r="4" spans="1:24" ht="15" thickBot="1" x14ac:dyDescent="0.4"/>
    <row r="5" spans="1:24" ht="15" thickBot="1" x14ac:dyDescent="0.4">
      <c r="B5" s="18" t="s">
        <v>0</v>
      </c>
      <c r="C5" s="22" t="s">
        <v>6</v>
      </c>
      <c r="D5" s="7" t="s">
        <v>20</v>
      </c>
      <c r="E5" s="16" t="s">
        <v>21</v>
      </c>
      <c r="F5" s="7" t="s">
        <v>18</v>
      </c>
      <c r="G5" s="16" t="s">
        <v>24</v>
      </c>
      <c r="H5" s="7" t="s">
        <v>22</v>
      </c>
      <c r="I5" s="17" t="s">
        <v>23</v>
      </c>
    </row>
    <row r="6" spans="1:24" x14ac:dyDescent="0.35">
      <c r="B6" s="19" t="s">
        <v>9</v>
      </c>
      <c r="C6" s="23">
        <v>23.478000000000002</v>
      </c>
      <c r="D6" s="15">
        <v>10.923999999999999</v>
      </c>
      <c r="E6" s="26">
        <f>D6/C6</f>
        <v>0.46528665133316288</v>
      </c>
      <c r="F6" s="27">
        <v>5.782</v>
      </c>
      <c r="G6" s="26">
        <f>F6/C6</f>
        <v>0.246273106738223</v>
      </c>
      <c r="H6" s="27">
        <v>7.7590000000000003</v>
      </c>
      <c r="I6" s="28">
        <f>H6/C6</f>
        <v>0.33047959792145837</v>
      </c>
    </row>
    <row r="7" spans="1:24" x14ac:dyDescent="0.35">
      <c r="B7" s="20" t="s">
        <v>15</v>
      </c>
      <c r="C7" s="24">
        <v>33.061999999999998</v>
      </c>
      <c r="D7" s="13">
        <v>11.19</v>
      </c>
      <c r="E7" s="29">
        <f t="shared" ref="E7:E10" si="0">D7/C7</f>
        <v>0.33845502389450127</v>
      </c>
      <c r="F7" s="30">
        <v>6.8769999999999998</v>
      </c>
      <c r="G7" s="29">
        <f t="shared" ref="G7:G9" si="1">F7/C7</f>
        <v>0.20800314560522656</v>
      </c>
      <c r="H7" s="30">
        <v>9.6850000000000005</v>
      </c>
      <c r="I7" s="31">
        <f t="shared" ref="I7:I10" si="2">H7/C7</f>
        <v>0.29293448672191641</v>
      </c>
    </row>
    <row r="8" spans="1:24" x14ac:dyDescent="0.35">
      <c r="B8" s="20" t="s">
        <v>14</v>
      </c>
      <c r="C8" s="24">
        <v>49.201999999999998</v>
      </c>
      <c r="D8" s="13">
        <v>15.664</v>
      </c>
      <c r="E8" s="29">
        <f t="shared" si="0"/>
        <v>0.31836104223405554</v>
      </c>
      <c r="F8" s="30">
        <v>7.452</v>
      </c>
      <c r="G8" s="29">
        <f t="shared" si="1"/>
        <v>0.15145725783504735</v>
      </c>
      <c r="H8" s="30">
        <v>11.657</v>
      </c>
      <c r="I8" s="31">
        <f t="shared" si="2"/>
        <v>0.23692126336327793</v>
      </c>
    </row>
    <row r="9" spans="1:24" x14ac:dyDescent="0.35">
      <c r="B9" s="20" t="s">
        <v>13</v>
      </c>
      <c r="C9" s="24">
        <v>50.463000000000001</v>
      </c>
      <c r="D9" s="13">
        <v>23.738</v>
      </c>
      <c r="E9" s="29">
        <f t="shared" si="0"/>
        <v>0.47040405841903965</v>
      </c>
      <c r="F9" s="30">
        <v>9.4280000000000008</v>
      </c>
      <c r="G9" s="29">
        <f t="shared" si="1"/>
        <v>0.18682995462021681</v>
      </c>
      <c r="H9" s="30">
        <v>14.613</v>
      </c>
      <c r="I9" s="31">
        <f t="shared" si="2"/>
        <v>0.28957850306164912</v>
      </c>
    </row>
    <row r="10" spans="1:24" x14ac:dyDescent="0.35">
      <c r="B10" s="20" t="s">
        <v>12</v>
      </c>
      <c r="C10" s="24">
        <v>165.69800000000001</v>
      </c>
      <c r="D10" s="13">
        <v>126.249</v>
      </c>
      <c r="E10" s="29">
        <f t="shared" si="0"/>
        <v>0.76192229236321496</v>
      </c>
      <c r="F10" s="30">
        <v>10.278</v>
      </c>
      <c r="G10" s="29">
        <f>F10/C10</f>
        <v>6.2028509698366908E-2</v>
      </c>
      <c r="H10" s="30">
        <v>35.610999999999997</v>
      </c>
      <c r="I10" s="31">
        <f t="shared" si="2"/>
        <v>0.21491508648263705</v>
      </c>
    </row>
    <row r="11" spans="1:24" ht="15" thickBot="1" x14ac:dyDescent="0.4">
      <c r="B11" s="21" t="s">
        <v>11</v>
      </c>
      <c r="C11" s="25">
        <v>216.62333151267455</v>
      </c>
      <c r="D11" s="14"/>
      <c r="E11" s="32">
        <f>AVERAGE(E6:E9)</f>
        <v>0.39812669397018985</v>
      </c>
      <c r="F11" s="32"/>
      <c r="G11" s="32">
        <f>AVERAGE(G9:G10)</f>
        <v>0.12442923215929186</v>
      </c>
      <c r="H11" s="32"/>
      <c r="I11" s="32">
        <f t="shared" ref="I11" si="3">AVERAGE(I6:I10)</f>
        <v>0.27296578751018774</v>
      </c>
    </row>
    <row r="12" spans="1:24" x14ac:dyDescent="0.35">
      <c r="B12" s="61"/>
      <c r="C12" s="62"/>
      <c r="D12" s="63"/>
      <c r="E12" s="64"/>
      <c r="F12" s="64"/>
      <c r="G12" s="64"/>
      <c r="H12" s="64"/>
      <c r="I12" s="64"/>
    </row>
    <row r="13" spans="1:24" x14ac:dyDescent="0.35">
      <c r="B13" s="61"/>
      <c r="C13" s="62"/>
      <c r="D13" s="63"/>
      <c r="E13" s="64"/>
      <c r="F13" s="64"/>
      <c r="G13" s="64"/>
      <c r="H13" s="64"/>
      <c r="I13" s="64"/>
    </row>
  </sheetData>
  <mergeCells count="1">
    <mergeCell ref="A2:X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6019-E647-4F0C-A086-F28787C62991}">
  <sheetPr>
    <outlinePr summaryBelow="0" summaryRight="0"/>
    <pageSetUpPr autoPageBreaks="0"/>
  </sheetPr>
  <dimension ref="A5:IU81"/>
  <sheetViews>
    <sheetView workbookViewId="0">
      <selection activeCell="A19" sqref="A19"/>
    </sheetView>
  </sheetViews>
  <sheetFormatPr defaultRowHeight="10" x14ac:dyDescent="0.2"/>
  <cols>
    <col min="1" max="1" width="45.81640625" style="75" customWidth="1"/>
    <col min="2" max="13" width="14.81640625" style="75" customWidth="1"/>
    <col min="14" max="256" width="8.7265625" style="75"/>
    <col min="257" max="257" width="45.81640625" style="75" customWidth="1"/>
    <col min="258" max="269" width="14.81640625" style="75" customWidth="1"/>
    <col min="270" max="512" width="8.7265625" style="75"/>
    <col min="513" max="513" width="45.81640625" style="75" customWidth="1"/>
    <col min="514" max="525" width="14.81640625" style="75" customWidth="1"/>
    <col min="526" max="768" width="8.7265625" style="75"/>
    <col min="769" max="769" width="45.81640625" style="75" customWidth="1"/>
    <col min="770" max="781" width="14.81640625" style="75" customWidth="1"/>
    <col min="782" max="1024" width="8.7265625" style="75"/>
    <col min="1025" max="1025" width="45.81640625" style="75" customWidth="1"/>
    <col min="1026" max="1037" width="14.81640625" style="75" customWidth="1"/>
    <col min="1038" max="1280" width="8.7265625" style="75"/>
    <col min="1281" max="1281" width="45.81640625" style="75" customWidth="1"/>
    <col min="1282" max="1293" width="14.81640625" style="75" customWidth="1"/>
    <col min="1294" max="1536" width="8.7265625" style="75"/>
    <col min="1537" max="1537" width="45.81640625" style="75" customWidth="1"/>
    <col min="1538" max="1549" width="14.81640625" style="75" customWidth="1"/>
    <col min="1550" max="1792" width="8.7265625" style="75"/>
    <col min="1793" max="1793" width="45.81640625" style="75" customWidth="1"/>
    <col min="1794" max="1805" width="14.81640625" style="75" customWidth="1"/>
    <col min="1806" max="2048" width="8.7265625" style="75"/>
    <col min="2049" max="2049" width="45.81640625" style="75" customWidth="1"/>
    <col min="2050" max="2061" width="14.81640625" style="75" customWidth="1"/>
    <col min="2062" max="2304" width="8.7265625" style="75"/>
    <col min="2305" max="2305" width="45.81640625" style="75" customWidth="1"/>
    <col min="2306" max="2317" width="14.81640625" style="75" customWidth="1"/>
    <col min="2318" max="2560" width="8.7265625" style="75"/>
    <col min="2561" max="2561" width="45.81640625" style="75" customWidth="1"/>
    <col min="2562" max="2573" width="14.81640625" style="75" customWidth="1"/>
    <col min="2574" max="2816" width="8.7265625" style="75"/>
    <col min="2817" max="2817" width="45.81640625" style="75" customWidth="1"/>
    <col min="2818" max="2829" width="14.81640625" style="75" customWidth="1"/>
    <col min="2830" max="3072" width="8.7265625" style="75"/>
    <col min="3073" max="3073" width="45.81640625" style="75" customWidth="1"/>
    <col min="3074" max="3085" width="14.81640625" style="75" customWidth="1"/>
    <col min="3086" max="3328" width="8.7265625" style="75"/>
    <col min="3329" max="3329" width="45.81640625" style="75" customWidth="1"/>
    <col min="3330" max="3341" width="14.81640625" style="75" customWidth="1"/>
    <col min="3342" max="3584" width="8.7265625" style="75"/>
    <col min="3585" max="3585" width="45.81640625" style="75" customWidth="1"/>
    <col min="3586" max="3597" width="14.81640625" style="75" customWidth="1"/>
    <col min="3598" max="3840" width="8.7265625" style="75"/>
    <col min="3841" max="3841" width="45.81640625" style="75" customWidth="1"/>
    <col min="3842" max="3853" width="14.81640625" style="75" customWidth="1"/>
    <col min="3854" max="4096" width="8.7265625" style="75"/>
    <col min="4097" max="4097" width="45.81640625" style="75" customWidth="1"/>
    <col min="4098" max="4109" width="14.81640625" style="75" customWidth="1"/>
    <col min="4110" max="4352" width="8.7265625" style="75"/>
    <col min="4353" max="4353" width="45.81640625" style="75" customWidth="1"/>
    <col min="4354" max="4365" width="14.81640625" style="75" customWidth="1"/>
    <col min="4366" max="4608" width="8.7265625" style="75"/>
    <col min="4609" max="4609" width="45.81640625" style="75" customWidth="1"/>
    <col min="4610" max="4621" width="14.81640625" style="75" customWidth="1"/>
    <col min="4622" max="4864" width="8.7265625" style="75"/>
    <col min="4865" max="4865" width="45.81640625" style="75" customWidth="1"/>
    <col min="4866" max="4877" width="14.81640625" style="75" customWidth="1"/>
    <col min="4878" max="5120" width="8.7265625" style="75"/>
    <col min="5121" max="5121" width="45.81640625" style="75" customWidth="1"/>
    <col min="5122" max="5133" width="14.81640625" style="75" customWidth="1"/>
    <col min="5134" max="5376" width="8.7265625" style="75"/>
    <col min="5377" max="5377" width="45.81640625" style="75" customWidth="1"/>
    <col min="5378" max="5389" width="14.81640625" style="75" customWidth="1"/>
    <col min="5390" max="5632" width="8.7265625" style="75"/>
    <col min="5633" max="5633" width="45.81640625" style="75" customWidth="1"/>
    <col min="5634" max="5645" width="14.81640625" style="75" customWidth="1"/>
    <col min="5646" max="5888" width="8.7265625" style="75"/>
    <col min="5889" max="5889" width="45.81640625" style="75" customWidth="1"/>
    <col min="5890" max="5901" width="14.81640625" style="75" customWidth="1"/>
    <col min="5902" max="6144" width="8.7265625" style="75"/>
    <col min="6145" max="6145" width="45.81640625" style="75" customWidth="1"/>
    <col min="6146" max="6157" width="14.81640625" style="75" customWidth="1"/>
    <col min="6158" max="6400" width="8.7265625" style="75"/>
    <col min="6401" max="6401" width="45.81640625" style="75" customWidth="1"/>
    <col min="6402" max="6413" width="14.81640625" style="75" customWidth="1"/>
    <col min="6414" max="6656" width="8.7265625" style="75"/>
    <col min="6657" max="6657" width="45.81640625" style="75" customWidth="1"/>
    <col min="6658" max="6669" width="14.81640625" style="75" customWidth="1"/>
    <col min="6670" max="6912" width="8.7265625" style="75"/>
    <col min="6913" max="6913" width="45.81640625" style="75" customWidth="1"/>
    <col min="6914" max="6925" width="14.81640625" style="75" customWidth="1"/>
    <col min="6926" max="7168" width="8.7265625" style="75"/>
    <col min="7169" max="7169" width="45.81640625" style="75" customWidth="1"/>
    <col min="7170" max="7181" width="14.81640625" style="75" customWidth="1"/>
    <col min="7182" max="7424" width="8.7265625" style="75"/>
    <col min="7425" max="7425" width="45.81640625" style="75" customWidth="1"/>
    <col min="7426" max="7437" width="14.81640625" style="75" customWidth="1"/>
    <col min="7438" max="7680" width="8.7265625" style="75"/>
    <col min="7681" max="7681" width="45.81640625" style="75" customWidth="1"/>
    <col min="7682" max="7693" width="14.81640625" style="75" customWidth="1"/>
    <col min="7694" max="7936" width="8.7265625" style="75"/>
    <col min="7937" max="7937" width="45.81640625" style="75" customWidth="1"/>
    <col min="7938" max="7949" width="14.81640625" style="75" customWidth="1"/>
    <col min="7950" max="8192" width="8.7265625" style="75"/>
    <col min="8193" max="8193" width="45.81640625" style="75" customWidth="1"/>
    <col min="8194" max="8205" width="14.81640625" style="75" customWidth="1"/>
    <col min="8206" max="8448" width="8.7265625" style="75"/>
    <col min="8449" max="8449" width="45.81640625" style="75" customWidth="1"/>
    <col min="8450" max="8461" width="14.81640625" style="75" customWidth="1"/>
    <col min="8462" max="8704" width="8.7265625" style="75"/>
    <col min="8705" max="8705" width="45.81640625" style="75" customWidth="1"/>
    <col min="8706" max="8717" width="14.81640625" style="75" customWidth="1"/>
    <col min="8718" max="8960" width="8.7265625" style="75"/>
    <col min="8961" max="8961" width="45.81640625" style="75" customWidth="1"/>
    <col min="8962" max="8973" width="14.81640625" style="75" customWidth="1"/>
    <col min="8974" max="9216" width="8.7265625" style="75"/>
    <col min="9217" max="9217" width="45.81640625" style="75" customWidth="1"/>
    <col min="9218" max="9229" width="14.81640625" style="75" customWidth="1"/>
    <col min="9230" max="9472" width="8.7265625" style="75"/>
    <col min="9473" max="9473" width="45.81640625" style="75" customWidth="1"/>
    <col min="9474" max="9485" width="14.81640625" style="75" customWidth="1"/>
    <col min="9486" max="9728" width="8.7265625" style="75"/>
    <col min="9729" max="9729" width="45.81640625" style="75" customWidth="1"/>
    <col min="9730" max="9741" width="14.81640625" style="75" customWidth="1"/>
    <col min="9742" max="9984" width="8.7265625" style="75"/>
    <col min="9985" max="9985" width="45.81640625" style="75" customWidth="1"/>
    <col min="9986" max="9997" width="14.81640625" style="75" customWidth="1"/>
    <col min="9998" max="10240" width="8.7265625" style="75"/>
    <col min="10241" max="10241" width="45.81640625" style="75" customWidth="1"/>
    <col min="10242" max="10253" width="14.81640625" style="75" customWidth="1"/>
    <col min="10254" max="10496" width="8.7265625" style="75"/>
    <col min="10497" max="10497" width="45.81640625" style="75" customWidth="1"/>
    <col min="10498" max="10509" width="14.81640625" style="75" customWidth="1"/>
    <col min="10510" max="10752" width="8.7265625" style="75"/>
    <col min="10753" max="10753" width="45.81640625" style="75" customWidth="1"/>
    <col min="10754" max="10765" width="14.81640625" style="75" customWidth="1"/>
    <col min="10766" max="11008" width="8.7265625" style="75"/>
    <col min="11009" max="11009" width="45.81640625" style="75" customWidth="1"/>
    <col min="11010" max="11021" width="14.81640625" style="75" customWidth="1"/>
    <col min="11022" max="11264" width="8.7265625" style="75"/>
    <col min="11265" max="11265" width="45.81640625" style="75" customWidth="1"/>
    <col min="11266" max="11277" width="14.81640625" style="75" customWidth="1"/>
    <col min="11278" max="11520" width="8.7265625" style="75"/>
    <col min="11521" max="11521" width="45.81640625" style="75" customWidth="1"/>
    <col min="11522" max="11533" width="14.81640625" style="75" customWidth="1"/>
    <col min="11534" max="11776" width="8.7265625" style="75"/>
    <col min="11777" max="11777" width="45.81640625" style="75" customWidth="1"/>
    <col min="11778" max="11789" width="14.81640625" style="75" customWidth="1"/>
    <col min="11790" max="12032" width="8.7265625" style="75"/>
    <col min="12033" max="12033" width="45.81640625" style="75" customWidth="1"/>
    <col min="12034" max="12045" width="14.81640625" style="75" customWidth="1"/>
    <col min="12046" max="12288" width="8.7265625" style="75"/>
    <col min="12289" max="12289" width="45.81640625" style="75" customWidth="1"/>
    <col min="12290" max="12301" width="14.81640625" style="75" customWidth="1"/>
    <col min="12302" max="12544" width="8.7265625" style="75"/>
    <col min="12545" max="12545" width="45.81640625" style="75" customWidth="1"/>
    <col min="12546" max="12557" width="14.81640625" style="75" customWidth="1"/>
    <col min="12558" max="12800" width="8.7265625" style="75"/>
    <col min="12801" max="12801" width="45.81640625" style="75" customWidth="1"/>
    <col min="12802" max="12813" width="14.81640625" style="75" customWidth="1"/>
    <col min="12814" max="13056" width="8.7265625" style="75"/>
    <col min="13057" max="13057" width="45.81640625" style="75" customWidth="1"/>
    <col min="13058" max="13069" width="14.81640625" style="75" customWidth="1"/>
    <col min="13070" max="13312" width="8.7265625" style="75"/>
    <col min="13313" max="13313" width="45.81640625" style="75" customWidth="1"/>
    <col min="13314" max="13325" width="14.81640625" style="75" customWidth="1"/>
    <col min="13326" max="13568" width="8.7265625" style="75"/>
    <col min="13569" max="13569" width="45.81640625" style="75" customWidth="1"/>
    <col min="13570" max="13581" width="14.81640625" style="75" customWidth="1"/>
    <col min="13582" max="13824" width="8.7265625" style="75"/>
    <col min="13825" max="13825" width="45.81640625" style="75" customWidth="1"/>
    <col min="13826" max="13837" width="14.81640625" style="75" customWidth="1"/>
    <col min="13838" max="14080" width="8.7265625" style="75"/>
    <col min="14081" max="14081" width="45.81640625" style="75" customWidth="1"/>
    <col min="14082" max="14093" width="14.81640625" style="75" customWidth="1"/>
    <col min="14094" max="14336" width="8.7265625" style="75"/>
    <col min="14337" max="14337" width="45.81640625" style="75" customWidth="1"/>
    <col min="14338" max="14349" width="14.81640625" style="75" customWidth="1"/>
    <col min="14350" max="14592" width="8.7265625" style="75"/>
    <col min="14593" max="14593" width="45.81640625" style="75" customWidth="1"/>
    <col min="14594" max="14605" width="14.81640625" style="75" customWidth="1"/>
    <col min="14606" max="14848" width="8.7265625" style="75"/>
    <col min="14849" max="14849" width="45.81640625" style="75" customWidth="1"/>
    <col min="14850" max="14861" width="14.81640625" style="75" customWidth="1"/>
    <col min="14862" max="15104" width="8.7265625" style="75"/>
    <col min="15105" max="15105" width="45.81640625" style="75" customWidth="1"/>
    <col min="15106" max="15117" width="14.81640625" style="75" customWidth="1"/>
    <col min="15118" max="15360" width="8.7265625" style="75"/>
    <col min="15361" max="15361" width="45.81640625" style="75" customWidth="1"/>
    <col min="15362" max="15373" width="14.81640625" style="75" customWidth="1"/>
    <col min="15374" max="15616" width="8.7265625" style="75"/>
    <col min="15617" max="15617" width="45.81640625" style="75" customWidth="1"/>
    <col min="15618" max="15629" width="14.81640625" style="75" customWidth="1"/>
    <col min="15630" max="15872" width="8.7265625" style="75"/>
    <col min="15873" max="15873" width="45.81640625" style="75" customWidth="1"/>
    <col min="15874" max="15885" width="14.81640625" style="75" customWidth="1"/>
    <col min="15886" max="16128" width="8.7265625" style="75"/>
    <col min="16129" max="16129" width="45.81640625" style="75" customWidth="1"/>
    <col min="16130" max="16141" width="14.81640625" style="75" customWidth="1"/>
    <col min="16142" max="16384" width="8.7265625" style="75"/>
  </cols>
  <sheetData>
    <row r="5" spans="1:255" ht="17" x14ac:dyDescent="0.35">
      <c r="A5" s="74" t="s">
        <v>334</v>
      </c>
    </row>
    <row r="7" spans="1:255" ht="10.5" x14ac:dyDescent="0.25">
      <c r="A7" s="78"/>
      <c r="B7" s="77" t="s">
        <v>335</v>
      </c>
      <c r="C7" s="75" t="s">
        <v>336</v>
      </c>
      <c r="D7" s="78" t="s">
        <v>177</v>
      </c>
      <c r="E7" s="77" t="s">
        <v>337</v>
      </c>
      <c r="F7" s="75" t="s">
        <v>338</v>
      </c>
    </row>
    <row r="8" spans="1:255" ht="10.5" x14ac:dyDescent="0.25">
      <c r="A8" s="78"/>
      <c r="B8" s="77" t="s">
        <v>180</v>
      </c>
      <c r="C8" s="75" t="s">
        <v>181</v>
      </c>
      <c r="D8" s="78" t="s">
        <v>177</v>
      </c>
      <c r="E8" s="77" t="s">
        <v>184</v>
      </c>
      <c r="F8" s="79" t="s">
        <v>185</v>
      </c>
    </row>
    <row r="9" spans="1:255" ht="10.5" x14ac:dyDescent="0.25">
      <c r="A9" s="78"/>
      <c r="B9" s="77" t="s">
        <v>186</v>
      </c>
      <c r="C9" s="75" t="s">
        <v>187</v>
      </c>
      <c r="D9" s="78" t="s">
        <v>177</v>
      </c>
      <c r="E9" s="101"/>
      <c r="F9" s="101"/>
    </row>
    <row r="12" spans="1:255" x14ac:dyDescent="0.2">
      <c r="A12" s="80" t="s">
        <v>339</v>
      </c>
      <c r="B12" s="80"/>
      <c r="C12" s="80"/>
      <c r="D12" s="80"/>
      <c r="E12" s="80"/>
      <c r="F12" s="80"/>
      <c r="G12" s="80"/>
      <c r="H12" s="80"/>
      <c r="I12" s="80"/>
      <c r="J12" s="80"/>
      <c r="K12" s="80"/>
      <c r="L12" s="80"/>
      <c r="M12" s="80"/>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row>
    <row r="13" spans="1:255" ht="13.5" x14ac:dyDescent="0.55000000000000004">
      <c r="A13" s="134"/>
      <c r="B13" s="135"/>
      <c r="C13" s="135"/>
      <c r="D13" s="135"/>
      <c r="E13" s="135"/>
      <c r="F13" s="135"/>
      <c r="G13" s="135"/>
      <c r="H13" s="135"/>
      <c r="I13" s="135"/>
      <c r="J13" s="135"/>
      <c r="K13" s="135"/>
      <c r="L13" s="135"/>
      <c r="M13" s="135"/>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row>
    <row r="14" spans="1:255" ht="10.5" x14ac:dyDescent="0.25">
      <c r="A14" s="136" t="s">
        <v>340</v>
      </c>
      <c r="B14" s="137"/>
      <c r="C14" s="138">
        <v>44196</v>
      </c>
      <c r="D14" s="138">
        <v>44286</v>
      </c>
      <c r="E14" s="138">
        <v>44377</v>
      </c>
      <c r="F14" s="138">
        <v>44469</v>
      </c>
      <c r="G14" s="138">
        <v>44561</v>
      </c>
      <c r="H14" s="138">
        <v>44651</v>
      </c>
      <c r="I14" s="138">
        <v>44742</v>
      </c>
      <c r="J14" s="138">
        <v>44834</v>
      </c>
      <c r="K14" s="138">
        <v>44926</v>
      </c>
      <c r="L14" s="138">
        <v>45016</v>
      </c>
      <c r="M14" s="138">
        <v>45067</v>
      </c>
    </row>
    <row r="15" spans="1:255" ht="10.5" x14ac:dyDescent="0.25">
      <c r="A15" s="136" t="s">
        <v>341</v>
      </c>
      <c r="B15" s="139" t="s">
        <v>153</v>
      </c>
      <c r="C15" s="140">
        <v>13.036635137931034</v>
      </c>
      <c r="D15" s="140">
        <v>15.656502327868852</v>
      </c>
      <c r="E15" s="140">
        <v>24.302907714285713</v>
      </c>
      <c r="F15" s="140">
        <v>21.186099406250001</v>
      </c>
      <c r="G15" s="140">
        <v>16.189681125</v>
      </c>
      <c r="H15" s="140">
        <v>9.7918540806451606</v>
      </c>
      <c r="I15" s="140">
        <v>6.4820159677419351</v>
      </c>
      <c r="J15" s="140">
        <v>7.7695301250000002</v>
      </c>
      <c r="K15" s="140">
        <v>6.2936089682539684</v>
      </c>
      <c r="L15" s="140">
        <v>4.1355756290322576</v>
      </c>
      <c r="M15" s="140">
        <v>3.6881423529411763</v>
      </c>
    </row>
    <row r="16" spans="1:255" ht="10.5" x14ac:dyDescent="0.25">
      <c r="A16" s="139"/>
      <c r="B16" s="139" t="s">
        <v>342</v>
      </c>
      <c r="C16" s="141">
        <v>19.428038999999998</v>
      </c>
      <c r="D16" s="141">
        <v>18.592759000000001</v>
      </c>
      <c r="E16" s="141">
        <v>33.118782000000003</v>
      </c>
      <c r="F16" s="141">
        <v>28.065069999999999</v>
      </c>
      <c r="G16" s="141">
        <v>19.782225</v>
      </c>
      <c r="H16" s="141">
        <v>13.84389</v>
      </c>
      <c r="I16" s="141">
        <v>7.622528</v>
      </c>
      <c r="J16" s="141">
        <v>9.4577050000000007</v>
      </c>
      <c r="K16" s="141">
        <v>9.2434390000000004</v>
      </c>
      <c r="L16" s="141">
        <v>5.0081230000000003</v>
      </c>
      <c r="M16" s="141">
        <v>5.4718689999999999</v>
      </c>
    </row>
    <row r="17" spans="1:13" ht="10.5" x14ac:dyDescent="0.25">
      <c r="A17" s="139"/>
      <c r="B17" s="139" t="s">
        <v>343</v>
      </c>
      <c r="C17" s="141">
        <v>10.440341999999999</v>
      </c>
      <c r="D17" s="141">
        <v>12.869172000000001</v>
      </c>
      <c r="E17" s="141">
        <v>15.353414000000001</v>
      </c>
      <c r="F17" s="141">
        <v>16.544736</v>
      </c>
      <c r="G17" s="141">
        <v>12.064833</v>
      </c>
      <c r="H17" s="141">
        <v>5.6198360000000003</v>
      </c>
      <c r="I17" s="141">
        <v>5.2111729999999996</v>
      </c>
      <c r="J17" s="141">
        <v>6.0318699999999996</v>
      </c>
      <c r="K17" s="141">
        <v>4.0524589999999998</v>
      </c>
      <c r="L17" s="141">
        <v>3.257514</v>
      </c>
      <c r="M17" s="141">
        <v>3.035094</v>
      </c>
    </row>
    <row r="18" spans="1:13" ht="10.5" x14ac:dyDescent="0.25">
      <c r="A18" s="139"/>
      <c r="B18" s="139" t="s">
        <v>344</v>
      </c>
      <c r="C18" s="141">
        <v>19.428038999999998</v>
      </c>
      <c r="D18" s="141">
        <v>15.45618</v>
      </c>
      <c r="E18" s="141">
        <v>28.205321000000001</v>
      </c>
      <c r="F18" s="141">
        <v>16.912958</v>
      </c>
      <c r="G18" s="141">
        <v>13.052111999999999</v>
      </c>
      <c r="H18" s="141">
        <v>7.3342619999999998</v>
      </c>
      <c r="I18" s="141">
        <v>6.4333239999999998</v>
      </c>
      <c r="J18" s="141">
        <v>7.1095230000000003</v>
      </c>
      <c r="K18" s="141">
        <v>4.1583819999999996</v>
      </c>
      <c r="L18" s="141">
        <v>3.410428</v>
      </c>
      <c r="M18" s="141">
        <v>5.4584039999999998</v>
      </c>
    </row>
    <row r="19" spans="1:13" ht="10.5" x14ac:dyDescent="0.25">
      <c r="A19" s="136"/>
      <c r="B19" s="139"/>
      <c r="C19" s="139"/>
      <c r="D19" s="139"/>
      <c r="E19" s="139"/>
      <c r="F19" s="139"/>
      <c r="G19" s="139"/>
      <c r="H19" s="139"/>
      <c r="I19" s="139"/>
      <c r="J19" s="139"/>
      <c r="K19" s="139"/>
      <c r="L19" s="139"/>
      <c r="M19" s="139"/>
    </row>
    <row r="20" spans="1:13" ht="10.5" x14ac:dyDescent="0.25">
      <c r="A20" s="136" t="s">
        <v>345</v>
      </c>
      <c r="B20" s="139" t="s">
        <v>153</v>
      </c>
      <c r="C20" s="140">
        <v>11.791017999999999</v>
      </c>
      <c r="D20" s="140">
        <v>11.649231</v>
      </c>
      <c r="E20" s="140">
        <v>17.388338000000001</v>
      </c>
      <c r="F20" s="140">
        <v>14.559381</v>
      </c>
      <c r="G20" s="140">
        <v>10.146278000000001</v>
      </c>
      <c r="H20" s="140">
        <v>5.6833910000000003</v>
      </c>
      <c r="I20" s="140">
        <v>3.4218549999999999</v>
      </c>
      <c r="J20" s="140">
        <v>1.639305</v>
      </c>
      <c r="K20" s="140">
        <v>1.6368149999999999</v>
      </c>
      <c r="L20" s="140">
        <v>1.7626520000000001</v>
      </c>
      <c r="M20" s="140">
        <v>2.6156329999999999</v>
      </c>
    </row>
    <row r="21" spans="1:13" ht="10.5" x14ac:dyDescent="0.25">
      <c r="A21" s="139"/>
      <c r="B21" s="139" t="s">
        <v>342</v>
      </c>
      <c r="C21" s="141">
        <v>14.558581</v>
      </c>
      <c r="D21" s="141">
        <v>13.466818</v>
      </c>
      <c r="E21" s="141">
        <v>23.349091999999999</v>
      </c>
      <c r="F21" s="141">
        <v>19.786171</v>
      </c>
      <c r="G21" s="141">
        <v>12.954252</v>
      </c>
      <c r="H21" s="141">
        <v>8.1630979999999997</v>
      </c>
      <c r="I21" s="141">
        <v>4.1297430000000004</v>
      </c>
      <c r="J21" s="141">
        <v>3.2916059999999998</v>
      </c>
      <c r="K21" s="141">
        <v>1.9573510000000001</v>
      </c>
      <c r="L21" s="141">
        <v>2.3402319999999999</v>
      </c>
      <c r="M21" s="141">
        <v>4.3268899999999997</v>
      </c>
    </row>
    <row r="22" spans="1:13" ht="10.5" x14ac:dyDescent="0.25">
      <c r="A22" s="139"/>
      <c r="B22" s="139" t="s">
        <v>343</v>
      </c>
      <c r="C22" s="141">
        <v>8.1684900000000003</v>
      </c>
      <c r="D22" s="141">
        <v>9.7553269999999994</v>
      </c>
      <c r="E22" s="141">
        <v>11.120545999999999</v>
      </c>
      <c r="F22" s="141">
        <v>11.064226</v>
      </c>
      <c r="G22" s="141">
        <v>7.114071</v>
      </c>
      <c r="H22" s="141">
        <v>3.0293079999999999</v>
      </c>
      <c r="I22" s="141">
        <v>2.795388</v>
      </c>
      <c r="J22" s="141">
        <v>1.2047000000000001</v>
      </c>
      <c r="K22" s="141">
        <v>1.4081920000000001</v>
      </c>
      <c r="L22" s="141">
        <v>1.386304</v>
      </c>
      <c r="M22" s="141">
        <v>2.0419860000000001</v>
      </c>
    </row>
    <row r="23" spans="1:13" ht="10.5" x14ac:dyDescent="0.25">
      <c r="A23" s="139"/>
      <c r="B23" s="139" t="s">
        <v>344</v>
      </c>
      <c r="C23" s="141">
        <v>14.558581</v>
      </c>
      <c r="D23" s="141">
        <v>11.194979</v>
      </c>
      <c r="E23" s="141">
        <v>19.885048999999999</v>
      </c>
      <c r="F23" s="141">
        <v>11.310473</v>
      </c>
      <c r="G23" s="141">
        <v>7.6962229999999998</v>
      </c>
      <c r="H23" s="141">
        <v>3.9534500000000001</v>
      </c>
      <c r="I23" s="141">
        <v>3.3151739999999998</v>
      </c>
      <c r="J23" s="141">
        <v>1.3776870000000001</v>
      </c>
      <c r="K23" s="141">
        <v>1.458807</v>
      </c>
      <c r="L23" s="141">
        <v>2.294508</v>
      </c>
      <c r="M23" s="141">
        <v>4.3268899999999997</v>
      </c>
    </row>
    <row r="24" spans="1:13" ht="10.5" x14ac:dyDescent="0.25">
      <c r="A24" s="136"/>
      <c r="B24" s="139"/>
      <c r="C24" s="139"/>
      <c r="D24" s="139"/>
      <c r="E24" s="139"/>
      <c r="F24" s="139"/>
      <c r="G24" s="139"/>
      <c r="H24" s="139"/>
      <c r="I24" s="139"/>
      <c r="J24" s="139"/>
      <c r="K24" s="139"/>
      <c r="L24" s="139"/>
      <c r="M24" s="139"/>
    </row>
    <row r="25" spans="1:13" ht="10.5" x14ac:dyDescent="0.25">
      <c r="A25" s="136" t="s">
        <v>346</v>
      </c>
      <c r="B25" s="139" t="s">
        <v>153</v>
      </c>
      <c r="C25" s="140">
        <v>26.104015793103446</v>
      </c>
      <c r="D25" s="140">
        <v>30.551998819672132</v>
      </c>
      <c r="E25" s="140">
        <v>40.812851047619048</v>
      </c>
      <c r="F25" s="140">
        <v>33.888538468749999</v>
      </c>
      <c r="G25" s="140">
        <v>26.874125109375001</v>
      </c>
      <c r="H25" s="140">
        <v>17.436847193548388</v>
      </c>
      <c r="I25" s="140">
        <v>11.576712193548387</v>
      </c>
      <c r="J25" s="140">
        <v>15.607800375</v>
      </c>
      <c r="K25" s="140">
        <v>18.012160206349208</v>
      </c>
      <c r="L25" s="140">
        <v>17.916843483870966</v>
      </c>
      <c r="M25" s="140">
        <v>20.608233764705883</v>
      </c>
    </row>
    <row r="26" spans="1:13" ht="10.5" x14ac:dyDescent="0.25">
      <c r="A26" s="139"/>
      <c r="B26" s="139" t="s">
        <v>342</v>
      </c>
      <c r="C26" s="141">
        <v>38.901896999999998</v>
      </c>
      <c r="D26" s="141">
        <v>35.831009999999999</v>
      </c>
      <c r="E26" s="141">
        <v>53.257731</v>
      </c>
      <c r="F26" s="141">
        <v>45.130944</v>
      </c>
      <c r="G26" s="141">
        <v>34.250664</v>
      </c>
      <c r="H26" s="141">
        <v>23.969114999999999</v>
      </c>
      <c r="I26" s="141">
        <v>15.196573000000001</v>
      </c>
      <c r="J26" s="141">
        <v>20.422432000000001</v>
      </c>
      <c r="K26" s="141">
        <v>21.316285000000001</v>
      </c>
      <c r="L26" s="141">
        <v>20.983416999999999</v>
      </c>
      <c r="M26" s="141">
        <v>27.762385999999999</v>
      </c>
    </row>
    <row r="27" spans="1:13" ht="10.5" x14ac:dyDescent="0.25">
      <c r="A27" s="139"/>
      <c r="B27" s="139" t="s">
        <v>343</v>
      </c>
      <c r="C27" s="141">
        <v>20.905306</v>
      </c>
      <c r="D27" s="141">
        <v>23.321881999999999</v>
      </c>
      <c r="E27" s="141">
        <v>27.823896999999999</v>
      </c>
      <c r="F27" s="141">
        <v>26.162047000000001</v>
      </c>
      <c r="G27" s="141">
        <v>20.888881999999999</v>
      </c>
      <c r="H27" s="141">
        <v>11.203927</v>
      </c>
      <c r="I27" s="141">
        <v>8.8414570000000001</v>
      </c>
      <c r="J27" s="141">
        <v>10.6968</v>
      </c>
      <c r="K27" s="141">
        <v>15.474061000000001</v>
      </c>
      <c r="L27" s="141">
        <v>15.069599999999999</v>
      </c>
      <c r="M27" s="141">
        <v>15.472236000000001</v>
      </c>
    </row>
    <row r="28" spans="1:13" ht="10.5" x14ac:dyDescent="0.25">
      <c r="A28" s="139"/>
      <c r="B28" s="139" t="s">
        <v>344</v>
      </c>
      <c r="C28" s="141">
        <v>38.901896999999998</v>
      </c>
      <c r="D28" s="141">
        <v>28.010131000000001</v>
      </c>
      <c r="E28" s="141">
        <v>45.356479999999998</v>
      </c>
      <c r="F28" s="141">
        <v>26.744313999999999</v>
      </c>
      <c r="G28" s="141">
        <v>22.598241999999999</v>
      </c>
      <c r="H28" s="141">
        <v>14.621874</v>
      </c>
      <c r="I28" s="141">
        <v>11.40873</v>
      </c>
      <c r="J28" s="141">
        <v>15.351901</v>
      </c>
      <c r="K28" s="141">
        <v>15.878522999999999</v>
      </c>
      <c r="L28" s="141">
        <v>19.665268999999999</v>
      </c>
      <c r="M28" s="141">
        <v>27.694067</v>
      </c>
    </row>
    <row r="29" spans="1:13" ht="10.5" x14ac:dyDescent="0.25">
      <c r="A29" s="136"/>
      <c r="B29" s="139"/>
      <c r="C29" s="139"/>
      <c r="D29" s="139"/>
      <c r="E29" s="139"/>
      <c r="F29" s="139"/>
      <c r="G29" s="139"/>
      <c r="H29" s="139"/>
      <c r="I29" s="139"/>
      <c r="J29" s="139"/>
      <c r="K29" s="139"/>
      <c r="L29" s="139"/>
      <c r="M29" s="139"/>
    </row>
    <row r="30" spans="1:13" ht="10.5" x14ac:dyDescent="0.25">
      <c r="A30" s="136" t="s">
        <v>347</v>
      </c>
      <c r="B30" s="139" t="s">
        <v>153</v>
      </c>
      <c r="C30" s="140">
        <v>28.049063</v>
      </c>
      <c r="D30" s="140">
        <v>27.865743999999999</v>
      </c>
      <c r="E30" s="140">
        <v>41.267811000000002</v>
      </c>
      <c r="F30" s="140">
        <v>33.888804</v>
      </c>
      <c r="G30" s="140">
        <v>24.063171000000001</v>
      </c>
      <c r="H30" s="140">
        <v>13.768875</v>
      </c>
      <c r="I30" s="140">
        <v>8.6536709999999992</v>
      </c>
      <c r="J30" s="140">
        <v>5.8870839999999998</v>
      </c>
      <c r="K30" s="140">
        <v>6.4787869999999996</v>
      </c>
      <c r="L30" s="140">
        <v>6.6194839999999999</v>
      </c>
      <c r="M30" s="140">
        <v>8.0460209999999996</v>
      </c>
    </row>
    <row r="31" spans="1:13" ht="10.5" x14ac:dyDescent="0.25">
      <c r="A31" s="139"/>
      <c r="B31" s="139" t="s">
        <v>342</v>
      </c>
      <c r="C31" s="141">
        <v>34.694750999999997</v>
      </c>
      <c r="D31" s="141">
        <v>32.892701000000002</v>
      </c>
      <c r="E31" s="141">
        <v>54.373832</v>
      </c>
      <c r="F31" s="141">
        <v>46.076735999999997</v>
      </c>
      <c r="G31" s="141">
        <v>30.401515</v>
      </c>
      <c r="H31" s="141">
        <v>19.610078000000001</v>
      </c>
      <c r="I31" s="141">
        <v>10.520568000000001</v>
      </c>
      <c r="J31" s="141">
        <v>8.2843289999999996</v>
      </c>
      <c r="K31" s="141">
        <v>8.1300260000000009</v>
      </c>
      <c r="L31" s="141">
        <v>7.6593660000000003</v>
      </c>
      <c r="M31" s="141">
        <v>13.239528</v>
      </c>
    </row>
    <row r="32" spans="1:13" ht="10.5" x14ac:dyDescent="0.25">
      <c r="A32" s="139"/>
      <c r="B32" s="139" t="s">
        <v>343</v>
      </c>
      <c r="C32" s="141">
        <v>18.863161999999999</v>
      </c>
      <c r="D32" s="141">
        <v>22.622239</v>
      </c>
      <c r="E32" s="141">
        <v>27.161933000000001</v>
      </c>
      <c r="F32" s="141">
        <v>25.965931000000001</v>
      </c>
      <c r="G32" s="141">
        <v>17.090017</v>
      </c>
      <c r="H32" s="141">
        <v>7.683872</v>
      </c>
      <c r="I32" s="141">
        <v>6.9922930000000001</v>
      </c>
      <c r="J32" s="141">
        <v>4.6181549999999998</v>
      </c>
      <c r="K32" s="141">
        <v>5.187964</v>
      </c>
      <c r="L32" s="141">
        <v>5.6431279999999999</v>
      </c>
      <c r="M32" s="141">
        <v>6.3073800000000002</v>
      </c>
    </row>
    <row r="33" spans="1:13" ht="10.5" x14ac:dyDescent="0.25">
      <c r="A33" s="139"/>
      <c r="B33" s="139" t="s">
        <v>344</v>
      </c>
      <c r="C33" s="141">
        <v>34.694750999999997</v>
      </c>
      <c r="D33" s="141">
        <v>27.343736</v>
      </c>
      <c r="E33" s="141">
        <v>46.306998</v>
      </c>
      <c r="F33" s="141">
        <v>26.543832999999999</v>
      </c>
      <c r="G33" s="141">
        <v>18.488512</v>
      </c>
      <c r="H33" s="141">
        <v>10.027965999999999</v>
      </c>
      <c r="I33" s="141">
        <v>8.3436450000000004</v>
      </c>
      <c r="J33" s="141">
        <v>5.0755790000000003</v>
      </c>
      <c r="K33" s="141">
        <v>5.9361709999999999</v>
      </c>
      <c r="L33" s="141">
        <v>7.0873799999999996</v>
      </c>
      <c r="M33" s="141">
        <v>13.239528</v>
      </c>
    </row>
    <row r="34" spans="1:13" ht="10.5" x14ac:dyDescent="0.25">
      <c r="A34" s="136"/>
      <c r="B34" s="139"/>
      <c r="C34" s="139"/>
      <c r="D34" s="139"/>
      <c r="E34" s="139"/>
      <c r="F34" s="139"/>
      <c r="G34" s="139"/>
      <c r="H34" s="139"/>
      <c r="I34" s="139"/>
      <c r="J34" s="139"/>
      <c r="K34" s="139"/>
      <c r="L34" s="139"/>
      <c r="M34" s="139"/>
    </row>
    <row r="35" spans="1:13" ht="10.5" x14ac:dyDescent="0.25">
      <c r="A35" s="136" t="s">
        <v>348</v>
      </c>
      <c r="B35" s="139" t="s">
        <v>153</v>
      </c>
      <c r="C35" s="140">
        <v>52.405303655172411</v>
      </c>
      <c r="D35" s="140">
        <v>59.117179934426233</v>
      </c>
      <c r="E35" s="140">
        <v>66.892802507936509</v>
      </c>
      <c r="F35" s="140">
        <v>54.125521140624997</v>
      </c>
      <c r="G35" s="140">
        <v>42.724309265625003</v>
      </c>
      <c r="H35" s="140">
        <v>27.584841774193549</v>
      </c>
      <c r="I35" s="140">
        <v>23.531372322580644</v>
      </c>
      <c r="J35" s="140">
        <v>33.240424859374997</v>
      </c>
      <c r="K35" s="140">
        <v>41.277130587301585</v>
      </c>
      <c r="L35" s="140">
        <v>39.832879274193552</v>
      </c>
      <c r="M35" s="140">
        <v>40.19318979411765</v>
      </c>
    </row>
    <row r="36" spans="1:13" ht="10.5" x14ac:dyDescent="0.25">
      <c r="A36" s="139"/>
      <c r="B36" s="139" t="s">
        <v>342</v>
      </c>
      <c r="C36" s="141">
        <v>78.09778</v>
      </c>
      <c r="D36" s="141">
        <v>71.932800999999998</v>
      </c>
      <c r="E36" s="141">
        <v>83.957159000000004</v>
      </c>
      <c r="F36" s="141">
        <v>71.145837</v>
      </c>
      <c r="G36" s="141">
        <v>53.352029999999999</v>
      </c>
      <c r="H36" s="141">
        <v>37.336531000000001</v>
      </c>
      <c r="I36" s="141">
        <v>29.009170999999998</v>
      </c>
      <c r="J36" s="141">
        <v>43.024251999999997</v>
      </c>
      <c r="K36" s="141">
        <v>51.883172000000002</v>
      </c>
      <c r="L36" s="141">
        <v>46.545282</v>
      </c>
      <c r="M36" s="141">
        <v>63.918433999999998</v>
      </c>
    </row>
    <row r="37" spans="1:13" ht="10.5" x14ac:dyDescent="0.25">
      <c r="A37" s="139"/>
      <c r="B37" s="139" t="s">
        <v>343</v>
      </c>
      <c r="C37" s="141">
        <v>41.968598</v>
      </c>
      <c r="D37" s="141">
        <v>40.019531000000001</v>
      </c>
      <c r="E37" s="141">
        <v>47.744830999999998</v>
      </c>
      <c r="F37" s="141">
        <v>42.604850999999996</v>
      </c>
      <c r="G37" s="141">
        <v>32.538471000000001</v>
      </c>
      <c r="H37" s="141">
        <v>18.743808000000001</v>
      </c>
      <c r="I37" s="141">
        <v>17.380797000000001</v>
      </c>
      <c r="J37" s="141">
        <v>23.250354000000002</v>
      </c>
      <c r="K37" s="141">
        <v>33.058210000000003</v>
      </c>
      <c r="L37" s="141">
        <v>34.445672999999999</v>
      </c>
      <c r="M37" s="141">
        <v>32.093755000000002</v>
      </c>
    </row>
    <row r="38" spans="1:13" ht="10.5" x14ac:dyDescent="0.25">
      <c r="A38" s="139"/>
      <c r="B38" s="139" t="s">
        <v>344</v>
      </c>
      <c r="C38" s="141">
        <v>78.09778</v>
      </c>
      <c r="D38" s="141">
        <v>48.064402999999999</v>
      </c>
      <c r="E38" s="141">
        <v>71.501378000000003</v>
      </c>
      <c r="F38" s="141">
        <v>43.553071000000003</v>
      </c>
      <c r="G38" s="141">
        <v>35.201130999999997</v>
      </c>
      <c r="H38" s="141">
        <v>24.461921</v>
      </c>
      <c r="I38" s="141">
        <v>24.797791</v>
      </c>
      <c r="J38" s="141">
        <v>32.342086999999999</v>
      </c>
      <c r="K38" s="141">
        <v>38.647829000000002</v>
      </c>
      <c r="L38" s="141">
        <v>36.062615999999998</v>
      </c>
      <c r="M38" s="141">
        <v>63.761142</v>
      </c>
    </row>
    <row r="39" spans="1:13" ht="10.5" x14ac:dyDescent="0.25">
      <c r="A39" s="136"/>
      <c r="B39" s="139"/>
      <c r="C39" s="139"/>
      <c r="D39" s="139"/>
      <c r="E39" s="139"/>
      <c r="F39" s="139"/>
      <c r="G39" s="139"/>
      <c r="H39" s="139"/>
      <c r="I39" s="139"/>
      <c r="J39" s="139"/>
      <c r="K39" s="139"/>
      <c r="L39" s="139"/>
      <c r="M39" s="139"/>
    </row>
    <row r="40" spans="1:13" ht="10.5" x14ac:dyDescent="0.25">
      <c r="A40" s="136" t="s">
        <v>349</v>
      </c>
      <c r="B40" s="139" t="s">
        <v>153</v>
      </c>
      <c r="C40" s="140">
        <v>56.942548000000002</v>
      </c>
      <c r="D40" s="140">
        <v>58.080663999999999</v>
      </c>
      <c r="E40" s="140">
        <v>95.609705000000005</v>
      </c>
      <c r="F40" s="140">
        <v>87.050030000000007</v>
      </c>
      <c r="G40" s="140">
        <v>52.050607999999997</v>
      </c>
      <c r="H40" s="140">
        <v>25.327161</v>
      </c>
      <c r="I40" s="140">
        <v>28.553740999999999</v>
      </c>
      <c r="J40" s="140">
        <v>11.807891</v>
      </c>
      <c r="K40" s="140">
        <v>27.891425999999999</v>
      </c>
      <c r="L40" s="140">
        <v>33.766489999999997</v>
      </c>
      <c r="M40" s="140">
        <v>24.021977</v>
      </c>
    </row>
    <row r="41" spans="1:13" ht="10.5" x14ac:dyDescent="0.25">
      <c r="A41" s="139"/>
      <c r="B41" s="139" t="s">
        <v>342</v>
      </c>
      <c r="C41" s="141">
        <v>70.287619000000007</v>
      </c>
      <c r="D41" s="141">
        <v>76.121324000000001</v>
      </c>
      <c r="E41" s="141">
        <v>125.660348</v>
      </c>
      <c r="F41" s="141">
        <v>123.665003</v>
      </c>
      <c r="G41" s="141">
        <v>79.693648999999994</v>
      </c>
      <c r="H41" s="141">
        <v>35.746307999999999</v>
      </c>
      <c r="I41" s="141">
        <v>34.784275999999998</v>
      </c>
      <c r="J41" s="141">
        <v>29.523116000000002</v>
      </c>
      <c r="K41" s="141">
        <v>59.089126999999998</v>
      </c>
      <c r="L41" s="141">
        <v>43.593699000000001</v>
      </c>
      <c r="M41" s="141">
        <v>42.302076</v>
      </c>
    </row>
    <row r="42" spans="1:13" ht="10.5" x14ac:dyDescent="0.25">
      <c r="A42" s="139"/>
      <c r="B42" s="139" t="s">
        <v>343</v>
      </c>
      <c r="C42" s="141">
        <v>39.634658999999999</v>
      </c>
      <c r="D42" s="141">
        <v>42.214486999999998</v>
      </c>
      <c r="E42" s="141">
        <v>62.859000000000002</v>
      </c>
      <c r="F42" s="141">
        <v>68.066338999999999</v>
      </c>
      <c r="G42" s="141">
        <v>31.152605999999999</v>
      </c>
      <c r="H42" s="141">
        <v>13.529256</v>
      </c>
      <c r="I42" s="141">
        <v>20.260788000000002</v>
      </c>
      <c r="J42" s="141">
        <v>8.8892159999999993</v>
      </c>
      <c r="K42" s="141">
        <v>9.3446809999999996</v>
      </c>
      <c r="L42" s="141">
        <v>19.814952999999999</v>
      </c>
      <c r="M42" s="141">
        <v>18.462007</v>
      </c>
    </row>
    <row r="43" spans="1:13" ht="10.5" x14ac:dyDescent="0.25">
      <c r="A43" s="139"/>
      <c r="B43" s="139" t="s">
        <v>344</v>
      </c>
      <c r="C43" s="141">
        <v>70.287619000000007</v>
      </c>
      <c r="D43" s="141">
        <v>63.279736</v>
      </c>
      <c r="E43" s="141">
        <v>107.017534</v>
      </c>
      <c r="F43" s="141">
        <v>69.581233999999995</v>
      </c>
      <c r="G43" s="141">
        <v>33.701858000000001</v>
      </c>
      <c r="H43" s="141">
        <v>19.240428000000001</v>
      </c>
      <c r="I43" s="141">
        <v>29.734501999999999</v>
      </c>
      <c r="J43" s="141">
        <v>9.1422519999999992</v>
      </c>
      <c r="K43" s="141">
        <v>35.319372999999999</v>
      </c>
      <c r="L43" s="141">
        <v>20.745104000000001</v>
      </c>
      <c r="M43" s="141">
        <v>41.637168000000003</v>
      </c>
    </row>
    <row r="44" spans="1:13" ht="10.5" x14ac:dyDescent="0.25">
      <c r="A44" s="136"/>
      <c r="B44" s="139"/>
      <c r="C44" s="139"/>
      <c r="D44" s="139"/>
      <c r="E44" s="139"/>
      <c r="F44" s="139"/>
      <c r="G44" s="139"/>
      <c r="H44" s="139"/>
      <c r="I44" s="139"/>
      <c r="J44" s="139"/>
      <c r="K44" s="139"/>
      <c r="L44" s="139"/>
      <c r="M44" s="139"/>
    </row>
    <row r="45" spans="1:13" ht="10.5" x14ac:dyDescent="0.25">
      <c r="A45" s="136" t="s">
        <v>350</v>
      </c>
      <c r="B45" s="139" t="s">
        <v>153</v>
      </c>
      <c r="C45" s="140">
        <v>165.67304124137931</v>
      </c>
      <c r="D45" s="140">
        <v>182.52174429508196</v>
      </c>
      <c r="E45" s="140">
        <v>144.26597122222222</v>
      </c>
      <c r="F45" s="140">
        <v>101.13529842187501</v>
      </c>
      <c r="G45" s="140">
        <v>80.456097124999999</v>
      </c>
      <c r="H45" s="140">
        <v>64.725690241935482</v>
      </c>
      <c r="I45" s="140">
        <v>80.10068859259259</v>
      </c>
      <c r="J45" s="142" t="s">
        <v>205</v>
      </c>
      <c r="K45" s="142" t="s">
        <v>205</v>
      </c>
      <c r="L45" s="142" t="s">
        <v>205</v>
      </c>
      <c r="M45" s="142" t="s">
        <v>205</v>
      </c>
    </row>
    <row r="46" spans="1:13" ht="10.5" x14ac:dyDescent="0.25">
      <c r="A46" s="139"/>
      <c r="B46" s="139" t="s">
        <v>342</v>
      </c>
      <c r="C46" s="141">
        <v>250.214055</v>
      </c>
      <c r="D46" s="141">
        <v>229.92820900000001</v>
      </c>
      <c r="E46" s="141">
        <v>184.037037</v>
      </c>
      <c r="F46" s="141">
        <v>135.348028</v>
      </c>
      <c r="G46" s="141">
        <v>101.881185</v>
      </c>
      <c r="H46" s="141">
        <v>91.765244999999993</v>
      </c>
      <c r="I46" s="141">
        <v>94.118200000000002</v>
      </c>
      <c r="J46" s="143" t="s">
        <v>205</v>
      </c>
      <c r="K46" s="143" t="s">
        <v>205</v>
      </c>
      <c r="L46" s="143" t="s">
        <v>205</v>
      </c>
      <c r="M46" s="143" t="s">
        <v>205</v>
      </c>
    </row>
    <row r="47" spans="1:13" ht="10.5" x14ac:dyDescent="0.25">
      <c r="A47" s="139"/>
      <c r="B47" s="139" t="s">
        <v>343</v>
      </c>
      <c r="C47" s="141">
        <v>131.33109300000001</v>
      </c>
      <c r="D47" s="141">
        <v>111.037037</v>
      </c>
      <c r="E47" s="141">
        <v>92.710190999999995</v>
      </c>
      <c r="F47" s="141">
        <v>78.353508000000005</v>
      </c>
      <c r="G47" s="141">
        <v>63.163882000000001</v>
      </c>
      <c r="H47" s="141">
        <v>38.275939000000001</v>
      </c>
      <c r="I47" s="141">
        <v>65.882739999999998</v>
      </c>
      <c r="J47" s="143" t="s">
        <v>205</v>
      </c>
      <c r="K47" s="143" t="s">
        <v>205</v>
      </c>
      <c r="L47" s="143" t="s">
        <v>205</v>
      </c>
      <c r="M47" s="143" t="s">
        <v>205</v>
      </c>
    </row>
    <row r="48" spans="1:13" ht="10.5" x14ac:dyDescent="0.25">
      <c r="A48" s="139"/>
      <c r="B48" s="139" t="s">
        <v>344</v>
      </c>
      <c r="C48" s="141">
        <v>250.214055</v>
      </c>
      <c r="D48" s="141">
        <v>132.481481</v>
      </c>
      <c r="E48" s="141">
        <v>136.01182399999999</v>
      </c>
      <c r="F48" s="141">
        <v>80.031733000000003</v>
      </c>
      <c r="G48" s="141">
        <v>68.116951</v>
      </c>
      <c r="H48" s="141">
        <v>90.765238999999994</v>
      </c>
      <c r="I48" s="143" t="s">
        <v>205</v>
      </c>
      <c r="J48" s="143" t="s">
        <v>205</v>
      </c>
      <c r="K48" s="143" t="s">
        <v>205</v>
      </c>
      <c r="L48" s="143" t="s">
        <v>205</v>
      </c>
      <c r="M48" s="143" t="s">
        <v>205</v>
      </c>
    </row>
    <row r="49" spans="1:13" ht="10.5" x14ac:dyDescent="0.25">
      <c r="A49" s="136"/>
      <c r="B49" s="139"/>
      <c r="C49" s="139"/>
      <c r="D49" s="139"/>
      <c r="E49" s="139"/>
      <c r="F49" s="139"/>
      <c r="G49" s="139"/>
      <c r="H49" s="139"/>
      <c r="I49" s="139"/>
      <c r="J49" s="139"/>
      <c r="K49" s="139"/>
      <c r="L49" s="139"/>
      <c r="M49" s="139"/>
    </row>
    <row r="50" spans="1:13" ht="10.5" x14ac:dyDescent="0.25">
      <c r="A50" s="136" t="s">
        <v>351</v>
      </c>
      <c r="B50" s="139" t="s">
        <v>153</v>
      </c>
      <c r="C50" s="140">
        <v>102.110595</v>
      </c>
      <c r="D50" s="140">
        <v>101.100551</v>
      </c>
      <c r="E50" s="140">
        <v>111.827091</v>
      </c>
      <c r="F50" s="140">
        <v>91.1815</v>
      </c>
      <c r="G50" s="140">
        <v>63.608645000000003</v>
      </c>
      <c r="H50" s="140">
        <v>33.74577</v>
      </c>
      <c r="I50" s="140">
        <v>25.545694999999998</v>
      </c>
      <c r="J50" s="140">
        <v>18.141214000000002</v>
      </c>
      <c r="K50" s="140">
        <v>21.040654</v>
      </c>
      <c r="L50" s="140">
        <v>73.276921999999999</v>
      </c>
      <c r="M50" s="140">
        <v>63.202531</v>
      </c>
    </row>
    <row r="51" spans="1:13" ht="10.5" x14ac:dyDescent="0.25">
      <c r="A51" s="139"/>
      <c r="B51" s="139" t="s">
        <v>342</v>
      </c>
      <c r="C51" s="141">
        <v>128.30124900000001</v>
      </c>
      <c r="D51" s="141">
        <v>117.89935800000001</v>
      </c>
      <c r="E51" s="141">
        <v>137.00038000000001</v>
      </c>
      <c r="F51" s="141">
        <v>116.42558</v>
      </c>
      <c r="G51" s="141">
        <v>87.208332999999996</v>
      </c>
      <c r="H51" s="141">
        <v>47.04</v>
      </c>
      <c r="I51" s="141">
        <v>36.363636</v>
      </c>
      <c r="J51" s="141">
        <v>21.621300999999999</v>
      </c>
      <c r="K51" s="141">
        <v>25.850746000000001</v>
      </c>
      <c r="L51" s="141">
        <v>116.76922999999999</v>
      </c>
      <c r="M51" s="141">
        <v>246.90908999999999</v>
      </c>
    </row>
    <row r="52" spans="1:13" ht="10.5" x14ac:dyDescent="0.25">
      <c r="A52" s="139"/>
      <c r="B52" s="139" t="s">
        <v>343</v>
      </c>
      <c r="C52" s="141">
        <v>56.76923</v>
      </c>
      <c r="D52" s="141">
        <v>71.648781999999997</v>
      </c>
      <c r="E52" s="141">
        <v>87.628473</v>
      </c>
      <c r="F52" s="141">
        <v>74.895832999999996</v>
      </c>
      <c r="G52" s="141">
        <v>41.216000000000001</v>
      </c>
      <c r="H52" s="141">
        <v>17.212121</v>
      </c>
      <c r="I52" s="141">
        <v>18.153846000000001</v>
      </c>
      <c r="J52" s="141">
        <v>14.411522</v>
      </c>
      <c r="K52" s="141">
        <v>15.692307</v>
      </c>
      <c r="L52" s="141">
        <v>61.581195999999998</v>
      </c>
      <c r="M52" s="141">
        <v>24</v>
      </c>
    </row>
    <row r="53" spans="1:13" ht="10.5" x14ac:dyDescent="0.25">
      <c r="A53" s="139"/>
      <c r="B53" s="139" t="s">
        <v>344</v>
      </c>
      <c r="C53" s="141">
        <v>128.30124900000001</v>
      </c>
      <c r="D53" s="141">
        <v>90.223477000000003</v>
      </c>
      <c r="E53" s="141">
        <v>116.996574</v>
      </c>
      <c r="F53" s="141">
        <v>76.5</v>
      </c>
      <c r="G53" s="141">
        <v>44.448</v>
      </c>
      <c r="H53" s="141">
        <v>26.603448</v>
      </c>
      <c r="I53" s="141">
        <v>20.630769000000001</v>
      </c>
      <c r="J53" s="141">
        <v>15.266272000000001</v>
      </c>
      <c r="K53" s="143" t="s">
        <v>205</v>
      </c>
      <c r="L53" s="141">
        <v>64.957263999999995</v>
      </c>
      <c r="M53" s="143" t="s">
        <v>205</v>
      </c>
    </row>
    <row r="54" spans="1:13" ht="10.5" x14ac:dyDescent="0.25">
      <c r="A54" s="136"/>
      <c r="B54" s="139"/>
      <c r="C54" s="139"/>
      <c r="D54" s="139"/>
      <c r="E54" s="139"/>
      <c r="F54" s="139"/>
      <c r="G54" s="139"/>
      <c r="H54" s="139"/>
      <c r="I54" s="139"/>
      <c r="J54" s="139"/>
      <c r="K54" s="139"/>
      <c r="L54" s="139"/>
      <c r="M54" s="139"/>
    </row>
    <row r="55" spans="1:13" ht="10.5" x14ac:dyDescent="0.25">
      <c r="A55" s="136" t="s">
        <v>352</v>
      </c>
      <c r="B55" s="139" t="s">
        <v>153</v>
      </c>
      <c r="C55" s="140">
        <v>201.91778719230769</v>
      </c>
      <c r="D55" s="140">
        <v>234.97455857377048</v>
      </c>
      <c r="E55" s="140">
        <v>193.30440895238095</v>
      </c>
      <c r="F55" s="140">
        <v>138.43794868750001</v>
      </c>
      <c r="G55" s="140">
        <v>107.120808765625</v>
      </c>
      <c r="H55" s="140">
        <v>73.655955580645156</v>
      </c>
      <c r="I55" s="140">
        <v>80.520819709677426</v>
      </c>
      <c r="J55" s="140">
        <v>120.662210953125</v>
      </c>
      <c r="K55" s="140">
        <v>140.6471815925926</v>
      </c>
      <c r="L55" s="142" t="s">
        <v>205</v>
      </c>
      <c r="M55" s="142" t="s">
        <v>205</v>
      </c>
    </row>
    <row r="56" spans="1:13" ht="10.5" x14ac:dyDescent="0.25">
      <c r="A56" s="139"/>
      <c r="B56" s="139" t="s">
        <v>342</v>
      </c>
      <c r="C56" s="141">
        <v>296.02674200000001</v>
      </c>
      <c r="D56" s="141">
        <v>295.43434999999999</v>
      </c>
      <c r="E56" s="141">
        <v>238.787465</v>
      </c>
      <c r="F56" s="141">
        <v>186.98130699999999</v>
      </c>
      <c r="G56" s="141">
        <v>133.61890099999999</v>
      </c>
      <c r="H56" s="141">
        <v>94.546226000000004</v>
      </c>
      <c r="I56" s="141">
        <v>105.216891</v>
      </c>
      <c r="J56" s="141">
        <v>160.58291500000001</v>
      </c>
      <c r="K56" s="141">
        <v>156.276093</v>
      </c>
      <c r="L56" s="143" t="s">
        <v>205</v>
      </c>
      <c r="M56" s="143" t="s">
        <v>205</v>
      </c>
    </row>
    <row r="57" spans="1:13" ht="10.5" x14ac:dyDescent="0.25">
      <c r="A57" s="139"/>
      <c r="B57" s="139" t="s">
        <v>343</v>
      </c>
      <c r="C57" s="141">
        <v>168.74708999999999</v>
      </c>
      <c r="D57" s="141">
        <v>144.070199</v>
      </c>
      <c r="E57" s="141">
        <v>128.077763</v>
      </c>
      <c r="F57" s="141">
        <v>106.20823300000001</v>
      </c>
      <c r="G57" s="141">
        <v>82.840502999999998</v>
      </c>
      <c r="H57" s="141">
        <v>50.199542999999998</v>
      </c>
      <c r="I57" s="141">
        <v>54.138449000000001</v>
      </c>
      <c r="J57" s="141">
        <v>85.336579</v>
      </c>
      <c r="K57" s="141">
        <v>116.54786199999999</v>
      </c>
      <c r="L57" s="143" t="s">
        <v>205</v>
      </c>
      <c r="M57" s="143" t="s">
        <v>205</v>
      </c>
    </row>
    <row r="58" spans="1:13" ht="10.5" x14ac:dyDescent="0.25">
      <c r="A58" s="139"/>
      <c r="B58" s="139" t="s">
        <v>344</v>
      </c>
      <c r="C58" s="143" t="s">
        <v>205</v>
      </c>
      <c r="D58" s="141">
        <v>171.89429699999999</v>
      </c>
      <c r="E58" s="141">
        <v>187.89833200000001</v>
      </c>
      <c r="F58" s="141">
        <v>108.483068</v>
      </c>
      <c r="G58" s="141">
        <v>89.336535999999995</v>
      </c>
      <c r="H58" s="141">
        <v>74.585380999999998</v>
      </c>
      <c r="I58" s="141">
        <v>90.678567000000001</v>
      </c>
      <c r="J58" s="141">
        <v>113.383667</v>
      </c>
      <c r="K58" s="143" t="s">
        <v>205</v>
      </c>
      <c r="L58" s="143" t="s">
        <v>205</v>
      </c>
      <c r="M58" s="143" t="s">
        <v>205</v>
      </c>
    </row>
    <row r="59" spans="1:13" ht="10.5" x14ac:dyDescent="0.25">
      <c r="A59" s="136"/>
      <c r="B59" s="139"/>
      <c r="C59" s="139"/>
      <c r="D59" s="139"/>
      <c r="E59" s="139"/>
      <c r="F59" s="139"/>
      <c r="G59" s="139"/>
      <c r="H59" s="139"/>
      <c r="I59" s="139"/>
      <c r="J59" s="139"/>
      <c r="K59" s="139"/>
      <c r="L59" s="139"/>
      <c r="M59" s="139"/>
    </row>
    <row r="60" spans="1:13" ht="10.5" x14ac:dyDescent="0.25">
      <c r="A60" s="136" t="s">
        <v>241</v>
      </c>
      <c r="B60" s="139" t="s">
        <v>153</v>
      </c>
      <c r="C60" s="140">
        <v>217.09433831818183</v>
      </c>
      <c r="D60" s="140">
        <v>190.14292002222223</v>
      </c>
      <c r="E60" s="140">
        <v>24.240995428571427</v>
      </c>
      <c r="F60" s="140">
        <v>20.367142484375002</v>
      </c>
      <c r="G60" s="140">
        <v>14.790740156249999</v>
      </c>
      <c r="H60" s="140">
        <v>8.8331179354838714</v>
      </c>
      <c r="I60" s="140">
        <v>5.8337238387096777</v>
      </c>
      <c r="J60" s="140">
        <v>4.2961567187499998</v>
      </c>
      <c r="K60" s="140">
        <v>3.2625603492063493</v>
      </c>
      <c r="L60" s="140">
        <v>3.4636725322580646</v>
      </c>
      <c r="M60" s="140">
        <v>3.7133786764705881</v>
      </c>
    </row>
    <row r="61" spans="1:13" ht="10.5" x14ac:dyDescent="0.25">
      <c r="A61" s="139"/>
      <c r="B61" s="139" t="s">
        <v>342</v>
      </c>
      <c r="C61" s="141">
        <v>285.11978900000003</v>
      </c>
      <c r="D61" s="141">
        <v>297.682726</v>
      </c>
      <c r="E61" s="141">
        <v>32.675080000000001</v>
      </c>
      <c r="F61" s="141">
        <v>27.767917000000001</v>
      </c>
      <c r="G61" s="141">
        <v>18.133897000000001</v>
      </c>
      <c r="H61" s="141">
        <v>12.363356</v>
      </c>
      <c r="I61" s="141">
        <v>6.8365460000000002</v>
      </c>
      <c r="J61" s="141">
        <v>7.8936640000000002</v>
      </c>
      <c r="K61" s="141">
        <v>4.5251960000000002</v>
      </c>
      <c r="L61" s="141">
        <v>4.0459820000000004</v>
      </c>
      <c r="M61" s="141">
        <v>6.2194969999999996</v>
      </c>
    </row>
    <row r="62" spans="1:13" ht="10.5" x14ac:dyDescent="0.25">
      <c r="A62" s="139"/>
      <c r="B62" s="139" t="s">
        <v>343</v>
      </c>
      <c r="C62" s="141">
        <v>195.707008</v>
      </c>
      <c r="D62" s="141">
        <v>13.777193</v>
      </c>
      <c r="E62" s="141">
        <v>16.332270000000001</v>
      </c>
      <c r="F62" s="141">
        <v>15.573665</v>
      </c>
      <c r="G62" s="141">
        <v>10.832655000000001</v>
      </c>
      <c r="H62" s="141">
        <v>5.144501</v>
      </c>
      <c r="I62" s="141">
        <v>4.7885920000000004</v>
      </c>
      <c r="J62" s="141">
        <v>2.2323499999999998</v>
      </c>
      <c r="K62" s="141">
        <v>2.3775870000000001</v>
      </c>
      <c r="L62" s="141">
        <v>2.8009569999999999</v>
      </c>
      <c r="M62" s="141">
        <v>2.8976169999999999</v>
      </c>
    </row>
    <row r="63" spans="1:13" ht="10.5" x14ac:dyDescent="0.25">
      <c r="A63" s="139"/>
      <c r="B63" s="139" t="s">
        <v>344</v>
      </c>
      <c r="C63" s="143" t="s">
        <v>205</v>
      </c>
      <c r="D63" s="141">
        <v>16.437964999999998</v>
      </c>
      <c r="E63" s="141">
        <v>27.904101000000001</v>
      </c>
      <c r="F63" s="141">
        <v>15.907232</v>
      </c>
      <c r="G63" s="141">
        <v>11.68211</v>
      </c>
      <c r="H63" s="141">
        <v>6.592994</v>
      </c>
      <c r="I63" s="141">
        <v>5.7686120000000001</v>
      </c>
      <c r="J63" s="141">
        <v>2.313037</v>
      </c>
      <c r="K63" s="141">
        <v>3.0242399999999998</v>
      </c>
      <c r="L63" s="141">
        <v>3.6869860000000001</v>
      </c>
      <c r="M63" s="141">
        <v>6.2194969999999996</v>
      </c>
    </row>
    <row r="64" spans="1:13" ht="10.5" x14ac:dyDescent="0.25">
      <c r="A64" s="136"/>
      <c r="B64" s="139"/>
      <c r="C64" s="139"/>
      <c r="D64" s="139"/>
      <c r="E64" s="139"/>
      <c r="F64" s="139"/>
      <c r="G64" s="139"/>
      <c r="H64" s="139"/>
      <c r="I64" s="139"/>
      <c r="J64" s="139"/>
      <c r="K64" s="139"/>
      <c r="L64" s="139"/>
      <c r="M64" s="139"/>
    </row>
    <row r="65" spans="1:13" ht="10.5" x14ac:dyDescent="0.25">
      <c r="A65" s="136" t="s">
        <v>353</v>
      </c>
      <c r="B65" s="139" t="s">
        <v>153</v>
      </c>
      <c r="C65" s="142" t="s">
        <v>205</v>
      </c>
      <c r="D65" s="140">
        <v>26.187712625</v>
      </c>
      <c r="E65" s="140">
        <v>37.07846268253968</v>
      </c>
      <c r="F65" s="140">
        <v>30.892997578125001</v>
      </c>
      <c r="G65" s="140">
        <v>22.542531374999999</v>
      </c>
      <c r="H65" s="140">
        <v>13.678297177419354</v>
      </c>
      <c r="I65" s="140">
        <v>9.5586331612903219</v>
      </c>
      <c r="J65" s="140">
        <v>10.693000407407407</v>
      </c>
      <c r="K65" s="142" t="s">
        <v>205</v>
      </c>
      <c r="L65" s="142" t="s">
        <v>205</v>
      </c>
      <c r="M65" s="142" t="s">
        <v>205</v>
      </c>
    </row>
    <row r="66" spans="1:13" ht="10.5" x14ac:dyDescent="0.25">
      <c r="A66" s="139"/>
      <c r="B66" s="139" t="s">
        <v>342</v>
      </c>
      <c r="C66" s="143" t="s">
        <v>205</v>
      </c>
      <c r="D66" s="141">
        <v>30.295971000000002</v>
      </c>
      <c r="E66" s="141">
        <v>49.753444000000002</v>
      </c>
      <c r="F66" s="141">
        <v>42.281441999999998</v>
      </c>
      <c r="G66" s="141">
        <v>27.388978000000002</v>
      </c>
      <c r="H66" s="141">
        <v>19.005469999999999</v>
      </c>
      <c r="I66" s="141">
        <v>11.180546</v>
      </c>
      <c r="J66" s="141">
        <v>13.185283999999999</v>
      </c>
      <c r="K66" s="143" t="s">
        <v>205</v>
      </c>
      <c r="L66" s="143" t="s">
        <v>205</v>
      </c>
      <c r="M66" s="143" t="s">
        <v>205</v>
      </c>
    </row>
    <row r="67" spans="1:13" ht="10.5" x14ac:dyDescent="0.25">
      <c r="A67" s="139"/>
      <c r="B67" s="139" t="s">
        <v>343</v>
      </c>
      <c r="C67" s="143" t="s">
        <v>205</v>
      </c>
      <c r="D67" s="141">
        <v>21.226296000000001</v>
      </c>
      <c r="E67" s="141">
        <v>25.162860999999999</v>
      </c>
      <c r="F67" s="141">
        <v>23.522068000000001</v>
      </c>
      <c r="G67" s="141">
        <v>16.652412000000002</v>
      </c>
      <c r="H67" s="141">
        <v>8.2160910000000005</v>
      </c>
      <c r="I67" s="141">
        <v>7.6476819999999996</v>
      </c>
      <c r="J67" s="141">
        <v>9.0680259999999997</v>
      </c>
      <c r="K67" s="143" t="s">
        <v>205</v>
      </c>
      <c r="L67" s="143" t="s">
        <v>205</v>
      </c>
      <c r="M67" s="143" t="s">
        <v>205</v>
      </c>
    </row>
    <row r="68" spans="1:13" ht="10.5" x14ac:dyDescent="0.25">
      <c r="A68" s="139"/>
      <c r="B68" s="139" t="s">
        <v>344</v>
      </c>
      <c r="C68" s="143" t="s">
        <v>205</v>
      </c>
      <c r="D68" s="141">
        <v>25.325704000000002</v>
      </c>
      <c r="E68" s="141">
        <v>42.488804999999999</v>
      </c>
      <c r="F68" s="141">
        <v>24.025877999999999</v>
      </c>
      <c r="G68" s="141">
        <v>17.95823</v>
      </c>
      <c r="H68" s="141">
        <v>10.529426000000001</v>
      </c>
      <c r="I68" s="141">
        <v>9.6356760000000001</v>
      </c>
      <c r="J68" s="143" t="s">
        <v>205</v>
      </c>
      <c r="K68" s="143" t="s">
        <v>205</v>
      </c>
      <c r="L68" s="143" t="s">
        <v>205</v>
      </c>
      <c r="M68" s="143" t="s">
        <v>205</v>
      </c>
    </row>
    <row r="69" spans="1:13" ht="10.5" x14ac:dyDescent="0.25">
      <c r="A69" s="136"/>
      <c r="B69" s="139"/>
      <c r="C69" s="139"/>
      <c r="D69" s="139"/>
      <c r="E69" s="139"/>
      <c r="F69" s="139"/>
      <c r="G69" s="139"/>
      <c r="H69" s="139"/>
      <c r="I69" s="139"/>
      <c r="J69" s="139"/>
      <c r="K69" s="139"/>
      <c r="L69" s="139"/>
      <c r="M69" s="139"/>
    </row>
    <row r="70" spans="1:13" ht="10.5" x14ac:dyDescent="0.25">
      <c r="A70" s="136" t="s">
        <v>354</v>
      </c>
      <c r="B70" s="139" t="s">
        <v>153</v>
      </c>
      <c r="C70" s="140">
        <v>51.539434999999997</v>
      </c>
      <c r="D70" s="140">
        <v>50.581569000000002</v>
      </c>
      <c r="E70" s="140">
        <v>57.758012000000001</v>
      </c>
      <c r="F70" s="140">
        <v>43.768073999999999</v>
      </c>
      <c r="G70" s="140">
        <v>31.533104999999999</v>
      </c>
      <c r="H70" s="140">
        <v>22.559929</v>
      </c>
      <c r="I70" s="140">
        <v>16.581917000000001</v>
      </c>
      <c r="J70" s="140">
        <v>12.378634</v>
      </c>
      <c r="K70" s="140">
        <v>10.063836</v>
      </c>
      <c r="L70" s="140">
        <v>8.8509309999999992</v>
      </c>
      <c r="M70" s="140">
        <v>9.6430629999999997</v>
      </c>
    </row>
    <row r="71" spans="1:13" ht="10.5" x14ac:dyDescent="0.25">
      <c r="A71" s="139"/>
      <c r="B71" s="139" t="s">
        <v>342</v>
      </c>
      <c r="C71" s="141">
        <v>65.196499000000003</v>
      </c>
      <c r="D71" s="141">
        <v>59.910760000000003</v>
      </c>
      <c r="E71" s="141">
        <v>70.686437999999995</v>
      </c>
      <c r="F71" s="141">
        <v>60.070706000000001</v>
      </c>
      <c r="G71" s="141">
        <v>38.694766999999999</v>
      </c>
      <c r="H71" s="141">
        <v>29.530355</v>
      </c>
      <c r="I71" s="141">
        <v>19.319005000000001</v>
      </c>
      <c r="J71" s="141">
        <v>18.130618999999999</v>
      </c>
      <c r="K71" s="141">
        <v>14.9963</v>
      </c>
      <c r="L71" s="141">
        <v>10.07653</v>
      </c>
      <c r="M71" s="141">
        <v>17.195114</v>
      </c>
    </row>
    <row r="72" spans="1:13" ht="10.5" x14ac:dyDescent="0.25">
      <c r="A72" s="139"/>
      <c r="B72" s="139" t="s">
        <v>343</v>
      </c>
      <c r="C72" s="141">
        <v>24.668523</v>
      </c>
      <c r="D72" s="141">
        <v>34.106163000000002</v>
      </c>
      <c r="E72" s="141">
        <v>45.212609</v>
      </c>
      <c r="F72" s="141">
        <v>33.231650000000002</v>
      </c>
      <c r="G72" s="141">
        <v>23.270098999999998</v>
      </c>
      <c r="H72" s="141">
        <v>14.537551000000001</v>
      </c>
      <c r="I72" s="141">
        <v>13.280704999999999</v>
      </c>
      <c r="J72" s="141">
        <v>8.2455789999999993</v>
      </c>
      <c r="K72" s="141">
        <v>7.4355560000000001</v>
      </c>
      <c r="L72" s="141">
        <v>7.2002550000000003</v>
      </c>
      <c r="M72" s="141">
        <v>7.4681550000000003</v>
      </c>
    </row>
    <row r="73" spans="1:13" ht="10.5" x14ac:dyDescent="0.25">
      <c r="A73" s="139"/>
      <c r="B73" s="139" t="s">
        <v>344</v>
      </c>
      <c r="C73" s="141">
        <v>65.196499000000003</v>
      </c>
      <c r="D73" s="141">
        <v>46.478085999999998</v>
      </c>
      <c r="E73" s="141">
        <v>60.365313999999998</v>
      </c>
      <c r="F73" s="141">
        <v>33.943427</v>
      </c>
      <c r="G73" s="141">
        <v>25.094850000000001</v>
      </c>
      <c r="H73" s="141">
        <v>18.630765</v>
      </c>
      <c r="I73" s="141">
        <v>16.627402</v>
      </c>
      <c r="J73" s="141">
        <v>8.5436119999999995</v>
      </c>
      <c r="K73" s="141">
        <v>7.7205640000000004</v>
      </c>
      <c r="L73" s="141">
        <v>9.4137459999999997</v>
      </c>
      <c r="M73" s="141">
        <v>15.514523000000001</v>
      </c>
    </row>
    <row r="74" spans="1:13" ht="10.5" x14ac:dyDescent="0.25">
      <c r="A74" s="136"/>
      <c r="B74" s="139"/>
      <c r="C74" s="139"/>
      <c r="D74" s="139"/>
      <c r="E74" s="139"/>
      <c r="F74" s="139"/>
      <c r="G74" s="139"/>
      <c r="H74" s="139"/>
      <c r="I74" s="139"/>
      <c r="J74" s="139"/>
      <c r="K74" s="139"/>
      <c r="L74" s="139"/>
      <c r="M74" s="139"/>
    </row>
    <row r="75" spans="1:13" x14ac:dyDescent="0.2">
      <c r="A75" s="121" t="s">
        <v>355</v>
      </c>
    </row>
    <row r="77" spans="1:13" x14ac:dyDescent="0.2">
      <c r="A77" s="121" t="s">
        <v>356</v>
      </c>
    </row>
    <row r="81" spans="1:1" ht="25" customHeight="1" x14ac:dyDescent="0.2">
      <c r="A81" s="144" t="s">
        <v>357</v>
      </c>
    </row>
  </sheetData>
  <pageMargins left="0.2" right="0.2" top="0.5" bottom="0.5" header="0.5" footer="0.5"/>
  <pageSetup fitToWidth="0" fitToHeight="0" orientation="landscape" horizontalDpi="0" verticalDpi="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D02D-BAE3-4641-A156-3B35F890D4C2}">
  <sheetPr>
    <outlinePr summaryBelow="0" summaryRight="0"/>
    <pageSetUpPr autoPageBreaks="0"/>
  </sheetPr>
  <dimension ref="A5:IU39"/>
  <sheetViews>
    <sheetView topLeftCell="A9" workbookViewId="0">
      <selection activeCell="F32" sqref="F32"/>
    </sheetView>
  </sheetViews>
  <sheetFormatPr defaultRowHeight="10" x14ac:dyDescent="0.2"/>
  <cols>
    <col min="1" max="1" width="45.81640625" style="75" customWidth="1"/>
    <col min="2" max="6" width="14.81640625" style="75" customWidth="1"/>
    <col min="7" max="8" width="9.26953125" style="75" customWidth="1"/>
    <col min="9" max="256" width="8.7265625" style="75"/>
    <col min="257" max="257" width="45.81640625" style="75" customWidth="1"/>
    <col min="258" max="262" width="14.81640625" style="75" customWidth="1"/>
    <col min="263" max="264" width="9.26953125" style="75" customWidth="1"/>
    <col min="265" max="512" width="8.7265625" style="75"/>
    <col min="513" max="513" width="45.81640625" style="75" customWidth="1"/>
    <col min="514" max="518" width="14.81640625" style="75" customWidth="1"/>
    <col min="519" max="520" width="9.26953125" style="75" customWidth="1"/>
    <col min="521" max="768" width="8.7265625" style="75"/>
    <col min="769" max="769" width="45.81640625" style="75" customWidth="1"/>
    <col min="770" max="774" width="14.81640625" style="75" customWidth="1"/>
    <col min="775" max="776" width="9.26953125" style="75" customWidth="1"/>
    <col min="777" max="1024" width="8.7265625" style="75"/>
    <col min="1025" max="1025" width="45.81640625" style="75" customWidth="1"/>
    <col min="1026" max="1030" width="14.81640625" style="75" customWidth="1"/>
    <col min="1031" max="1032" width="9.26953125" style="75" customWidth="1"/>
    <col min="1033" max="1280" width="8.7265625" style="75"/>
    <col min="1281" max="1281" width="45.81640625" style="75" customWidth="1"/>
    <col min="1282" max="1286" width="14.81640625" style="75" customWidth="1"/>
    <col min="1287" max="1288" width="9.26953125" style="75" customWidth="1"/>
    <col min="1289" max="1536" width="8.7265625" style="75"/>
    <col min="1537" max="1537" width="45.81640625" style="75" customWidth="1"/>
    <col min="1538" max="1542" width="14.81640625" style="75" customWidth="1"/>
    <col min="1543" max="1544" width="9.26953125" style="75" customWidth="1"/>
    <col min="1545" max="1792" width="8.7265625" style="75"/>
    <col min="1793" max="1793" width="45.81640625" style="75" customWidth="1"/>
    <col min="1794" max="1798" width="14.81640625" style="75" customWidth="1"/>
    <col min="1799" max="1800" width="9.26953125" style="75" customWidth="1"/>
    <col min="1801" max="2048" width="8.7265625" style="75"/>
    <col min="2049" max="2049" width="45.81640625" style="75" customWidth="1"/>
    <col min="2050" max="2054" width="14.81640625" style="75" customWidth="1"/>
    <col min="2055" max="2056" width="9.26953125" style="75" customWidth="1"/>
    <col min="2057" max="2304" width="8.7265625" style="75"/>
    <col min="2305" max="2305" width="45.81640625" style="75" customWidth="1"/>
    <col min="2306" max="2310" width="14.81640625" style="75" customWidth="1"/>
    <col min="2311" max="2312" width="9.26953125" style="75" customWidth="1"/>
    <col min="2313" max="2560" width="8.7265625" style="75"/>
    <col min="2561" max="2561" width="45.81640625" style="75" customWidth="1"/>
    <col min="2562" max="2566" width="14.81640625" style="75" customWidth="1"/>
    <col min="2567" max="2568" width="9.26953125" style="75" customWidth="1"/>
    <col min="2569" max="2816" width="8.7265625" style="75"/>
    <col min="2817" max="2817" width="45.81640625" style="75" customWidth="1"/>
    <col min="2818" max="2822" width="14.81640625" style="75" customWidth="1"/>
    <col min="2823" max="2824" width="9.26953125" style="75" customWidth="1"/>
    <col min="2825" max="3072" width="8.7265625" style="75"/>
    <col min="3073" max="3073" width="45.81640625" style="75" customWidth="1"/>
    <col min="3074" max="3078" width="14.81640625" style="75" customWidth="1"/>
    <col min="3079" max="3080" width="9.26953125" style="75" customWidth="1"/>
    <col min="3081" max="3328" width="8.7265625" style="75"/>
    <col min="3329" max="3329" width="45.81640625" style="75" customWidth="1"/>
    <col min="3330" max="3334" width="14.81640625" style="75" customWidth="1"/>
    <col min="3335" max="3336" width="9.26953125" style="75" customWidth="1"/>
    <col min="3337" max="3584" width="8.7265625" style="75"/>
    <col min="3585" max="3585" width="45.81640625" style="75" customWidth="1"/>
    <col min="3586" max="3590" width="14.81640625" style="75" customWidth="1"/>
    <col min="3591" max="3592" width="9.26953125" style="75" customWidth="1"/>
    <col min="3593" max="3840" width="8.7265625" style="75"/>
    <col min="3841" max="3841" width="45.81640625" style="75" customWidth="1"/>
    <col min="3842" max="3846" width="14.81640625" style="75" customWidth="1"/>
    <col min="3847" max="3848" width="9.26953125" style="75" customWidth="1"/>
    <col min="3849" max="4096" width="8.7265625" style="75"/>
    <col min="4097" max="4097" width="45.81640625" style="75" customWidth="1"/>
    <col min="4098" max="4102" width="14.81640625" style="75" customWidth="1"/>
    <col min="4103" max="4104" width="9.26953125" style="75" customWidth="1"/>
    <col min="4105" max="4352" width="8.7265625" style="75"/>
    <col min="4353" max="4353" width="45.81640625" style="75" customWidth="1"/>
    <col min="4354" max="4358" width="14.81640625" style="75" customWidth="1"/>
    <col min="4359" max="4360" width="9.26953125" style="75" customWidth="1"/>
    <col min="4361" max="4608" width="8.7265625" style="75"/>
    <col min="4609" max="4609" width="45.81640625" style="75" customWidth="1"/>
    <col min="4610" max="4614" width="14.81640625" style="75" customWidth="1"/>
    <col min="4615" max="4616" width="9.26953125" style="75" customWidth="1"/>
    <col min="4617" max="4864" width="8.7265625" style="75"/>
    <col min="4865" max="4865" width="45.81640625" style="75" customWidth="1"/>
    <col min="4866" max="4870" width="14.81640625" style="75" customWidth="1"/>
    <col min="4871" max="4872" width="9.26953125" style="75" customWidth="1"/>
    <col min="4873" max="5120" width="8.7265625" style="75"/>
    <col min="5121" max="5121" width="45.81640625" style="75" customWidth="1"/>
    <col min="5122" max="5126" width="14.81640625" style="75" customWidth="1"/>
    <col min="5127" max="5128" width="9.26953125" style="75" customWidth="1"/>
    <col min="5129" max="5376" width="8.7265625" style="75"/>
    <col min="5377" max="5377" width="45.81640625" style="75" customWidth="1"/>
    <col min="5378" max="5382" width="14.81640625" style="75" customWidth="1"/>
    <col min="5383" max="5384" width="9.26953125" style="75" customWidth="1"/>
    <col min="5385" max="5632" width="8.7265625" style="75"/>
    <col min="5633" max="5633" width="45.81640625" style="75" customWidth="1"/>
    <col min="5634" max="5638" width="14.81640625" style="75" customWidth="1"/>
    <col min="5639" max="5640" width="9.26953125" style="75" customWidth="1"/>
    <col min="5641" max="5888" width="8.7265625" style="75"/>
    <col min="5889" max="5889" width="45.81640625" style="75" customWidth="1"/>
    <col min="5890" max="5894" width="14.81640625" style="75" customWidth="1"/>
    <col min="5895" max="5896" width="9.26953125" style="75" customWidth="1"/>
    <col min="5897" max="6144" width="8.7265625" style="75"/>
    <col min="6145" max="6145" width="45.81640625" style="75" customWidth="1"/>
    <col min="6146" max="6150" width="14.81640625" style="75" customWidth="1"/>
    <col min="6151" max="6152" width="9.26953125" style="75" customWidth="1"/>
    <col min="6153" max="6400" width="8.7265625" style="75"/>
    <col min="6401" max="6401" width="45.81640625" style="75" customWidth="1"/>
    <col min="6402" max="6406" width="14.81640625" style="75" customWidth="1"/>
    <col min="6407" max="6408" width="9.26953125" style="75" customWidth="1"/>
    <col min="6409" max="6656" width="8.7265625" style="75"/>
    <col min="6657" max="6657" width="45.81640625" style="75" customWidth="1"/>
    <col min="6658" max="6662" width="14.81640625" style="75" customWidth="1"/>
    <col min="6663" max="6664" width="9.26953125" style="75" customWidth="1"/>
    <col min="6665" max="6912" width="8.7265625" style="75"/>
    <col min="6913" max="6913" width="45.81640625" style="75" customWidth="1"/>
    <col min="6914" max="6918" width="14.81640625" style="75" customWidth="1"/>
    <col min="6919" max="6920" width="9.26953125" style="75" customWidth="1"/>
    <col min="6921" max="7168" width="8.7265625" style="75"/>
    <col min="7169" max="7169" width="45.81640625" style="75" customWidth="1"/>
    <col min="7170" max="7174" width="14.81640625" style="75" customWidth="1"/>
    <col min="7175" max="7176" width="9.26953125" style="75" customWidth="1"/>
    <col min="7177" max="7424" width="8.7265625" style="75"/>
    <col min="7425" max="7425" width="45.81640625" style="75" customWidth="1"/>
    <col min="7426" max="7430" width="14.81640625" style="75" customWidth="1"/>
    <col min="7431" max="7432" width="9.26953125" style="75" customWidth="1"/>
    <col min="7433" max="7680" width="8.7265625" style="75"/>
    <col min="7681" max="7681" width="45.81640625" style="75" customWidth="1"/>
    <col min="7682" max="7686" width="14.81640625" style="75" customWidth="1"/>
    <col min="7687" max="7688" width="9.26953125" style="75" customWidth="1"/>
    <col min="7689" max="7936" width="8.7265625" style="75"/>
    <col min="7937" max="7937" width="45.81640625" style="75" customWidth="1"/>
    <col min="7938" max="7942" width="14.81640625" style="75" customWidth="1"/>
    <col min="7943" max="7944" width="9.26953125" style="75" customWidth="1"/>
    <col min="7945" max="8192" width="8.7265625" style="75"/>
    <col min="8193" max="8193" width="45.81640625" style="75" customWidth="1"/>
    <col min="8194" max="8198" width="14.81640625" style="75" customWidth="1"/>
    <col min="8199" max="8200" width="9.26953125" style="75" customWidth="1"/>
    <col min="8201" max="8448" width="8.7265625" style="75"/>
    <col min="8449" max="8449" width="45.81640625" style="75" customWidth="1"/>
    <col min="8450" max="8454" width="14.81640625" style="75" customWidth="1"/>
    <col min="8455" max="8456" width="9.26953125" style="75" customWidth="1"/>
    <col min="8457" max="8704" width="8.7265625" style="75"/>
    <col min="8705" max="8705" width="45.81640625" style="75" customWidth="1"/>
    <col min="8706" max="8710" width="14.81640625" style="75" customWidth="1"/>
    <col min="8711" max="8712" width="9.26953125" style="75" customWidth="1"/>
    <col min="8713" max="8960" width="8.7265625" style="75"/>
    <col min="8961" max="8961" width="45.81640625" style="75" customWidth="1"/>
    <col min="8962" max="8966" width="14.81640625" style="75" customWidth="1"/>
    <col min="8967" max="8968" width="9.26953125" style="75" customWidth="1"/>
    <col min="8969" max="9216" width="8.7265625" style="75"/>
    <col min="9217" max="9217" width="45.81640625" style="75" customWidth="1"/>
    <col min="9218" max="9222" width="14.81640625" style="75" customWidth="1"/>
    <col min="9223" max="9224" width="9.26953125" style="75" customWidth="1"/>
    <col min="9225" max="9472" width="8.7265625" style="75"/>
    <col min="9473" max="9473" width="45.81640625" style="75" customWidth="1"/>
    <col min="9474" max="9478" width="14.81640625" style="75" customWidth="1"/>
    <col min="9479" max="9480" width="9.26953125" style="75" customWidth="1"/>
    <col min="9481" max="9728" width="8.7265625" style="75"/>
    <col min="9729" max="9729" width="45.81640625" style="75" customWidth="1"/>
    <col min="9730" max="9734" width="14.81640625" style="75" customWidth="1"/>
    <col min="9735" max="9736" width="9.26953125" style="75" customWidth="1"/>
    <col min="9737" max="9984" width="8.7265625" style="75"/>
    <col min="9985" max="9985" width="45.81640625" style="75" customWidth="1"/>
    <col min="9986" max="9990" width="14.81640625" style="75" customWidth="1"/>
    <col min="9991" max="9992" width="9.26953125" style="75" customWidth="1"/>
    <col min="9993" max="10240" width="8.7265625" style="75"/>
    <col min="10241" max="10241" width="45.81640625" style="75" customWidth="1"/>
    <col min="10242" max="10246" width="14.81640625" style="75" customWidth="1"/>
    <col min="10247" max="10248" width="9.26953125" style="75" customWidth="1"/>
    <col min="10249" max="10496" width="8.7265625" style="75"/>
    <col min="10497" max="10497" width="45.81640625" style="75" customWidth="1"/>
    <col min="10498" max="10502" width="14.81640625" style="75" customWidth="1"/>
    <col min="10503" max="10504" width="9.26953125" style="75" customWidth="1"/>
    <col min="10505" max="10752" width="8.7265625" style="75"/>
    <col min="10753" max="10753" width="45.81640625" style="75" customWidth="1"/>
    <col min="10754" max="10758" width="14.81640625" style="75" customWidth="1"/>
    <col min="10759" max="10760" width="9.26953125" style="75" customWidth="1"/>
    <col min="10761" max="11008" width="8.7265625" style="75"/>
    <col min="11009" max="11009" width="45.81640625" style="75" customWidth="1"/>
    <col min="11010" max="11014" width="14.81640625" style="75" customWidth="1"/>
    <col min="11015" max="11016" width="9.26953125" style="75" customWidth="1"/>
    <col min="11017" max="11264" width="8.7265625" style="75"/>
    <col min="11265" max="11265" width="45.81640625" style="75" customWidth="1"/>
    <col min="11266" max="11270" width="14.81640625" style="75" customWidth="1"/>
    <col min="11271" max="11272" width="9.26953125" style="75" customWidth="1"/>
    <col min="11273" max="11520" width="8.7265625" style="75"/>
    <col min="11521" max="11521" width="45.81640625" style="75" customWidth="1"/>
    <col min="11522" max="11526" width="14.81640625" style="75" customWidth="1"/>
    <col min="11527" max="11528" width="9.26953125" style="75" customWidth="1"/>
    <col min="11529" max="11776" width="8.7265625" style="75"/>
    <col min="11777" max="11777" width="45.81640625" style="75" customWidth="1"/>
    <col min="11778" max="11782" width="14.81640625" style="75" customWidth="1"/>
    <col min="11783" max="11784" width="9.26953125" style="75" customWidth="1"/>
    <col min="11785" max="12032" width="8.7265625" style="75"/>
    <col min="12033" max="12033" width="45.81640625" style="75" customWidth="1"/>
    <col min="12034" max="12038" width="14.81640625" style="75" customWidth="1"/>
    <col min="12039" max="12040" width="9.26953125" style="75" customWidth="1"/>
    <col min="12041" max="12288" width="8.7265625" style="75"/>
    <col min="12289" max="12289" width="45.81640625" style="75" customWidth="1"/>
    <col min="12290" max="12294" width="14.81640625" style="75" customWidth="1"/>
    <col min="12295" max="12296" width="9.26953125" style="75" customWidth="1"/>
    <col min="12297" max="12544" width="8.7265625" style="75"/>
    <col min="12545" max="12545" width="45.81640625" style="75" customWidth="1"/>
    <col min="12546" max="12550" width="14.81640625" style="75" customWidth="1"/>
    <col min="12551" max="12552" width="9.26953125" style="75" customWidth="1"/>
    <col min="12553" max="12800" width="8.7265625" style="75"/>
    <col min="12801" max="12801" width="45.81640625" style="75" customWidth="1"/>
    <col min="12802" max="12806" width="14.81640625" style="75" customWidth="1"/>
    <col min="12807" max="12808" width="9.26953125" style="75" customWidth="1"/>
    <col min="12809" max="13056" width="8.7265625" style="75"/>
    <col min="13057" max="13057" width="45.81640625" style="75" customWidth="1"/>
    <col min="13058" max="13062" width="14.81640625" style="75" customWidth="1"/>
    <col min="13063" max="13064" width="9.26953125" style="75" customWidth="1"/>
    <col min="13065" max="13312" width="8.7265625" style="75"/>
    <col min="13313" max="13313" width="45.81640625" style="75" customWidth="1"/>
    <col min="13314" max="13318" width="14.81640625" style="75" customWidth="1"/>
    <col min="13319" max="13320" width="9.26953125" style="75" customWidth="1"/>
    <col min="13321" max="13568" width="8.7265625" style="75"/>
    <col min="13569" max="13569" width="45.81640625" style="75" customWidth="1"/>
    <col min="13570" max="13574" width="14.81640625" style="75" customWidth="1"/>
    <col min="13575" max="13576" width="9.26953125" style="75" customWidth="1"/>
    <col min="13577" max="13824" width="8.7265625" style="75"/>
    <col min="13825" max="13825" width="45.81640625" style="75" customWidth="1"/>
    <col min="13826" max="13830" width="14.81640625" style="75" customWidth="1"/>
    <col min="13831" max="13832" width="9.26953125" style="75" customWidth="1"/>
    <col min="13833" max="14080" width="8.7265625" style="75"/>
    <col min="14081" max="14081" width="45.81640625" style="75" customWidth="1"/>
    <col min="14082" max="14086" width="14.81640625" style="75" customWidth="1"/>
    <col min="14087" max="14088" width="9.26953125" style="75" customWidth="1"/>
    <col min="14089" max="14336" width="8.7265625" style="75"/>
    <col min="14337" max="14337" width="45.81640625" style="75" customWidth="1"/>
    <col min="14338" max="14342" width="14.81640625" style="75" customWidth="1"/>
    <col min="14343" max="14344" width="9.26953125" style="75" customWidth="1"/>
    <col min="14345" max="14592" width="8.7265625" style="75"/>
    <col min="14593" max="14593" width="45.81640625" style="75" customWidth="1"/>
    <col min="14594" max="14598" width="14.81640625" style="75" customWidth="1"/>
    <col min="14599" max="14600" width="9.26953125" style="75" customWidth="1"/>
    <col min="14601" max="14848" width="8.7265625" style="75"/>
    <col min="14849" max="14849" width="45.81640625" style="75" customWidth="1"/>
    <col min="14850" max="14854" width="14.81640625" style="75" customWidth="1"/>
    <col min="14855" max="14856" width="9.26953125" style="75" customWidth="1"/>
    <col min="14857" max="15104" width="8.7265625" style="75"/>
    <col min="15105" max="15105" width="45.81640625" style="75" customWidth="1"/>
    <col min="15106" max="15110" width="14.81640625" style="75" customWidth="1"/>
    <col min="15111" max="15112" width="9.26953125" style="75" customWidth="1"/>
    <col min="15113" max="15360" width="8.7265625" style="75"/>
    <col min="15361" max="15361" width="45.81640625" style="75" customWidth="1"/>
    <col min="15362" max="15366" width="14.81640625" style="75" customWidth="1"/>
    <col min="15367" max="15368" width="9.26953125" style="75" customWidth="1"/>
    <col min="15369" max="15616" width="8.7265625" style="75"/>
    <col min="15617" max="15617" width="45.81640625" style="75" customWidth="1"/>
    <col min="15618" max="15622" width="14.81640625" style="75" customWidth="1"/>
    <col min="15623" max="15624" width="9.26953125" style="75" customWidth="1"/>
    <col min="15625" max="15872" width="8.7265625" style="75"/>
    <col min="15873" max="15873" width="45.81640625" style="75" customWidth="1"/>
    <col min="15874" max="15878" width="14.81640625" style="75" customWidth="1"/>
    <col min="15879" max="15880" width="9.26953125" style="75" customWidth="1"/>
    <col min="15881" max="16128" width="8.7265625" style="75"/>
    <col min="16129" max="16129" width="45.81640625" style="75" customWidth="1"/>
    <col min="16130" max="16134" width="14.81640625" style="75" customWidth="1"/>
    <col min="16135" max="16136" width="9.26953125" style="75" customWidth="1"/>
    <col min="16137" max="16384" width="8.7265625" style="75"/>
  </cols>
  <sheetData>
    <row r="5" spans="1:255" ht="17" x14ac:dyDescent="0.35">
      <c r="A5" s="74" t="s">
        <v>358</v>
      </c>
    </row>
    <row r="7" spans="1:255" ht="10.5" x14ac:dyDescent="0.25">
      <c r="A7" s="76" t="s">
        <v>174</v>
      </c>
      <c r="B7" s="77" t="s">
        <v>337</v>
      </c>
      <c r="C7" s="75" t="s">
        <v>338</v>
      </c>
      <c r="D7" s="78" t="s">
        <v>177</v>
      </c>
      <c r="E7" s="77" t="s">
        <v>180</v>
      </c>
      <c r="F7" s="75" t="s">
        <v>181</v>
      </c>
    </row>
    <row r="8" spans="1:255" ht="10.5" x14ac:dyDescent="0.25">
      <c r="A8" s="78"/>
      <c r="B8" s="77" t="s">
        <v>175</v>
      </c>
      <c r="C8" s="75" t="s">
        <v>176</v>
      </c>
      <c r="D8" s="78" t="s">
        <v>177</v>
      </c>
      <c r="E8" s="77" t="s">
        <v>178</v>
      </c>
      <c r="F8" s="75" t="s">
        <v>179</v>
      </c>
    </row>
    <row r="9" spans="1:255" ht="10.5" x14ac:dyDescent="0.25">
      <c r="A9" s="78"/>
      <c r="B9" s="77" t="s">
        <v>182</v>
      </c>
      <c r="C9" s="75" t="s">
        <v>183</v>
      </c>
      <c r="D9" s="78" t="s">
        <v>177</v>
      </c>
      <c r="E9" s="77" t="s">
        <v>184</v>
      </c>
      <c r="F9" s="79" t="s">
        <v>185</v>
      </c>
    </row>
    <row r="10" spans="1:255" ht="10.5" x14ac:dyDescent="0.25">
      <c r="A10" s="78"/>
      <c r="B10" s="77" t="s">
        <v>186</v>
      </c>
      <c r="C10" s="75" t="s">
        <v>187</v>
      </c>
      <c r="D10" s="78" t="s">
        <v>177</v>
      </c>
      <c r="E10" s="101"/>
      <c r="F10" s="101"/>
    </row>
    <row r="13" spans="1:255" x14ac:dyDescent="0.2">
      <c r="A13" s="80" t="s">
        <v>359</v>
      </c>
      <c r="B13" s="80"/>
      <c r="C13" s="80"/>
      <c r="D13" s="80"/>
      <c r="E13" s="80"/>
      <c r="F13" s="80"/>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row>
    <row r="14" spans="1:255" ht="21" x14ac:dyDescent="0.25">
      <c r="A14" s="82" t="s">
        <v>70</v>
      </c>
      <c r="B14" s="122">
        <v>43830</v>
      </c>
      <c r="C14" s="122">
        <v>44196</v>
      </c>
      <c r="D14" s="122">
        <v>44377</v>
      </c>
      <c r="E14" s="122">
        <v>44561</v>
      </c>
      <c r="F14" s="122">
        <v>44926</v>
      </c>
    </row>
    <row r="15" spans="1:255" ht="10.5" x14ac:dyDescent="0.25">
      <c r="A15" s="82" t="s">
        <v>360</v>
      </c>
      <c r="B15" s="83"/>
      <c r="C15" s="122">
        <v>44302</v>
      </c>
      <c r="D15" s="122">
        <v>44446</v>
      </c>
      <c r="E15" s="122">
        <v>44665</v>
      </c>
      <c r="F15" s="122">
        <v>45044</v>
      </c>
    </row>
    <row r="16" spans="1:255" x14ac:dyDescent="0.2">
      <c r="A16" s="84" t="s">
        <v>26</v>
      </c>
      <c r="B16" s="85" t="s">
        <v>27</v>
      </c>
      <c r="C16" s="85" t="s">
        <v>27</v>
      </c>
      <c r="D16" s="85" t="s">
        <v>27</v>
      </c>
      <c r="E16" s="85" t="s">
        <v>27</v>
      </c>
      <c r="F16" s="85" t="s">
        <v>27</v>
      </c>
    </row>
    <row r="17" spans="1:6" ht="10.5" x14ac:dyDescent="0.2">
      <c r="A17" s="86" t="s">
        <v>361</v>
      </c>
      <c r="B17" s="78"/>
      <c r="C17" s="78"/>
      <c r="D17" s="78"/>
      <c r="E17" s="78"/>
      <c r="F17" s="78"/>
    </row>
    <row r="18" spans="1:6" x14ac:dyDescent="0.2">
      <c r="A18" s="78" t="s">
        <v>216</v>
      </c>
      <c r="B18" s="114" t="s">
        <v>30</v>
      </c>
      <c r="C18" s="96">
        <v>37.04</v>
      </c>
      <c r="D18" s="96">
        <v>44.27</v>
      </c>
      <c r="E18" s="96">
        <v>14.76</v>
      </c>
      <c r="F18" s="96">
        <v>13.45</v>
      </c>
    </row>
    <row r="19" spans="1:6" x14ac:dyDescent="0.2">
      <c r="A19" s="78" t="s">
        <v>217</v>
      </c>
      <c r="B19" s="94" t="s">
        <v>30</v>
      </c>
      <c r="C19" s="94">
        <v>24.983854999999998</v>
      </c>
      <c r="D19" s="94">
        <v>25.520665999999999</v>
      </c>
      <c r="E19" s="94">
        <v>25.593433999999998</v>
      </c>
      <c r="F19" s="94">
        <v>34.142901999999999</v>
      </c>
    </row>
    <row r="20" spans="1:6" x14ac:dyDescent="0.2">
      <c r="A20" s="78"/>
      <c r="B20" s="78"/>
      <c r="C20" s="78"/>
      <c r="D20" s="78"/>
      <c r="E20" s="78"/>
      <c r="F20" s="78"/>
    </row>
    <row r="21" spans="1:6" ht="10.5" x14ac:dyDescent="0.2">
      <c r="A21" s="86" t="s">
        <v>218</v>
      </c>
      <c r="B21" s="87" t="s">
        <v>30</v>
      </c>
      <c r="C21" s="87">
        <v>925.40198899999996</v>
      </c>
      <c r="D21" s="87">
        <v>1129.7998829999999</v>
      </c>
      <c r="E21" s="87">
        <v>377.75908500000003</v>
      </c>
      <c r="F21" s="87">
        <v>459.22203100000002</v>
      </c>
    </row>
    <row r="22" spans="1:6" x14ac:dyDescent="0.2">
      <c r="A22" s="78" t="s">
        <v>219</v>
      </c>
      <c r="B22" s="94">
        <v>6.016</v>
      </c>
      <c r="C22" s="94">
        <v>59.767000000000003</v>
      </c>
      <c r="D22" s="94">
        <v>68.311999999999998</v>
      </c>
      <c r="E22" s="94">
        <v>66.248999999999995</v>
      </c>
      <c r="F22" s="94">
        <v>41.179000000000002</v>
      </c>
    </row>
    <row r="23" spans="1:6" x14ac:dyDescent="0.2">
      <c r="A23" s="78" t="s">
        <v>220</v>
      </c>
      <c r="B23" s="94">
        <v>34.069000000000003</v>
      </c>
      <c r="C23" s="94">
        <v>33.883000000000003</v>
      </c>
      <c r="D23" s="94">
        <v>33.786999999999999</v>
      </c>
      <c r="E23" s="94">
        <v>42.573999999999998</v>
      </c>
      <c r="F23" s="94">
        <v>217.26</v>
      </c>
    </row>
    <row r="24" spans="1:6" x14ac:dyDescent="0.2">
      <c r="A24" s="78" t="s">
        <v>221</v>
      </c>
      <c r="B24" s="94" t="s">
        <v>30</v>
      </c>
      <c r="C24" s="94" t="s">
        <v>30</v>
      </c>
      <c r="D24" s="94" t="s">
        <v>30</v>
      </c>
      <c r="E24" s="94" t="s">
        <v>30</v>
      </c>
      <c r="F24" s="94" t="s">
        <v>30</v>
      </c>
    </row>
    <row r="25" spans="1:6" x14ac:dyDescent="0.2">
      <c r="A25" s="78" t="s">
        <v>222</v>
      </c>
      <c r="B25" s="94" t="s">
        <v>30</v>
      </c>
      <c r="C25" s="94" t="s">
        <v>30</v>
      </c>
      <c r="D25" s="94" t="s">
        <v>30</v>
      </c>
      <c r="E25" s="94" t="s">
        <v>30</v>
      </c>
      <c r="F25" s="94" t="s">
        <v>30</v>
      </c>
    </row>
    <row r="26" spans="1:6" x14ac:dyDescent="0.2">
      <c r="A26" s="78" t="s">
        <v>223</v>
      </c>
      <c r="B26" s="94" t="s">
        <v>30</v>
      </c>
      <c r="C26" s="94" t="s">
        <v>30</v>
      </c>
      <c r="D26" s="94" t="s">
        <v>30</v>
      </c>
      <c r="E26" s="94" t="s">
        <v>30</v>
      </c>
      <c r="F26" s="94" t="s">
        <v>30</v>
      </c>
    </row>
    <row r="27" spans="1:6" ht="10.5" x14ac:dyDescent="0.2">
      <c r="A27" s="86" t="s">
        <v>224</v>
      </c>
      <c r="B27" s="106" t="s">
        <v>30</v>
      </c>
      <c r="C27" s="106">
        <v>899.51798899999994</v>
      </c>
      <c r="D27" s="106">
        <v>1095.274883</v>
      </c>
      <c r="E27" s="106">
        <v>354.08408500000002</v>
      </c>
      <c r="F27" s="106">
        <v>635.30303100000003</v>
      </c>
    </row>
    <row r="28" spans="1:6" x14ac:dyDescent="0.2">
      <c r="A28" s="78"/>
      <c r="B28" s="78"/>
      <c r="C28" s="78"/>
      <c r="D28" s="78"/>
      <c r="E28" s="78"/>
      <c r="F28" s="78"/>
    </row>
    <row r="29" spans="1:6" x14ac:dyDescent="0.2">
      <c r="A29" s="78" t="s">
        <v>225</v>
      </c>
      <c r="B29" s="94">
        <v>-5.6</v>
      </c>
      <c r="C29" s="94">
        <v>50.820999999999998</v>
      </c>
      <c r="D29" s="94">
        <v>58.817</v>
      </c>
      <c r="E29" s="94">
        <v>59.793999999999997</v>
      </c>
      <c r="F29" s="94">
        <v>145.339</v>
      </c>
    </row>
    <row r="30" spans="1:6" x14ac:dyDescent="0.2">
      <c r="A30" s="78" t="s">
        <v>221</v>
      </c>
      <c r="B30" s="94" t="s">
        <v>30</v>
      </c>
      <c r="C30" s="94" t="s">
        <v>30</v>
      </c>
      <c r="D30" s="94" t="s">
        <v>30</v>
      </c>
      <c r="E30" s="94" t="s">
        <v>30</v>
      </c>
      <c r="F30" s="94" t="s">
        <v>30</v>
      </c>
    </row>
    <row r="31" spans="1:6" x14ac:dyDescent="0.2">
      <c r="A31" s="78" t="s">
        <v>222</v>
      </c>
      <c r="B31" s="94" t="s">
        <v>30</v>
      </c>
      <c r="C31" s="94" t="s">
        <v>30</v>
      </c>
      <c r="D31" s="94" t="s">
        <v>30</v>
      </c>
      <c r="E31" s="94" t="s">
        <v>30</v>
      </c>
      <c r="F31" s="94" t="s">
        <v>30</v>
      </c>
    </row>
    <row r="32" spans="1:6" x14ac:dyDescent="0.2">
      <c r="A32" s="78" t="s">
        <v>220</v>
      </c>
      <c r="B32" s="94">
        <v>34.069000000000003</v>
      </c>
      <c r="C32" s="94">
        <v>33.883000000000003</v>
      </c>
      <c r="D32" s="94">
        <v>33.786999999999999</v>
      </c>
      <c r="E32" s="94">
        <v>42.573999999999998</v>
      </c>
      <c r="F32" s="94">
        <v>217.26</v>
      </c>
    </row>
    <row r="33" spans="1:6" ht="10.5" x14ac:dyDescent="0.2">
      <c r="A33" s="86" t="s">
        <v>226</v>
      </c>
      <c r="B33" s="106">
        <v>28.460999999999999</v>
      </c>
      <c r="C33" s="106">
        <v>84.703999999999994</v>
      </c>
      <c r="D33" s="106">
        <v>92.603999999999999</v>
      </c>
      <c r="E33" s="106">
        <v>102.36799999999999</v>
      </c>
      <c r="F33" s="106">
        <v>362.59899999999999</v>
      </c>
    </row>
    <row r="34" spans="1:6" x14ac:dyDescent="0.2">
      <c r="A34" s="78"/>
      <c r="B34" s="78"/>
      <c r="C34" s="78"/>
      <c r="D34" s="78"/>
      <c r="E34" s="78"/>
      <c r="F34" s="78"/>
    </row>
    <row r="35" spans="1:6" x14ac:dyDescent="0.2">
      <c r="A35" s="95"/>
      <c r="B35" s="95"/>
      <c r="C35" s="95"/>
      <c r="D35" s="95"/>
      <c r="E35" s="95"/>
      <c r="F35" s="95"/>
    </row>
    <row r="36" spans="1:6" ht="80" x14ac:dyDescent="0.2">
      <c r="A36" s="145" t="s">
        <v>362</v>
      </c>
    </row>
    <row r="37" spans="1:6" ht="60" x14ac:dyDescent="0.2">
      <c r="A37" s="145" t="s">
        <v>363</v>
      </c>
    </row>
    <row r="39" spans="1:6" ht="25" customHeight="1" x14ac:dyDescent="0.2">
      <c r="A39" s="144" t="s">
        <v>357</v>
      </c>
    </row>
  </sheetData>
  <pageMargins left="0.2" right="0.2" top="0.5" bottom="0.5" header="0.5" footer="0.5"/>
  <pageSetup fitToWidth="0" fitToHeight="0" orientation="landscape" horizontalDpi="0" verticalDpi="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E8C4E-63E6-478F-A096-4C059DB4BED1}">
  <sheetPr>
    <outlinePr summaryBelow="0" summaryRight="0"/>
    <pageSetUpPr autoPageBreaks="0"/>
  </sheetPr>
  <dimension ref="A5:IU80"/>
  <sheetViews>
    <sheetView workbookViewId="0">
      <selection activeCell="A19" sqref="A19"/>
    </sheetView>
  </sheetViews>
  <sheetFormatPr defaultRowHeight="10" x14ac:dyDescent="0.2"/>
  <cols>
    <col min="1" max="1" width="45.81640625" style="75" customWidth="1"/>
    <col min="2" max="11" width="14.81640625" style="75" customWidth="1"/>
    <col min="12" max="256" width="8.7265625" style="75"/>
    <col min="257" max="257" width="45.81640625" style="75" customWidth="1"/>
    <col min="258" max="267" width="14.81640625" style="75" customWidth="1"/>
    <col min="268" max="512" width="8.7265625" style="75"/>
    <col min="513" max="513" width="45.81640625" style="75" customWidth="1"/>
    <col min="514" max="523" width="14.81640625" style="75" customWidth="1"/>
    <col min="524" max="768" width="8.7265625" style="75"/>
    <col min="769" max="769" width="45.81640625" style="75" customWidth="1"/>
    <col min="770" max="779" width="14.81640625" style="75" customWidth="1"/>
    <col min="780" max="1024" width="8.7265625" style="75"/>
    <col min="1025" max="1025" width="45.81640625" style="75" customWidth="1"/>
    <col min="1026" max="1035" width="14.81640625" style="75" customWidth="1"/>
    <col min="1036" max="1280" width="8.7265625" style="75"/>
    <col min="1281" max="1281" width="45.81640625" style="75" customWidth="1"/>
    <col min="1282" max="1291" width="14.81640625" style="75" customWidth="1"/>
    <col min="1292" max="1536" width="8.7265625" style="75"/>
    <col min="1537" max="1537" width="45.81640625" style="75" customWidth="1"/>
    <col min="1538" max="1547" width="14.81640625" style="75" customWidth="1"/>
    <col min="1548" max="1792" width="8.7265625" style="75"/>
    <col min="1793" max="1793" width="45.81640625" style="75" customWidth="1"/>
    <col min="1794" max="1803" width="14.81640625" style="75" customWidth="1"/>
    <col min="1804" max="2048" width="8.7265625" style="75"/>
    <col min="2049" max="2049" width="45.81640625" style="75" customWidth="1"/>
    <col min="2050" max="2059" width="14.81640625" style="75" customWidth="1"/>
    <col min="2060" max="2304" width="8.7265625" style="75"/>
    <col min="2305" max="2305" width="45.81640625" style="75" customWidth="1"/>
    <col min="2306" max="2315" width="14.81640625" style="75" customWidth="1"/>
    <col min="2316" max="2560" width="8.7265625" style="75"/>
    <col min="2561" max="2561" width="45.81640625" style="75" customWidth="1"/>
    <col min="2562" max="2571" width="14.81640625" style="75" customWidth="1"/>
    <col min="2572" max="2816" width="8.7265625" style="75"/>
    <col min="2817" max="2817" width="45.81640625" style="75" customWidth="1"/>
    <col min="2818" max="2827" width="14.81640625" style="75" customWidth="1"/>
    <col min="2828" max="3072" width="8.7265625" style="75"/>
    <col min="3073" max="3073" width="45.81640625" style="75" customWidth="1"/>
    <col min="3074" max="3083" width="14.81640625" style="75" customWidth="1"/>
    <col min="3084" max="3328" width="8.7265625" style="75"/>
    <col min="3329" max="3329" width="45.81640625" style="75" customWidth="1"/>
    <col min="3330" max="3339" width="14.81640625" style="75" customWidth="1"/>
    <col min="3340" max="3584" width="8.7265625" style="75"/>
    <col min="3585" max="3585" width="45.81640625" style="75" customWidth="1"/>
    <col min="3586" max="3595" width="14.81640625" style="75" customWidth="1"/>
    <col min="3596" max="3840" width="8.7265625" style="75"/>
    <col min="3841" max="3841" width="45.81640625" style="75" customWidth="1"/>
    <col min="3842" max="3851" width="14.81640625" style="75" customWidth="1"/>
    <col min="3852" max="4096" width="8.7265625" style="75"/>
    <col min="4097" max="4097" width="45.81640625" style="75" customWidth="1"/>
    <col min="4098" max="4107" width="14.81640625" style="75" customWidth="1"/>
    <col min="4108" max="4352" width="8.7265625" style="75"/>
    <col min="4353" max="4353" width="45.81640625" style="75" customWidth="1"/>
    <col min="4354" max="4363" width="14.81640625" style="75" customWidth="1"/>
    <col min="4364" max="4608" width="8.7265625" style="75"/>
    <col min="4609" max="4609" width="45.81640625" style="75" customWidth="1"/>
    <col min="4610" max="4619" width="14.81640625" style="75" customWidth="1"/>
    <col min="4620" max="4864" width="8.7265625" style="75"/>
    <col min="4865" max="4865" width="45.81640625" style="75" customWidth="1"/>
    <col min="4866" max="4875" width="14.81640625" style="75" customWidth="1"/>
    <col min="4876" max="5120" width="8.7265625" style="75"/>
    <col min="5121" max="5121" width="45.81640625" style="75" customWidth="1"/>
    <col min="5122" max="5131" width="14.81640625" style="75" customWidth="1"/>
    <col min="5132" max="5376" width="8.7265625" style="75"/>
    <col min="5377" max="5377" width="45.81640625" style="75" customWidth="1"/>
    <col min="5378" max="5387" width="14.81640625" style="75" customWidth="1"/>
    <col min="5388" max="5632" width="8.7265625" style="75"/>
    <col min="5633" max="5633" width="45.81640625" style="75" customWidth="1"/>
    <col min="5634" max="5643" width="14.81640625" style="75" customWidth="1"/>
    <col min="5644" max="5888" width="8.7265625" style="75"/>
    <col min="5889" max="5889" width="45.81640625" style="75" customWidth="1"/>
    <col min="5890" max="5899" width="14.81640625" style="75" customWidth="1"/>
    <col min="5900" max="6144" width="8.7265625" style="75"/>
    <col min="6145" max="6145" width="45.81640625" style="75" customWidth="1"/>
    <col min="6146" max="6155" width="14.81640625" style="75" customWidth="1"/>
    <col min="6156" max="6400" width="8.7265625" style="75"/>
    <col min="6401" max="6401" width="45.81640625" style="75" customWidth="1"/>
    <col min="6402" max="6411" width="14.81640625" style="75" customWidth="1"/>
    <col min="6412" max="6656" width="8.7265625" style="75"/>
    <col min="6657" max="6657" width="45.81640625" style="75" customWidth="1"/>
    <col min="6658" max="6667" width="14.81640625" style="75" customWidth="1"/>
    <col min="6668" max="6912" width="8.7265625" style="75"/>
    <col min="6913" max="6913" width="45.81640625" style="75" customWidth="1"/>
    <col min="6914" max="6923" width="14.81640625" style="75" customWidth="1"/>
    <col min="6924" max="7168" width="8.7265625" style="75"/>
    <col min="7169" max="7169" width="45.81640625" style="75" customWidth="1"/>
    <col min="7170" max="7179" width="14.81640625" style="75" customWidth="1"/>
    <col min="7180" max="7424" width="8.7265625" style="75"/>
    <col min="7425" max="7425" width="45.81640625" style="75" customWidth="1"/>
    <col min="7426" max="7435" width="14.81640625" style="75" customWidth="1"/>
    <col min="7436" max="7680" width="8.7265625" style="75"/>
    <col min="7681" max="7681" width="45.81640625" style="75" customWidth="1"/>
    <col min="7682" max="7691" width="14.81640625" style="75" customWidth="1"/>
    <col min="7692" max="7936" width="8.7265625" style="75"/>
    <col min="7937" max="7937" width="45.81640625" style="75" customWidth="1"/>
    <col min="7938" max="7947" width="14.81640625" style="75" customWidth="1"/>
    <col min="7948" max="8192" width="8.7265625" style="75"/>
    <col min="8193" max="8193" width="45.81640625" style="75" customWidth="1"/>
    <col min="8194" max="8203" width="14.81640625" style="75" customWidth="1"/>
    <col min="8204" max="8448" width="8.7265625" style="75"/>
    <col min="8449" max="8449" width="45.81640625" style="75" customWidth="1"/>
    <col min="8450" max="8459" width="14.81640625" style="75" customWidth="1"/>
    <col min="8460" max="8704" width="8.7265625" style="75"/>
    <col min="8705" max="8705" width="45.81640625" style="75" customWidth="1"/>
    <col min="8706" max="8715" width="14.81640625" style="75" customWidth="1"/>
    <col min="8716" max="8960" width="8.7265625" style="75"/>
    <col min="8961" max="8961" width="45.81640625" style="75" customWidth="1"/>
    <col min="8962" max="8971" width="14.81640625" style="75" customWidth="1"/>
    <col min="8972" max="9216" width="8.7265625" style="75"/>
    <col min="9217" max="9217" width="45.81640625" style="75" customWidth="1"/>
    <col min="9218" max="9227" width="14.81640625" style="75" customWidth="1"/>
    <col min="9228" max="9472" width="8.7265625" style="75"/>
    <col min="9473" max="9473" width="45.81640625" style="75" customWidth="1"/>
    <col min="9474" max="9483" width="14.81640625" style="75" customWidth="1"/>
    <col min="9484" max="9728" width="8.7265625" style="75"/>
    <col min="9729" max="9729" width="45.81640625" style="75" customWidth="1"/>
    <col min="9730" max="9739" width="14.81640625" style="75" customWidth="1"/>
    <col min="9740" max="9984" width="8.7265625" style="75"/>
    <col min="9985" max="9985" width="45.81640625" style="75" customWidth="1"/>
    <col min="9986" max="9995" width="14.81640625" style="75" customWidth="1"/>
    <col min="9996" max="10240" width="8.7265625" style="75"/>
    <col min="10241" max="10241" width="45.81640625" style="75" customWidth="1"/>
    <col min="10242" max="10251" width="14.81640625" style="75" customWidth="1"/>
    <col min="10252" max="10496" width="8.7265625" style="75"/>
    <col min="10497" max="10497" width="45.81640625" style="75" customWidth="1"/>
    <col min="10498" max="10507" width="14.81640625" style="75" customWidth="1"/>
    <col min="10508" max="10752" width="8.7265625" style="75"/>
    <col min="10753" max="10753" width="45.81640625" style="75" customWidth="1"/>
    <col min="10754" max="10763" width="14.81640625" style="75" customWidth="1"/>
    <col min="10764" max="11008" width="8.7265625" style="75"/>
    <col min="11009" max="11009" width="45.81640625" style="75" customWidth="1"/>
    <col min="11010" max="11019" width="14.81640625" style="75" customWidth="1"/>
    <col min="11020" max="11264" width="8.7265625" style="75"/>
    <col min="11265" max="11265" width="45.81640625" style="75" customWidth="1"/>
    <col min="11266" max="11275" width="14.81640625" style="75" customWidth="1"/>
    <col min="11276" max="11520" width="8.7265625" style="75"/>
    <col min="11521" max="11521" width="45.81640625" style="75" customWidth="1"/>
    <col min="11522" max="11531" width="14.81640625" style="75" customWidth="1"/>
    <col min="11532" max="11776" width="8.7265625" style="75"/>
    <col min="11777" max="11777" width="45.81640625" style="75" customWidth="1"/>
    <col min="11778" max="11787" width="14.81640625" style="75" customWidth="1"/>
    <col min="11788" max="12032" width="8.7265625" style="75"/>
    <col min="12033" max="12033" width="45.81640625" style="75" customWidth="1"/>
    <col min="12034" max="12043" width="14.81640625" style="75" customWidth="1"/>
    <col min="12044" max="12288" width="8.7265625" style="75"/>
    <col min="12289" max="12289" width="45.81640625" style="75" customWidth="1"/>
    <col min="12290" max="12299" width="14.81640625" style="75" customWidth="1"/>
    <col min="12300" max="12544" width="8.7265625" style="75"/>
    <col min="12545" max="12545" width="45.81640625" style="75" customWidth="1"/>
    <col min="12546" max="12555" width="14.81640625" style="75" customWidth="1"/>
    <col min="12556" max="12800" width="8.7265625" style="75"/>
    <col min="12801" max="12801" width="45.81640625" style="75" customWidth="1"/>
    <col min="12802" max="12811" width="14.81640625" style="75" customWidth="1"/>
    <col min="12812" max="13056" width="8.7265625" style="75"/>
    <col min="13057" max="13057" width="45.81640625" style="75" customWidth="1"/>
    <col min="13058" max="13067" width="14.81640625" style="75" customWidth="1"/>
    <col min="13068" max="13312" width="8.7265625" style="75"/>
    <col min="13313" max="13313" width="45.81640625" style="75" customWidth="1"/>
    <col min="13314" max="13323" width="14.81640625" style="75" customWidth="1"/>
    <col min="13324" max="13568" width="8.7265625" style="75"/>
    <col min="13569" max="13569" width="45.81640625" style="75" customWidth="1"/>
    <col min="13570" max="13579" width="14.81640625" style="75" customWidth="1"/>
    <col min="13580" max="13824" width="8.7265625" style="75"/>
    <col min="13825" max="13825" width="45.81640625" style="75" customWidth="1"/>
    <col min="13826" max="13835" width="14.81640625" style="75" customWidth="1"/>
    <col min="13836" max="14080" width="8.7265625" style="75"/>
    <col min="14081" max="14081" width="45.81640625" style="75" customWidth="1"/>
    <col min="14082" max="14091" width="14.81640625" style="75" customWidth="1"/>
    <col min="14092" max="14336" width="8.7265625" style="75"/>
    <col min="14337" max="14337" width="45.81640625" style="75" customWidth="1"/>
    <col min="14338" max="14347" width="14.81640625" style="75" customWidth="1"/>
    <col min="14348" max="14592" width="8.7265625" style="75"/>
    <col min="14593" max="14593" width="45.81640625" style="75" customWidth="1"/>
    <col min="14594" max="14603" width="14.81640625" style="75" customWidth="1"/>
    <col min="14604" max="14848" width="8.7265625" style="75"/>
    <col min="14849" max="14849" width="45.81640625" style="75" customWidth="1"/>
    <col min="14850" max="14859" width="14.81640625" style="75" customWidth="1"/>
    <col min="14860" max="15104" width="8.7265625" style="75"/>
    <col min="15105" max="15105" width="45.81640625" style="75" customWidth="1"/>
    <col min="15106" max="15115" width="14.81640625" style="75" customWidth="1"/>
    <col min="15116" max="15360" width="8.7265625" style="75"/>
    <col min="15361" max="15361" width="45.81640625" style="75" customWidth="1"/>
    <col min="15362" max="15371" width="14.81640625" style="75" customWidth="1"/>
    <col min="15372" max="15616" width="8.7265625" style="75"/>
    <col min="15617" max="15617" width="45.81640625" style="75" customWidth="1"/>
    <col min="15618" max="15627" width="14.81640625" style="75" customWidth="1"/>
    <col min="15628" max="15872" width="8.7265625" style="75"/>
    <col min="15873" max="15873" width="45.81640625" style="75" customWidth="1"/>
    <col min="15874" max="15883" width="14.81640625" style="75" customWidth="1"/>
    <col min="15884" max="16128" width="8.7265625" style="75"/>
    <col min="16129" max="16129" width="45.81640625" style="75" customWidth="1"/>
    <col min="16130" max="16139" width="14.81640625" style="75" customWidth="1"/>
    <col min="16140" max="16384" width="8.7265625" style="75"/>
  </cols>
  <sheetData>
    <row r="5" spans="1:255" ht="17" x14ac:dyDescent="0.35">
      <c r="A5" s="74" t="s">
        <v>364</v>
      </c>
    </row>
    <row r="7" spans="1:255" ht="20.5" x14ac:dyDescent="0.25">
      <c r="A7" s="76" t="s">
        <v>365</v>
      </c>
      <c r="B7" s="77" t="s">
        <v>248</v>
      </c>
      <c r="C7" s="75" t="s">
        <v>249</v>
      </c>
      <c r="D7" s="78" t="s">
        <v>177</v>
      </c>
      <c r="E7" s="77" t="s">
        <v>250</v>
      </c>
      <c r="F7" s="75" t="s">
        <v>251</v>
      </c>
    </row>
    <row r="8" spans="1:255" ht="10.5" x14ac:dyDescent="0.25">
      <c r="A8" s="78"/>
      <c r="B8" s="77" t="s">
        <v>175</v>
      </c>
      <c r="C8" s="75" t="s">
        <v>252</v>
      </c>
      <c r="D8" s="78" t="s">
        <v>177</v>
      </c>
      <c r="E8" s="77" t="s">
        <v>178</v>
      </c>
      <c r="F8" s="75" t="s">
        <v>179</v>
      </c>
    </row>
    <row r="9" spans="1:255" ht="10.5" x14ac:dyDescent="0.25">
      <c r="A9" s="78"/>
      <c r="B9" s="77" t="s">
        <v>182</v>
      </c>
      <c r="C9" s="75" t="s">
        <v>183</v>
      </c>
      <c r="D9" s="78" t="s">
        <v>177</v>
      </c>
      <c r="E9" s="77" t="s">
        <v>184</v>
      </c>
      <c r="F9" s="79" t="s">
        <v>185</v>
      </c>
    </row>
    <row r="10" spans="1:255" ht="10.5" x14ac:dyDescent="0.25">
      <c r="A10" s="78"/>
      <c r="B10" s="77" t="s">
        <v>180</v>
      </c>
      <c r="C10" s="75" t="s">
        <v>181</v>
      </c>
      <c r="D10" s="78" t="s">
        <v>177</v>
      </c>
      <c r="E10" s="101"/>
      <c r="F10" s="101"/>
    </row>
    <row r="13" spans="1:255" x14ac:dyDescent="0.2">
      <c r="A13" s="80" t="s">
        <v>366</v>
      </c>
      <c r="B13" s="80"/>
      <c r="C13" s="80"/>
      <c r="D13" s="80"/>
      <c r="E13" s="80"/>
      <c r="F13" s="80"/>
      <c r="G13" s="80"/>
      <c r="H13" s="80"/>
      <c r="I13" s="80"/>
      <c r="J13" s="80"/>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row>
    <row r="14" spans="1:255" ht="21" x14ac:dyDescent="0.25">
      <c r="A14" s="82" t="s">
        <v>367</v>
      </c>
      <c r="B14" s="281" t="s">
        <v>368</v>
      </c>
      <c r="C14" s="282"/>
      <c r="D14" s="281" t="s">
        <v>369</v>
      </c>
      <c r="E14" s="282"/>
      <c r="F14" s="281" t="s">
        <v>370</v>
      </c>
      <c r="G14" s="283"/>
      <c r="H14" s="284" t="s">
        <v>371</v>
      </c>
      <c r="I14" s="283"/>
      <c r="J14" s="284" t="s">
        <v>372</v>
      </c>
      <c r="K14" s="283"/>
    </row>
    <row r="15" spans="1:255" x14ac:dyDescent="0.2">
      <c r="A15" s="84" t="s">
        <v>373</v>
      </c>
      <c r="B15" s="85" t="s">
        <v>374</v>
      </c>
      <c r="C15" s="85"/>
      <c r="D15" s="85" t="s">
        <v>374</v>
      </c>
      <c r="E15" s="85"/>
      <c r="F15" s="85" t="s">
        <v>374</v>
      </c>
      <c r="G15" s="147"/>
      <c r="H15" s="147" t="s">
        <v>374</v>
      </c>
      <c r="I15" s="147"/>
      <c r="J15" s="147" t="s">
        <v>374</v>
      </c>
      <c r="K15" s="147"/>
    </row>
    <row r="16" spans="1:255" ht="10.5" x14ac:dyDescent="0.25">
      <c r="A16" s="82" t="s">
        <v>375</v>
      </c>
      <c r="B16" s="83" t="s">
        <v>376</v>
      </c>
      <c r="C16" s="83" t="s">
        <v>377</v>
      </c>
      <c r="D16" s="83" t="s">
        <v>376</v>
      </c>
      <c r="E16" s="83" t="s">
        <v>377</v>
      </c>
      <c r="F16" s="83" t="s">
        <v>376</v>
      </c>
      <c r="G16" s="148" t="s">
        <v>377</v>
      </c>
      <c r="H16" s="148" t="s">
        <v>376</v>
      </c>
      <c r="I16" s="148" t="s">
        <v>377</v>
      </c>
      <c r="J16" s="148" t="s">
        <v>376</v>
      </c>
      <c r="K16" s="148" t="s">
        <v>377</v>
      </c>
    </row>
    <row r="17" spans="1:255" ht="10.5" x14ac:dyDescent="0.2">
      <c r="A17" s="86" t="s">
        <v>28</v>
      </c>
      <c r="B17" s="78"/>
      <c r="C17" s="146"/>
      <c r="D17" s="78"/>
      <c r="E17" s="146"/>
      <c r="F17" s="78"/>
      <c r="H17" s="121"/>
      <c r="J17" s="121"/>
    </row>
    <row r="18" spans="1:255" x14ac:dyDescent="0.2">
      <c r="A18" s="78" t="s">
        <v>118</v>
      </c>
      <c r="B18" s="94">
        <v>18.265999999999998</v>
      </c>
      <c r="C18" s="90">
        <v>1.1401285812369999</v>
      </c>
      <c r="D18" s="94">
        <v>34.069000000000003</v>
      </c>
      <c r="E18" s="90">
        <v>1.1970415656510001</v>
      </c>
      <c r="F18" s="94">
        <v>33.883000000000003</v>
      </c>
      <c r="G18" s="149">
        <v>0.40001652814499999</v>
      </c>
      <c r="H18" s="150">
        <v>39.124000000000002</v>
      </c>
      <c r="I18" s="149">
        <v>0.39551952122</v>
      </c>
      <c r="J18" s="150">
        <v>217.26</v>
      </c>
      <c r="K18" s="149">
        <v>0.59917429446899995</v>
      </c>
    </row>
    <row r="19" spans="1:255" x14ac:dyDescent="0.2">
      <c r="A19" s="78" t="s">
        <v>378</v>
      </c>
      <c r="B19" s="94">
        <v>-2.2000000000000002</v>
      </c>
      <c r="C19" s="90">
        <v>-0.14012858123700001</v>
      </c>
      <c r="D19" s="94">
        <v>-5.6</v>
      </c>
      <c r="E19" s="90">
        <v>-0.19704156565100001</v>
      </c>
      <c r="F19" s="94">
        <v>50.820999999999998</v>
      </c>
      <c r="G19" s="149">
        <v>0.59998347185500001</v>
      </c>
      <c r="H19" s="150">
        <v>59.793999999999997</v>
      </c>
      <c r="I19" s="149">
        <v>0.60448047878</v>
      </c>
      <c r="J19" s="150">
        <v>145.339</v>
      </c>
      <c r="K19" s="149">
        <v>0.400825705531</v>
      </c>
    </row>
    <row r="20" spans="1:255" ht="10.5" x14ac:dyDescent="0.25">
      <c r="A20" s="86" t="s">
        <v>379</v>
      </c>
      <c r="B20" s="87">
        <v>16.021000000000001</v>
      </c>
      <c r="C20" s="151">
        <v>1</v>
      </c>
      <c r="D20" s="87">
        <v>28.460999999999999</v>
      </c>
      <c r="E20" s="151">
        <v>1</v>
      </c>
      <c r="F20" s="87">
        <v>84.703999999999994</v>
      </c>
      <c r="G20" s="152">
        <v>1</v>
      </c>
      <c r="H20" s="153">
        <v>98.918000000000006</v>
      </c>
      <c r="I20" s="152">
        <v>1</v>
      </c>
      <c r="J20" s="153">
        <v>362.59899999999999</v>
      </c>
      <c r="K20" s="152">
        <v>1</v>
      </c>
    </row>
    <row r="21" spans="1:255" x14ac:dyDescent="0.2">
      <c r="A21" s="78"/>
      <c r="B21" s="78"/>
      <c r="C21" s="146"/>
      <c r="D21" s="78"/>
      <c r="E21" s="146"/>
      <c r="F21" s="78"/>
      <c r="H21" s="121"/>
      <c r="J21" s="121"/>
    </row>
    <row r="22" spans="1:255" x14ac:dyDescent="0.2">
      <c r="A22" s="95"/>
      <c r="B22" s="95"/>
      <c r="C22" s="95"/>
      <c r="D22" s="95"/>
      <c r="E22" s="95"/>
      <c r="F22" s="95"/>
    </row>
    <row r="24" spans="1:255" x14ac:dyDescent="0.2">
      <c r="A24" s="80" t="s">
        <v>380</v>
      </c>
      <c r="B24" s="80"/>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row>
    <row r="25" spans="1:255" ht="21" x14ac:dyDescent="0.25">
      <c r="A25" s="82" t="s">
        <v>367</v>
      </c>
      <c r="B25" s="281" t="s">
        <v>368</v>
      </c>
      <c r="C25" s="282"/>
      <c r="D25" s="281" t="s">
        <v>369</v>
      </c>
      <c r="E25" s="282"/>
      <c r="F25" s="281" t="s">
        <v>370</v>
      </c>
      <c r="G25" s="283"/>
      <c r="H25" s="284" t="s">
        <v>371</v>
      </c>
      <c r="I25" s="283"/>
      <c r="J25" s="284" t="s">
        <v>372</v>
      </c>
      <c r="K25" s="283"/>
    </row>
    <row r="26" spans="1:255" x14ac:dyDescent="0.2">
      <c r="A26" s="84" t="s">
        <v>373</v>
      </c>
      <c r="B26" s="85" t="s">
        <v>374</v>
      </c>
      <c r="C26" s="85"/>
      <c r="D26" s="85" t="s">
        <v>374</v>
      </c>
      <c r="E26" s="85"/>
      <c r="F26" s="85" t="s">
        <v>374</v>
      </c>
      <c r="G26" s="147"/>
      <c r="H26" s="147" t="s">
        <v>374</v>
      </c>
      <c r="I26" s="147"/>
      <c r="J26" s="147" t="s">
        <v>374</v>
      </c>
      <c r="K26" s="147"/>
    </row>
    <row r="27" spans="1:255" ht="10.5" x14ac:dyDescent="0.25">
      <c r="A27" s="82" t="s">
        <v>375</v>
      </c>
      <c r="B27" s="83" t="s">
        <v>376</v>
      </c>
      <c r="C27" s="83" t="s">
        <v>377</v>
      </c>
      <c r="D27" s="83" t="s">
        <v>376</v>
      </c>
      <c r="E27" s="83" t="s">
        <v>377</v>
      </c>
      <c r="F27" s="83" t="s">
        <v>376</v>
      </c>
      <c r="G27" s="148" t="s">
        <v>377</v>
      </c>
      <c r="H27" s="148" t="s">
        <v>376</v>
      </c>
      <c r="I27" s="148" t="s">
        <v>377</v>
      </c>
      <c r="J27" s="148" t="s">
        <v>376</v>
      </c>
      <c r="K27" s="148" t="s">
        <v>377</v>
      </c>
    </row>
    <row r="28" spans="1:255" ht="10.5" x14ac:dyDescent="0.2">
      <c r="A28" s="86" t="s">
        <v>28</v>
      </c>
      <c r="B28" s="78"/>
      <c r="C28" s="146"/>
      <c r="D28" s="78"/>
      <c r="E28" s="146"/>
      <c r="F28" s="78"/>
      <c r="H28" s="121"/>
      <c r="J28" s="121"/>
    </row>
    <row r="29" spans="1:255" x14ac:dyDescent="0.2">
      <c r="A29" s="78" t="s">
        <v>381</v>
      </c>
      <c r="B29" s="94" t="s">
        <v>30</v>
      </c>
      <c r="C29" s="90" t="s">
        <v>30</v>
      </c>
      <c r="D29" s="94" t="s">
        <v>30</v>
      </c>
      <c r="E29" s="90" t="s">
        <v>30</v>
      </c>
      <c r="F29" s="94" t="s">
        <v>30</v>
      </c>
      <c r="G29" s="149" t="s">
        <v>30</v>
      </c>
      <c r="H29" s="150" t="s">
        <v>30</v>
      </c>
      <c r="I29" s="149" t="s">
        <v>30</v>
      </c>
      <c r="J29" s="150">
        <v>13.8</v>
      </c>
      <c r="K29" s="149">
        <v>6.3518000000000005E-2</v>
      </c>
    </row>
    <row r="30" spans="1:255" x14ac:dyDescent="0.2">
      <c r="A30" s="78" t="s">
        <v>382</v>
      </c>
      <c r="B30" s="94">
        <v>6</v>
      </c>
      <c r="C30" s="90">
        <v>0.32847900000000002</v>
      </c>
      <c r="D30" s="94">
        <v>12.5</v>
      </c>
      <c r="E30" s="90">
        <v>0.36690200000000001</v>
      </c>
      <c r="F30" s="94">
        <v>13</v>
      </c>
      <c r="G30" s="149">
        <v>0.38367299999999999</v>
      </c>
      <c r="H30" s="150">
        <v>11</v>
      </c>
      <c r="I30" s="149">
        <v>0.28115699999999999</v>
      </c>
      <c r="J30" s="150">
        <v>198</v>
      </c>
      <c r="K30" s="149">
        <v>0.91134999999999999</v>
      </c>
    </row>
    <row r="31" spans="1:255" x14ac:dyDescent="0.2">
      <c r="A31" s="78" t="s">
        <v>383</v>
      </c>
      <c r="B31" s="94">
        <v>12.086</v>
      </c>
      <c r="C31" s="90">
        <v>0.66166599999999998</v>
      </c>
      <c r="D31" s="94">
        <v>14.404999999999999</v>
      </c>
      <c r="E31" s="90">
        <v>0.42281800000000003</v>
      </c>
      <c r="F31" s="94">
        <v>17.157</v>
      </c>
      <c r="G31" s="149">
        <v>0.50636000000000003</v>
      </c>
      <c r="H31" s="150">
        <v>21.085999999999999</v>
      </c>
      <c r="I31" s="149">
        <v>0.53895300000000002</v>
      </c>
      <c r="J31" s="150">
        <v>0</v>
      </c>
      <c r="K31" s="149">
        <v>0</v>
      </c>
    </row>
    <row r="32" spans="1:255" x14ac:dyDescent="0.2">
      <c r="A32" s="78" t="s">
        <v>384</v>
      </c>
      <c r="B32" s="94" t="s">
        <v>30</v>
      </c>
      <c r="C32" s="90" t="s">
        <v>30</v>
      </c>
      <c r="D32" s="94">
        <v>4.8369999999999997</v>
      </c>
      <c r="E32" s="90">
        <v>0.14197599999999999</v>
      </c>
      <c r="F32" s="94">
        <v>3.5059999999999998</v>
      </c>
      <c r="G32" s="149">
        <v>0.103473</v>
      </c>
      <c r="H32" s="150">
        <v>8.5890000000000004</v>
      </c>
      <c r="I32" s="149">
        <v>0.219532</v>
      </c>
      <c r="J32" s="150">
        <v>7.9729999999999999</v>
      </c>
      <c r="K32" s="149">
        <v>3.6697E-2</v>
      </c>
    </row>
    <row r="33" spans="1:11" x14ac:dyDescent="0.2">
      <c r="A33" s="78" t="s">
        <v>385</v>
      </c>
      <c r="B33" s="94">
        <v>3.45</v>
      </c>
      <c r="C33" s="90">
        <v>0.18887499999999999</v>
      </c>
      <c r="D33" s="94">
        <v>3.45</v>
      </c>
      <c r="E33" s="90">
        <v>0.10126499999999999</v>
      </c>
      <c r="F33" s="94">
        <v>3.45</v>
      </c>
      <c r="G33" s="149">
        <v>0.10181999999999999</v>
      </c>
      <c r="H33" s="150" t="s">
        <v>30</v>
      </c>
      <c r="I33" s="149" t="s">
        <v>30</v>
      </c>
      <c r="J33" s="150" t="s">
        <v>30</v>
      </c>
      <c r="K33" s="149" t="s">
        <v>30</v>
      </c>
    </row>
    <row r="34" spans="1:11" ht="10.5" x14ac:dyDescent="0.25">
      <c r="A34" s="86" t="s">
        <v>386</v>
      </c>
      <c r="B34" s="87">
        <v>21.536000000000001</v>
      </c>
      <c r="C34" s="151">
        <v>1.1790210000000001</v>
      </c>
      <c r="D34" s="87">
        <v>35.192</v>
      </c>
      <c r="E34" s="151">
        <v>1.0329619999999999</v>
      </c>
      <c r="F34" s="87">
        <v>37.113</v>
      </c>
      <c r="G34" s="152">
        <v>1.0953280000000001</v>
      </c>
      <c r="H34" s="153">
        <v>40.674999999999997</v>
      </c>
      <c r="I34" s="152">
        <v>1.0396430000000001</v>
      </c>
      <c r="J34" s="153">
        <v>219.773</v>
      </c>
      <c r="K34" s="152">
        <v>1.011566</v>
      </c>
    </row>
    <row r="35" spans="1:11" x14ac:dyDescent="0.2">
      <c r="A35" s="78"/>
      <c r="B35" s="78"/>
      <c r="C35" s="146"/>
      <c r="D35" s="78"/>
      <c r="E35" s="146"/>
      <c r="F35" s="78"/>
      <c r="H35" s="121"/>
      <c r="J35" s="121"/>
    </row>
    <row r="36" spans="1:11" x14ac:dyDescent="0.2">
      <c r="A36" s="78" t="s">
        <v>387</v>
      </c>
      <c r="B36" s="94">
        <v>-1</v>
      </c>
      <c r="C36" s="90">
        <v>-5.5841000000000002E-2</v>
      </c>
      <c r="D36" s="94">
        <v>-0.5</v>
      </c>
      <c r="E36" s="90">
        <v>-1.3648E-2</v>
      </c>
      <c r="F36" s="94">
        <v>-2.5</v>
      </c>
      <c r="G36" s="149">
        <v>-7.3547000000000001E-2</v>
      </c>
      <c r="H36" s="150" t="s">
        <v>30</v>
      </c>
      <c r="I36" s="149" t="s">
        <v>30</v>
      </c>
      <c r="J36" s="150" t="s">
        <v>30</v>
      </c>
      <c r="K36" s="149" t="s">
        <v>30</v>
      </c>
    </row>
    <row r="37" spans="1:11" x14ac:dyDescent="0.2">
      <c r="A37" s="78" t="s">
        <v>388</v>
      </c>
      <c r="B37" s="94">
        <v>-2.2999999999999998</v>
      </c>
      <c r="C37" s="90">
        <v>-0.123179</v>
      </c>
      <c r="D37" s="94">
        <v>-0.7</v>
      </c>
      <c r="E37" s="90">
        <v>-1.9313E-2</v>
      </c>
      <c r="F37" s="94">
        <v>-0.7</v>
      </c>
      <c r="G37" s="149">
        <v>-2.1780000000000001E-2</v>
      </c>
      <c r="H37" s="150">
        <v>-1.6</v>
      </c>
      <c r="I37" s="149">
        <v>-3.9642999999999998E-2</v>
      </c>
      <c r="J37" s="150">
        <v>-2.5</v>
      </c>
      <c r="K37" s="149">
        <v>-1.1566E-2</v>
      </c>
    </row>
    <row r="38" spans="1:11" ht="10.5" x14ac:dyDescent="0.25">
      <c r="A38" s="86" t="s">
        <v>389</v>
      </c>
      <c r="B38" s="87">
        <v>18.265999999999998</v>
      </c>
      <c r="C38" s="151">
        <v>1</v>
      </c>
      <c r="D38" s="87">
        <v>34.069000000000003</v>
      </c>
      <c r="E38" s="151">
        <v>1</v>
      </c>
      <c r="F38" s="87">
        <v>33.883000000000003</v>
      </c>
      <c r="G38" s="152">
        <v>1</v>
      </c>
      <c r="H38" s="153">
        <v>39.124000000000002</v>
      </c>
      <c r="I38" s="152">
        <v>1</v>
      </c>
      <c r="J38" s="153">
        <v>217.26</v>
      </c>
      <c r="K38" s="152">
        <v>1</v>
      </c>
    </row>
    <row r="39" spans="1:11" x14ac:dyDescent="0.2">
      <c r="A39" s="78"/>
      <c r="B39" s="78"/>
      <c r="C39" s="146"/>
      <c r="D39" s="78"/>
      <c r="E39" s="146"/>
      <c r="F39" s="78"/>
      <c r="H39" s="121"/>
      <c r="J39" s="121"/>
    </row>
    <row r="40" spans="1:11" ht="10.5" x14ac:dyDescent="0.2">
      <c r="A40" s="86" t="s">
        <v>390</v>
      </c>
      <c r="B40" s="78"/>
      <c r="C40" s="146"/>
      <c r="D40" s="78"/>
      <c r="E40" s="146"/>
      <c r="F40" s="78"/>
      <c r="H40" s="121"/>
      <c r="J40" s="121"/>
    </row>
    <row r="41" spans="1:11" x14ac:dyDescent="0.2">
      <c r="A41" s="78" t="s">
        <v>391</v>
      </c>
      <c r="B41" s="94">
        <v>3.234</v>
      </c>
      <c r="C41" s="90" t="s">
        <v>30</v>
      </c>
      <c r="D41" s="94">
        <v>6.016</v>
      </c>
      <c r="E41" s="90" t="s">
        <v>30</v>
      </c>
      <c r="F41" s="94">
        <v>59.767000000000003</v>
      </c>
      <c r="G41" s="149" t="s">
        <v>30</v>
      </c>
      <c r="H41" s="150">
        <v>66.081999999999994</v>
      </c>
      <c r="I41" s="149" t="s">
        <v>30</v>
      </c>
      <c r="J41" s="150">
        <v>41.179000000000002</v>
      </c>
      <c r="K41" s="149" t="s">
        <v>30</v>
      </c>
    </row>
    <row r="42" spans="1:11" x14ac:dyDescent="0.2">
      <c r="A42" s="78" t="s">
        <v>119</v>
      </c>
      <c r="B42" s="94">
        <v>15.032</v>
      </c>
      <c r="C42" s="90" t="s">
        <v>30</v>
      </c>
      <c r="D42" s="94">
        <v>28.053000000000001</v>
      </c>
      <c r="E42" s="90" t="s">
        <v>30</v>
      </c>
      <c r="F42" s="94">
        <v>-25.9</v>
      </c>
      <c r="G42" s="149" t="s">
        <v>30</v>
      </c>
      <c r="H42" s="150">
        <v>-27</v>
      </c>
      <c r="I42" s="149" t="s">
        <v>30</v>
      </c>
      <c r="J42" s="150">
        <v>176.08099999999999</v>
      </c>
      <c r="K42" s="149" t="s">
        <v>30</v>
      </c>
    </row>
    <row r="43" spans="1:11" x14ac:dyDescent="0.2">
      <c r="A43" s="78" t="s">
        <v>392</v>
      </c>
      <c r="B43" s="94">
        <v>21.536000000000001</v>
      </c>
      <c r="C43" s="90">
        <v>1.1790210000000001</v>
      </c>
      <c r="D43" s="94">
        <v>35.192</v>
      </c>
      <c r="E43" s="90">
        <v>1.0329619999999999</v>
      </c>
      <c r="F43" s="94">
        <v>37.113</v>
      </c>
      <c r="G43" s="149">
        <v>1.0953280000000001</v>
      </c>
      <c r="H43" s="150">
        <v>40.674999999999997</v>
      </c>
      <c r="I43" s="149">
        <v>1.0396430000000001</v>
      </c>
      <c r="J43" s="150">
        <v>219.773</v>
      </c>
      <c r="K43" s="149">
        <v>1.011566</v>
      </c>
    </row>
    <row r="44" spans="1:11" x14ac:dyDescent="0.2">
      <c r="A44" s="78" t="s">
        <v>393</v>
      </c>
      <c r="B44" s="94" t="s">
        <v>30</v>
      </c>
      <c r="C44" s="90" t="s">
        <v>30</v>
      </c>
      <c r="D44" s="94">
        <v>15.7</v>
      </c>
      <c r="E44" s="90">
        <v>0.46082899999999999</v>
      </c>
      <c r="F44" s="94">
        <v>3.6230000000000002</v>
      </c>
      <c r="G44" s="149">
        <v>0.10692599999999999</v>
      </c>
      <c r="H44" s="150">
        <v>21.855</v>
      </c>
      <c r="I44" s="149">
        <v>0.55860799999999999</v>
      </c>
      <c r="J44" s="150">
        <v>1.1499999999999999</v>
      </c>
      <c r="K44" s="149">
        <v>5.293E-3</v>
      </c>
    </row>
    <row r="45" spans="1:11" x14ac:dyDescent="0.2">
      <c r="A45" s="78" t="s">
        <v>394</v>
      </c>
      <c r="B45" s="94">
        <v>18.265999999999998</v>
      </c>
      <c r="C45" s="90">
        <v>1</v>
      </c>
      <c r="D45" s="94">
        <v>18.369</v>
      </c>
      <c r="E45" s="90">
        <v>0.53917000000000004</v>
      </c>
      <c r="F45" s="94">
        <v>30.26</v>
      </c>
      <c r="G45" s="149">
        <v>0.89307300000000001</v>
      </c>
      <c r="H45" s="150">
        <v>17.268999999999998</v>
      </c>
      <c r="I45" s="149">
        <v>0.44139099999999998</v>
      </c>
      <c r="J45" s="150">
        <v>216.11</v>
      </c>
      <c r="K45" s="149">
        <v>0.99470599999999998</v>
      </c>
    </row>
    <row r="46" spans="1:11" x14ac:dyDescent="0.2">
      <c r="A46" s="78" t="s">
        <v>395</v>
      </c>
      <c r="B46" s="94">
        <v>6</v>
      </c>
      <c r="C46" s="90">
        <v>0.32847900000000002</v>
      </c>
      <c r="D46" s="94">
        <v>12.5</v>
      </c>
      <c r="E46" s="90">
        <v>0.36690200000000001</v>
      </c>
      <c r="F46" s="94">
        <v>13</v>
      </c>
      <c r="G46" s="149">
        <v>0.38367299999999999</v>
      </c>
      <c r="H46" s="150">
        <v>11</v>
      </c>
      <c r="I46" s="149">
        <v>0.28115699999999999</v>
      </c>
      <c r="J46" s="150">
        <v>211.8</v>
      </c>
      <c r="K46" s="149">
        <v>0.97486799999999996</v>
      </c>
    </row>
    <row r="47" spans="1:11" x14ac:dyDescent="0.2">
      <c r="A47" s="78" t="s">
        <v>396</v>
      </c>
      <c r="B47" s="94">
        <v>9.4499999999999993</v>
      </c>
      <c r="C47" s="90">
        <v>0.51735399999999998</v>
      </c>
      <c r="D47" s="94">
        <v>20.786999999999999</v>
      </c>
      <c r="E47" s="90">
        <v>0.61014400000000002</v>
      </c>
      <c r="F47" s="94">
        <v>19.956</v>
      </c>
      <c r="G47" s="149">
        <v>0.58896700000000002</v>
      </c>
      <c r="H47" s="150">
        <v>19.588999999999999</v>
      </c>
      <c r="I47" s="149">
        <v>0.50068999999999997</v>
      </c>
      <c r="J47" s="150">
        <v>219.773</v>
      </c>
      <c r="K47" s="149">
        <v>1.011566</v>
      </c>
    </row>
    <row r="48" spans="1:11" x14ac:dyDescent="0.2">
      <c r="A48" s="78" t="s">
        <v>397</v>
      </c>
      <c r="B48" s="94">
        <v>6</v>
      </c>
      <c r="C48" s="90">
        <v>0.32847900000000002</v>
      </c>
      <c r="D48" s="94">
        <v>12.5</v>
      </c>
      <c r="E48" s="90">
        <v>0.36690200000000001</v>
      </c>
      <c r="F48" s="94">
        <v>13</v>
      </c>
      <c r="G48" s="149">
        <v>0.38367299999999999</v>
      </c>
      <c r="H48" s="150">
        <v>11</v>
      </c>
      <c r="I48" s="149">
        <v>0.28115699999999999</v>
      </c>
      <c r="J48" s="150">
        <v>211.8</v>
      </c>
      <c r="K48" s="149">
        <v>0.97486799999999996</v>
      </c>
    </row>
    <row r="49" spans="1:11" x14ac:dyDescent="0.2">
      <c r="A49" s="78" t="s">
        <v>398</v>
      </c>
      <c r="B49" s="94">
        <v>9.4499999999999993</v>
      </c>
      <c r="C49" s="90">
        <v>0.51735399999999998</v>
      </c>
      <c r="D49" s="94">
        <v>20.786999999999999</v>
      </c>
      <c r="E49" s="90">
        <v>0.61014400000000002</v>
      </c>
      <c r="F49" s="94">
        <v>19.956</v>
      </c>
      <c r="G49" s="149">
        <v>0.58896700000000002</v>
      </c>
      <c r="H49" s="150">
        <v>19.588999999999999</v>
      </c>
      <c r="I49" s="149">
        <v>0.50068999999999997</v>
      </c>
      <c r="J49" s="150">
        <v>219.773</v>
      </c>
      <c r="K49" s="149">
        <v>1.011566</v>
      </c>
    </row>
    <row r="50" spans="1:11" x14ac:dyDescent="0.2">
      <c r="A50" s="78" t="s">
        <v>399</v>
      </c>
      <c r="B50" s="94">
        <v>12.086</v>
      </c>
      <c r="C50" s="90">
        <v>0.66166599999999998</v>
      </c>
      <c r="D50" s="94">
        <v>14.404999999999999</v>
      </c>
      <c r="E50" s="90">
        <v>0.42281800000000003</v>
      </c>
      <c r="F50" s="94">
        <v>17.157</v>
      </c>
      <c r="G50" s="149">
        <v>0.50636000000000003</v>
      </c>
      <c r="H50" s="150">
        <v>21.085999999999999</v>
      </c>
      <c r="I50" s="149">
        <v>0.53895300000000002</v>
      </c>
      <c r="J50" s="150">
        <v>0</v>
      </c>
      <c r="K50" s="149">
        <v>0</v>
      </c>
    </row>
    <row r="51" spans="1:11" x14ac:dyDescent="0.2">
      <c r="A51" s="78" t="s">
        <v>400</v>
      </c>
      <c r="B51" s="94">
        <v>12.086</v>
      </c>
      <c r="C51" s="90">
        <v>0.66166599999999998</v>
      </c>
      <c r="D51" s="94">
        <v>14.404999999999999</v>
      </c>
      <c r="E51" s="90">
        <v>0.42281800000000003</v>
      </c>
      <c r="F51" s="94">
        <v>17.157</v>
      </c>
      <c r="G51" s="149">
        <v>0.50636000000000003</v>
      </c>
      <c r="H51" s="150">
        <v>21.085999999999999</v>
      </c>
      <c r="I51" s="149">
        <v>0.53895300000000002</v>
      </c>
      <c r="J51" s="150">
        <v>0</v>
      </c>
      <c r="K51" s="149">
        <v>0</v>
      </c>
    </row>
    <row r="52" spans="1:11" x14ac:dyDescent="0.2">
      <c r="A52" s="78" t="s">
        <v>401</v>
      </c>
      <c r="B52" s="94">
        <v>18.085999999999999</v>
      </c>
      <c r="C52" s="90">
        <v>0.99014500000000005</v>
      </c>
      <c r="D52" s="94">
        <v>26.905000000000001</v>
      </c>
      <c r="E52" s="90">
        <v>0.78971999999999998</v>
      </c>
      <c r="F52" s="94">
        <v>30.157</v>
      </c>
      <c r="G52" s="149">
        <v>0.89003299999999996</v>
      </c>
      <c r="H52" s="150">
        <v>32.085999999999999</v>
      </c>
      <c r="I52" s="149">
        <v>0.82011000000000001</v>
      </c>
      <c r="J52" s="150">
        <v>0</v>
      </c>
      <c r="K52" s="149">
        <v>0</v>
      </c>
    </row>
    <row r="53" spans="1:11" x14ac:dyDescent="0.2">
      <c r="A53" s="78" t="s">
        <v>402</v>
      </c>
      <c r="B53" s="94" t="s">
        <v>30</v>
      </c>
      <c r="C53" s="90" t="s">
        <v>30</v>
      </c>
      <c r="D53" s="94" t="s">
        <v>30</v>
      </c>
      <c r="E53" s="90" t="s">
        <v>30</v>
      </c>
      <c r="F53" s="94" t="s">
        <v>30</v>
      </c>
      <c r="G53" s="149" t="s">
        <v>30</v>
      </c>
      <c r="H53" s="150" t="s">
        <v>30</v>
      </c>
      <c r="I53" s="149" t="s">
        <v>30</v>
      </c>
      <c r="J53" s="150">
        <v>211.8</v>
      </c>
      <c r="K53" s="149">
        <v>0.97486799999999996</v>
      </c>
    </row>
    <row r="54" spans="1:11" x14ac:dyDescent="0.2">
      <c r="A54" s="78"/>
      <c r="B54" s="78"/>
      <c r="C54" s="146"/>
      <c r="D54" s="78"/>
      <c r="E54" s="146"/>
      <c r="F54" s="78"/>
      <c r="H54" s="121"/>
      <c r="J54" s="121"/>
    </row>
    <row r="55" spans="1:11" ht="10.5" x14ac:dyDescent="0.2">
      <c r="A55" s="86" t="s">
        <v>403</v>
      </c>
      <c r="B55" s="78"/>
      <c r="C55" s="146"/>
      <c r="D55" s="78"/>
      <c r="E55" s="146"/>
      <c r="F55" s="78"/>
      <c r="H55" s="121"/>
      <c r="J55" s="121"/>
    </row>
    <row r="56" spans="1:11" x14ac:dyDescent="0.2">
      <c r="A56" s="78" t="s">
        <v>404</v>
      </c>
      <c r="B56" s="98">
        <v>2.2197279999999999</v>
      </c>
      <c r="C56" s="90" t="s">
        <v>30</v>
      </c>
      <c r="D56" s="98">
        <v>1.8708229999999999</v>
      </c>
      <c r="E56" s="90" t="s">
        <v>30</v>
      </c>
      <c r="F56" s="93" t="s">
        <v>205</v>
      </c>
      <c r="G56" s="149" t="s">
        <v>30</v>
      </c>
      <c r="H56" s="143" t="s">
        <v>205</v>
      </c>
      <c r="I56" s="149" t="s">
        <v>30</v>
      </c>
      <c r="J56" s="154">
        <v>28.710419000000002</v>
      </c>
      <c r="K56" s="149" t="s">
        <v>30</v>
      </c>
    </row>
    <row r="57" spans="1:11" x14ac:dyDescent="0.2">
      <c r="A57" s="78" t="s">
        <v>405</v>
      </c>
      <c r="B57" s="98">
        <v>2.697282</v>
      </c>
      <c r="C57" s="90" t="s">
        <v>30</v>
      </c>
      <c r="D57" s="98">
        <v>2.272024</v>
      </c>
      <c r="E57" s="90" t="s">
        <v>30</v>
      </c>
      <c r="F57" s="98">
        <v>1.2988949999999999</v>
      </c>
      <c r="G57" s="149" t="s">
        <v>30</v>
      </c>
      <c r="H57" s="154">
        <v>2.261895</v>
      </c>
      <c r="I57" s="149" t="s">
        <v>30</v>
      </c>
      <c r="J57" s="154">
        <v>35.424751000000001</v>
      </c>
      <c r="K57" s="149" t="s">
        <v>30</v>
      </c>
    </row>
    <row r="58" spans="1:11" x14ac:dyDescent="0.2">
      <c r="A58" s="78" t="s">
        <v>406</v>
      </c>
      <c r="B58" s="98">
        <v>3.1801529999999998</v>
      </c>
      <c r="C58" s="90" t="s">
        <v>30</v>
      </c>
      <c r="D58" s="98">
        <v>2.3469150000000001</v>
      </c>
      <c r="E58" s="90" t="s">
        <v>30</v>
      </c>
      <c r="F58" s="98">
        <v>1.422717</v>
      </c>
      <c r="G58" s="149" t="s">
        <v>30</v>
      </c>
      <c r="H58" s="154">
        <v>2.3515630000000001</v>
      </c>
      <c r="I58" s="149" t="s">
        <v>30</v>
      </c>
      <c r="J58" s="154">
        <v>35.834501000000003</v>
      </c>
      <c r="K58" s="149" t="s">
        <v>30</v>
      </c>
    </row>
    <row r="59" spans="1:11" x14ac:dyDescent="0.2">
      <c r="A59" s="78" t="s">
        <v>407</v>
      </c>
      <c r="B59" s="98">
        <v>1.395451</v>
      </c>
      <c r="C59" s="90" t="s">
        <v>30</v>
      </c>
      <c r="D59" s="98">
        <v>1.3862620000000001</v>
      </c>
      <c r="E59" s="90" t="s">
        <v>30</v>
      </c>
      <c r="F59" s="98">
        <v>0.76500800000000002</v>
      </c>
      <c r="G59" s="149" t="s">
        <v>30</v>
      </c>
      <c r="H59" s="154">
        <v>1.1325080000000001</v>
      </c>
      <c r="I59" s="149" t="s">
        <v>30</v>
      </c>
      <c r="J59" s="154">
        <v>35.834501000000003</v>
      </c>
      <c r="K59" s="149" t="s">
        <v>30</v>
      </c>
    </row>
    <row r="60" spans="1:11" x14ac:dyDescent="0.2">
      <c r="A60" s="78" t="s">
        <v>408</v>
      </c>
      <c r="B60" s="98">
        <v>2.356112</v>
      </c>
      <c r="C60" s="90" t="s">
        <v>30</v>
      </c>
      <c r="D60" s="98">
        <v>1.9701519999999999</v>
      </c>
      <c r="E60" s="90" t="s">
        <v>30</v>
      </c>
      <c r="F60" s="93" t="s">
        <v>205</v>
      </c>
      <c r="G60" s="149" t="s">
        <v>30</v>
      </c>
      <c r="H60" s="143" t="s">
        <v>205</v>
      </c>
      <c r="I60" s="149" t="s">
        <v>30</v>
      </c>
      <c r="J60" s="154">
        <v>36.929738999999998</v>
      </c>
      <c r="K60" s="149" t="s">
        <v>30</v>
      </c>
    </row>
    <row r="61" spans="1:11" x14ac:dyDescent="0.2">
      <c r="A61" s="78" t="s">
        <v>409</v>
      </c>
      <c r="B61" s="98">
        <v>2.8630089999999999</v>
      </c>
      <c r="C61" s="90" t="s">
        <v>30</v>
      </c>
      <c r="D61" s="98">
        <v>2.3926530000000001</v>
      </c>
      <c r="E61" s="90" t="s">
        <v>30</v>
      </c>
      <c r="F61" s="98">
        <v>1.346808</v>
      </c>
      <c r="G61" s="149" t="s">
        <v>30</v>
      </c>
      <c r="H61" s="154">
        <v>2.470729</v>
      </c>
      <c r="I61" s="149" t="s">
        <v>30</v>
      </c>
      <c r="J61" s="154">
        <v>45.566274999999997</v>
      </c>
      <c r="K61" s="149" t="s">
        <v>30</v>
      </c>
    </row>
    <row r="62" spans="1:11" x14ac:dyDescent="0.2">
      <c r="A62" s="78" t="s">
        <v>410</v>
      </c>
      <c r="B62" s="98">
        <v>3.3755480000000002</v>
      </c>
      <c r="C62" s="90" t="s">
        <v>30</v>
      </c>
      <c r="D62" s="98">
        <v>2.4715210000000001</v>
      </c>
      <c r="E62" s="90" t="s">
        <v>30</v>
      </c>
      <c r="F62" s="98">
        <v>1.475196</v>
      </c>
      <c r="G62" s="149" t="s">
        <v>30</v>
      </c>
      <c r="H62" s="154">
        <v>2.568676</v>
      </c>
      <c r="I62" s="149" t="s">
        <v>30</v>
      </c>
      <c r="J62" s="154">
        <v>46.093330000000002</v>
      </c>
      <c r="K62" s="149" t="s">
        <v>30</v>
      </c>
    </row>
    <row r="63" spans="1:11" x14ac:dyDescent="0.2">
      <c r="A63" s="78" t="s">
        <v>411</v>
      </c>
      <c r="B63" s="98">
        <v>1.4811909999999999</v>
      </c>
      <c r="C63" s="90" t="s">
        <v>30</v>
      </c>
      <c r="D63" s="98">
        <v>1.4598629999999999</v>
      </c>
      <c r="E63" s="90" t="s">
        <v>30</v>
      </c>
      <c r="F63" s="98">
        <v>0.79322599999999999</v>
      </c>
      <c r="G63" s="149" t="s">
        <v>30</v>
      </c>
      <c r="H63" s="154">
        <v>1.237069</v>
      </c>
      <c r="I63" s="149" t="s">
        <v>30</v>
      </c>
      <c r="J63" s="154">
        <v>46.093330000000002</v>
      </c>
      <c r="K63" s="149" t="s">
        <v>30</v>
      </c>
    </row>
    <row r="64" spans="1:11" x14ac:dyDescent="0.2">
      <c r="A64" s="78"/>
      <c r="B64" s="78"/>
      <c r="C64" s="146"/>
      <c r="D64" s="78"/>
      <c r="E64" s="146"/>
      <c r="F64" s="78"/>
      <c r="H64" s="121"/>
      <c r="J64" s="121"/>
    </row>
    <row r="65" spans="1:11" ht="10.5" x14ac:dyDescent="0.2">
      <c r="A65" s="86" t="s">
        <v>412</v>
      </c>
      <c r="B65" s="78"/>
      <c r="C65" s="146"/>
      <c r="D65" s="78"/>
      <c r="E65" s="146"/>
      <c r="F65" s="78"/>
      <c r="H65" s="121"/>
      <c r="J65" s="121"/>
    </row>
    <row r="66" spans="1:11" x14ac:dyDescent="0.2">
      <c r="A66" s="78" t="s">
        <v>413</v>
      </c>
      <c r="B66" s="94" t="s">
        <v>30</v>
      </c>
      <c r="C66" s="90" t="s">
        <v>30</v>
      </c>
      <c r="D66" s="94">
        <v>14.375</v>
      </c>
      <c r="E66" s="90">
        <v>0.42193783204700003</v>
      </c>
      <c r="F66" s="94">
        <v>3.3765390000000002</v>
      </c>
      <c r="G66" s="149">
        <v>9.9652893781999999E-2</v>
      </c>
      <c r="H66" s="150">
        <v>23.189</v>
      </c>
      <c r="I66" s="149">
        <v>0.59270524486200005</v>
      </c>
      <c r="J66" s="150">
        <v>11.355145</v>
      </c>
      <c r="K66" s="149">
        <v>5.2265235202E-2</v>
      </c>
    </row>
    <row r="67" spans="1:11" x14ac:dyDescent="0.2">
      <c r="A67" s="78" t="s">
        <v>414</v>
      </c>
      <c r="B67" s="94" t="s">
        <v>30</v>
      </c>
      <c r="C67" s="90" t="s">
        <v>30</v>
      </c>
      <c r="D67" s="94">
        <v>14.375</v>
      </c>
      <c r="E67" s="90">
        <v>0.42193783204700003</v>
      </c>
      <c r="F67" s="94">
        <v>3.3765390000000002</v>
      </c>
      <c r="G67" s="149">
        <v>9.9652893781999999E-2</v>
      </c>
      <c r="H67" s="150">
        <v>23.189</v>
      </c>
      <c r="I67" s="149">
        <v>0.59270524486200005</v>
      </c>
      <c r="J67" s="150">
        <v>11.355145</v>
      </c>
      <c r="K67" s="149">
        <v>5.2265235202E-2</v>
      </c>
    </row>
    <row r="68" spans="1:11" x14ac:dyDescent="0.2">
      <c r="A68" s="78" t="s">
        <v>415</v>
      </c>
      <c r="B68" s="94" t="s">
        <v>30</v>
      </c>
      <c r="C68" s="90" t="s">
        <v>30</v>
      </c>
      <c r="D68" s="94">
        <v>18.369</v>
      </c>
      <c r="E68" s="90">
        <v>0.53917050691199997</v>
      </c>
      <c r="F68" s="94">
        <v>30.506461000000002</v>
      </c>
      <c r="G68" s="149">
        <v>0.90034710621799996</v>
      </c>
      <c r="H68" s="150">
        <v>19.087</v>
      </c>
      <c r="I68" s="149">
        <v>0.48785911460999998</v>
      </c>
      <c r="J68" s="150">
        <v>205.904855</v>
      </c>
      <c r="K68" s="149">
        <v>0.94773476479800001</v>
      </c>
    </row>
    <row r="69" spans="1:11" x14ac:dyDescent="0.2">
      <c r="A69" s="78"/>
      <c r="B69" s="78"/>
      <c r="C69" s="146"/>
      <c r="D69" s="78"/>
      <c r="E69" s="146"/>
      <c r="F69" s="78"/>
      <c r="H69" s="121"/>
      <c r="J69" s="121"/>
    </row>
    <row r="70" spans="1:11" x14ac:dyDescent="0.2">
      <c r="A70" s="78" t="s">
        <v>416</v>
      </c>
      <c r="B70" s="94" t="s">
        <v>30</v>
      </c>
      <c r="C70" s="90" t="s">
        <v>30</v>
      </c>
      <c r="D70" s="94">
        <v>1.4550000000000001</v>
      </c>
      <c r="E70" s="90" t="s">
        <v>30</v>
      </c>
      <c r="F70" s="94">
        <v>1.651</v>
      </c>
      <c r="G70" s="149" t="s">
        <v>30</v>
      </c>
      <c r="H70" s="150">
        <v>0.76900000000000002</v>
      </c>
      <c r="I70" s="149" t="s">
        <v>30</v>
      </c>
      <c r="J70" s="150">
        <v>1.1499999999999999</v>
      </c>
      <c r="K70" s="149" t="s">
        <v>30</v>
      </c>
    </row>
    <row r="71" spans="1:11" x14ac:dyDescent="0.2">
      <c r="A71" s="78" t="s">
        <v>417</v>
      </c>
      <c r="B71" s="94" t="s">
        <v>30</v>
      </c>
      <c r="C71" s="90" t="s">
        <v>30</v>
      </c>
      <c r="D71" s="94">
        <v>1.4550000000000001</v>
      </c>
      <c r="E71" s="90" t="s">
        <v>30</v>
      </c>
      <c r="F71" s="94">
        <v>1.651</v>
      </c>
      <c r="G71" s="149" t="s">
        <v>30</v>
      </c>
      <c r="H71" s="150">
        <v>0.76900000000000002</v>
      </c>
      <c r="I71" s="149" t="s">
        <v>30</v>
      </c>
      <c r="J71" s="150">
        <v>1.1499999999999999</v>
      </c>
      <c r="K71" s="149" t="s">
        <v>30</v>
      </c>
    </row>
    <row r="72" spans="1:11" x14ac:dyDescent="0.2">
      <c r="A72" s="78" t="s">
        <v>418</v>
      </c>
      <c r="B72" s="94" t="s">
        <v>30</v>
      </c>
      <c r="C72" s="90" t="s">
        <v>30</v>
      </c>
      <c r="D72" s="94">
        <v>3.3820000000000001</v>
      </c>
      <c r="E72" s="90" t="s">
        <v>30</v>
      </c>
      <c r="F72" s="94">
        <v>1.855</v>
      </c>
      <c r="G72" s="149" t="s">
        <v>30</v>
      </c>
      <c r="H72" s="150">
        <v>7.82</v>
      </c>
      <c r="I72" s="149" t="s">
        <v>30</v>
      </c>
      <c r="J72" s="150">
        <v>6.8230000000000004</v>
      </c>
      <c r="K72" s="149" t="s">
        <v>30</v>
      </c>
    </row>
    <row r="73" spans="1:11" x14ac:dyDescent="0.2">
      <c r="A73" s="78"/>
      <c r="B73" s="78"/>
      <c r="C73" s="146"/>
      <c r="D73" s="78"/>
      <c r="E73" s="146"/>
      <c r="F73" s="78"/>
      <c r="H73" s="121"/>
      <c r="J73" s="121"/>
    </row>
    <row r="74" spans="1:11" x14ac:dyDescent="0.2">
      <c r="A74" s="78" t="s">
        <v>419</v>
      </c>
      <c r="B74" s="94" t="s">
        <v>30</v>
      </c>
      <c r="C74" s="90" t="s">
        <v>30</v>
      </c>
      <c r="D74" s="94">
        <v>1.855</v>
      </c>
      <c r="E74" s="90" t="s">
        <v>30</v>
      </c>
      <c r="F74" s="94">
        <v>4.91</v>
      </c>
      <c r="G74" s="149" t="s">
        <v>30</v>
      </c>
      <c r="H74" s="150">
        <v>9.4749999999999996</v>
      </c>
      <c r="I74" s="149" t="s">
        <v>30</v>
      </c>
      <c r="J74" s="150">
        <v>33.807000000000002</v>
      </c>
      <c r="K74" s="149" t="s">
        <v>30</v>
      </c>
    </row>
    <row r="75" spans="1:11" x14ac:dyDescent="0.2">
      <c r="A75" s="78" t="s">
        <v>420</v>
      </c>
      <c r="B75" s="94" t="s">
        <v>30</v>
      </c>
      <c r="C75" s="90" t="s">
        <v>30</v>
      </c>
      <c r="D75" s="94">
        <v>1.855</v>
      </c>
      <c r="E75" s="90" t="s">
        <v>30</v>
      </c>
      <c r="F75" s="94">
        <v>4.91</v>
      </c>
      <c r="G75" s="149" t="s">
        <v>30</v>
      </c>
      <c r="H75" s="150">
        <v>9.4749999999999996</v>
      </c>
      <c r="I75" s="149" t="s">
        <v>30</v>
      </c>
      <c r="J75" s="150">
        <v>33.807000000000002</v>
      </c>
      <c r="K75" s="149" t="s">
        <v>30</v>
      </c>
    </row>
    <row r="76" spans="1:11" x14ac:dyDescent="0.2">
      <c r="A76" s="78" t="s">
        <v>421</v>
      </c>
      <c r="B76" s="94" t="s">
        <v>30</v>
      </c>
      <c r="C76" s="90" t="s">
        <v>30</v>
      </c>
      <c r="D76" s="94">
        <v>1.855</v>
      </c>
      <c r="E76" s="90" t="s">
        <v>30</v>
      </c>
      <c r="F76" s="94">
        <v>4.91</v>
      </c>
      <c r="G76" s="149" t="s">
        <v>30</v>
      </c>
      <c r="H76" s="150">
        <v>9.4749999999999996</v>
      </c>
      <c r="I76" s="149" t="s">
        <v>30</v>
      </c>
      <c r="J76" s="150">
        <v>33.807000000000002</v>
      </c>
      <c r="K76" s="149" t="s">
        <v>30</v>
      </c>
    </row>
    <row r="77" spans="1:11" x14ac:dyDescent="0.2">
      <c r="A77" s="78"/>
      <c r="B77" s="78"/>
      <c r="C77" s="146"/>
      <c r="D77" s="78"/>
      <c r="E77" s="146"/>
      <c r="F77" s="78"/>
      <c r="H77" s="121"/>
      <c r="J77" s="121"/>
    </row>
    <row r="78" spans="1:11" ht="10.5" x14ac:dyDescent="0.2">
      <c r="A78" s="86" t="s">
        <v>422</v>
      </c>
      <c r="B78" s="78"/>
      <c r="C78" s="146"/>
      <c r="D78" s="78"/>
      <c r="E78" s="146"/>
      <c r="F78" s="78"/>
      <c r="H78" s="121"/>
      <c r="J78" s="121"/>
    </row>
    <row r="79" spans="1:11" x14ac:dyDescent="0.2">
      <c r="A79" s="78" t="s">
        <v>127</v>
      </c>
      <c r="B79" s="118">
        <v>44302</v>
      </c>
      <c r="C79" s="90" t="s">
        <v>30</v>
      </c>
      <c r="D79" s="118">
        <v>44665</v>
      </c>
      <c r="E79" s="90" t="s">
        <v>30</v>
      </c>
      <c r="F79" s="118">
        <v>45044</v>
      </c>
      <c r="G79" s="149" t="s">
        <v>30</v>
      </c>
      <c r="H79" s="155">
        <v>45044</v>
      </c>
      <c r="I79" s="149" t="s">
        <v>30</v>
      </c>
      <c r="J79" s="155">
        <v>45044</v>
      </c>
      <c r="K79" s="149" t="s">
        <v>30</v>
      </c>
    </row>
    <row r="80" spans="1:11" ht="60" x14ac:dyDescent="0.2">
      <c r="A80" s="156" t="s">
        <v>243</v>
      </c>
      <c r="B80" s="95"/>
      <c r="C80" s="95"/>
      <c r="D80" s="95"/>
      <c r="E80" s="95"/>
      <c r="F80" s="95"/>
    </row>
  </sheetData>
  <mergeCells count="10">
    <mergeCell ref="B14:C14"/>
    <mergeCell ref="D14:E14"/>
    <mergeCell ref="F14:G14"/>
    <mergeCell ref="H14:I14"/>
    <mergeCell ref="J14:K14"/>
    <mergeCell ref="B25:C25"/>
    <mergeCell ref="D25:E25"/>
    <mergeCell ref="F25:G25"/>
    <mergeCell ref="H25:I25"/>
    <mergeCell ref="J25:K25"/>
  </mergeCells>
  <pageMargins left="0.2" right="0.2" top="0.5" bottom="0.5" header="0.5" footer="0.5"/>
  <pageSetup fitToWidth="0" fitToHeight="0" orientation="landscape" horizontalDpi="0" verticalDpi="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8610-0597-4D91-B2EB-AAC0ADCC9CE9}">
  <sheetPr>
    <outlinePr summaryBelow="0" summaryRight="0"/>
    <pageSetUpPr autoPageBreaks="0"/>
  </sheetPr>
  <dimension ref="A5:IU35"/>
  <sheetViews>
    <sheetView workbookViewId="0">
      <selection activeCell="A19" sqref="A19"/>
    </sheetView>
  </sheetViews>
  <sheetFormatPr defaultRowHeight="10" x14ac:dyDescent="0.2"/>
  <cols>
    <col min="1" max="1" width="20.81640625" style="75" customWidth="1"/>
    <col min="2" max="2" width="22.81640625" style="75" customWidth="1"/>
    <col min="3" max="3" width="15.81640625" style="75" customWidth="1"/>
    <col min="4" max="4" width="12.81640625" style="75" customWidth="1"/>
    <col min="5" max="5" width="19.81640625" style="75" customWidth="1"/>
    <col min="6" max="7" width="15.81640625" style="75" customWidth="1"/>
    <col min="8" max="8" width="10.81640625" style="75" customWidth="1"/>
    <col min="9" max="9" width="16.81640625" style="75" customWidth="1"/>
    <col min="10" max="10" width="7.81640625" style="75" customWidth="1"/>
    <col min="11" max="256" width="8.7265625" style="75"/>
    <col min="257" max="257" width="20.81640625" style="75" customWidth="1"/>
    <col min="258" max="258" width="22.81640625" style="75" customWidth="1"/>
    <col min="259" max="259" width="15.81640625" style="75" customWidth="1"/>
    <col min="260" max="260" width="12.81640625" style="75" customWidth="1"/>
    <col min="261" max="261" width="19.81640625" style="75" customWidth="1"/>
    <col min="262" max="263" width="15.81640625" style="75" customWidth="1"/>
    <col min="264" max="264" width="10.81640625" style="75" customWidth="1"/>
    <col min="265" max="265" width="16.81640625" style="75" customWidth="1"/>
    <col min="266" max="266" width="7.81640625" style="75" customWidth="1"/>
    <col min="267" max="512" width="8.7265625" style="75"/>
    <col min="513" max="513" width="20.81640625" style="75" customWidth="1"/>
    <col min="514" max="514" width="22.81640625" style="75" customWidth="1"/>
    <col min="515" max="515" width="15.81640625" style="75" customWidth="1"/>
    <col min="516" max="516" width="12.81640625" style="75" customWidth="1"/>
    <col min="517" max="517" width="19.81640625" style="75" customWidth="1"/>
    <col min="518" max="519" width="15.81640625" style="75" customWidth="1"/>
    <col min="520" max="520" width="10.81640625" style="75" customWidth="1"/>
    <col min="521" max="521" width="16.81640625" style="75" customWidth="1"/>
    <col min="522" max="522" width="7.81640625" style="75" customWidth="1"/>
    <col min="523" max="768" width="8.7265625" style="75"/>
    <col min="769" max="769" width="20.81640625" style="75" customWidth="1"/>
    <col min="770" max="770" width="22.81640625" style="75" customWidth="1"/>
    <col min="771" max="771" width="15.81640625" style="75" customWidth="1"/>
    <col min="772" max="772" width="12.81640625" style="75" customWidth="1"/>
    <col min="773" max="773" width="19.81640625" style="75" customWidth="1"/>
    <col min="774" max="775" width="15.81640625" style="75" customWidth="1"/>
    <col min="776" max="776" width="10.81640625" style="75" customWidth="1"/>
    <col min="777" max="777" width="16.81640625" style="75" customWidth="1"/>
    <col min="778" max="778" width="7.81640625" style="75" customWidth="1"/>
    <col min="779" max="1024" width="8.7265625" style="75"/>
    <col min="1025" max="1025" width="20.81640625" style="75" customWidth="1"/>
    <col min="1026" max="1026" width="22.81640625" style="75" customWidth="1"/>
    <col min="1027" max="1027" width="15.81640625" style="75" customWidth="1"/>
    <col min="1028" max="1028" width="12.81640625" style="75" customWidth="1"/>
    <col min="1029" max="1029" width="19.81640625" style="75" customWidth="1"/>
    <col min="1030" max="1031" width="15.81640625" style="75" customWidth="1"/>
    <col min="1032" max="1032" width="10.81640625" style="75" customWidth="1"/>
    <col min="1033" max="1033" width="16.81640625" style="75" customWidth="1"/>
    <col min="1034" max="1034" width="7.81640625" style="75" customWidth="1"/>
    <col min="1035" max="1280" width="8.7265625" style="75"/>
    <col min="1281" max="1281" width="20.81640625" style="75" customWidth="1"/>
    <col min="1282" max="1282" width="22.81640625" style="75" customWidth="1"/>
    <col min="1283" max="1283" width="15.81640625" style="75" customWidth="1"/>
    <col min="1284" max="1284" width="12.81640625" style="75" customWidth="1"/>
    <col min="1285" max="1285" width="19.81640625" style="75" customWidth="1"/>
    <col min="1286" max="1287" width="15.81640625" style="75" customWidth="1"/>
    <col min="1288" max="1288" width="10.81640625" style="75" customWidth="1"/>
    <col min="1289" max="1289" width="16.81640625" style="75" customWidth="1"/>
    <col min="1290" max="1290" width="7.81640625" style="75" customWidth="1"/>
    <col min="1291" max="1536" width="8.7265625" style="75"/>
    <col min="1537" max="1537" width="20.81640625" style="75" customWidth="1"/>
    <col min="1538" max="1538" width="22.81640625" style="75" customWidth="1"/>
    <col min="1539" max="1539" width="15.81640625" style="75" customWidth="1"/>
    <col min="1540" max="1540" width="12.81640625" style="75" customWidth="1"/>
    <col min="1541" max="1541" width="19.81640625" style="75" customWidth="1"/>
    <col min="1542" max="1543" width="15.81640625" style="75" customWidth="1"/>
    <col min="1544" max="1544" width="10.81640625" style="75" customWidth="1"/>
    <col min="1545" max="1545" width="16.81640625" style="75" customWidth="1"/>
    <col min="1546" max="1546" width="7.81640625" style="75" customWidth="1"/>
    <col min="1547" max="1792" width="8.7265625" style="75"/>
    <col min="1793" max="1793" width="20.81640625" style="75" customWidth="1"/>
    <col min="1794" max="1794" width="22.81640625" style="75" customWidth="1"/>
    <col min="1795" max="1795" width="15.81640625" style="75" customWidth="1"/>
    <col min="1796" max="1796" width="12.81640625" style="75" customWidth="1"/>
    <col min="1797" max="1797" width="19.81640625" style="75" customWidth="1"/>
    <col min="1798" max="1799" width="15.81640625" style="75" customWidth="1"/>
    <col min="1800" max="1800" width="10.81640625" style="75" customWidth="1"/>
    <col min="1801" max="1801" width="16.81640625" style="75" customWidth="1"/>
    <col min="1802" max="1802" width="7.81640625" style="75" customWidth="1"/>
    <col min="1803" max="2048" width="8.7265625" style="75"/>
    <col min="2049" max="2049" width="20.81640625" style="75" customWidth="1"/>
    <col min="2050" max="2050" width="22.81640625" style="75" customWidth="1"/>
    <col min="2051" max="2051" width="15.81640625" style="75" customWidth="1"/>
    <col min="2052" max="2052" width="12.81640625" style="75" customWidth="1"/>
    <col min="2053" max="2053" width="19.81640625" style="75" customWidth="1"/>
    <col min="2054" max="2055" width="15.81640625" style="75" customWidth="1"/>
    <col min="2056" max="2056" width="10.81640625" style="75" customWidth="1"/>
    <col min="2057" max="2057" width="16.81640625" style="75" customWidth="1"/>
    <col min="2058" max="2058" width="7.81640625" style="75" customWidth="1"/>
    <col min="2059" max="2304" width="8.7265625" style="75"/>
    <col min="2305" max="2305" width="20.81640625" style="75" customWidth="1"/>
    <col min="2306" max="2306" width="22.81640625" style="75" customWidth="1"/>
    <col min="2307" max="2307" width="15.81640625" style="75" customWidth="1"/>
    <col min="2308" max="2308" width="12.81640625" style="75" customWidth="1"/>
    <col min="2309" max="2309" width="19.81640625" style="75" customWidth="1"/>
    <col min="2310" max="2311" width="15.81640625" style="75" customWidth="1"/>
    <col min="2312" max="2312" width="10.81640625" style="75" customWidth="1"/>
    <col min="2313" max="2313" width="16.81640625" style="75" customWidth="1"/>
    <col min="2314" max="2314" width="7.81640625" style="75" customWidth="1"/>
    <col min="2315" max="2560" width="8.7265625" style="75"/>
    <col min="2561" max="2561" width="20.81640625" style="75" customWidth="1"/>
    <col min="2562" max="2562" width="22.81640625" style="75" customWidth="1"/>
    <col min="2563" max="2563" width="15.81640625" style="75" customWidth="1"/>
    <col min="2564" max="2564" width="12.81640625" style="75" customWidth="1"/>
    <col min="2565" max="2565" width="19.81640625" style="75" customWidth="1"/>
    <col min="2566" max="2567" width="15.81640625" style="75" customWidth="1"/>
    <col min="2568" max="2568" width="10.81640625" style="75" customWidth="1"/>
    <col min="2569" max="2569" width="16.81640625" style="75" customWidth="1"/>
    <col min="2570" max="2570" width="7.81640625" style="75" customWidth="1"/>
    <col min="2571" max="2816" width="8.7265625" style="75"/>
    <col min="2817" max="2817" width="20.81640625" style="75" customWidth="1"/>
    <col min="2818" max="2818" width="22.81640625" style="75" customWidth="1"/>
    <col min="2819" max="2819" width="15.81640625" style="75" customWidth="1"/>
    <col min="2820" max="2820" width="12.81640625" style="75" customWidth="1"/>
    <col min="2821" max="2821" width="19.81640625" style="75" customWidth="1"/>
    <col min="2822" max="2823" width="15.81640625" style="75" customWidth="1"/>
    <col min="2824" max="2824" width="10.81640625" style="75" customWidth="1"/>
    <col min="2825" max="2825" width="16.81640625" style="75" customWidth="1"/>
    <col min="2826" max="2826" width="7.81640625" style="75" customWidth="1"/>
    <col min="2827" max="3072" width="8.7265625" style="75"/>
    <col min="3073" max="3073" width="20.81640625" style="75" customWidth="1"/>
    <col min="3074" max="3074" width="22.81640625" style="75" customWidth="1"/>
    <col min="3075" max="3075" width="15.81640625" style="75" customWidth="1"/>
    <col min="3076" max="3076" width="12.81640625" style="75" customWidth="1"/>
    <col min="3077" max="3077" width="19.81640625" style="75" customWidth="1"/>
    <col min="3078" max="3079" width="15.81640625" style="75" customWidth="1"/>
    <col min="3080" max="3080" width="10.81640625" style="75" customWidth="1"/>
    <col min="3081" max="3081" width="16.81640625" style="75" customWidth="1"/>
    <col min="3082" max="3082" width="7.81640625" style="75" customWidth="1"/>
    <col min="3083" max="3328" width="8.7265625" style="75"/>
    <col min="3329" max="3329" width="20.81640625" style="75" customWidth="1"/>
    <col min="3330" max="3330" width="22.81640625" style="75" customWidth="1"/>
    <col min="3331" max="3331" width="15.81640625" style="75" customWidth="1"/>
    <col min="3332" max="3332" width="12.81640625" style="75" customWidth="1"/>
    <col min="3333" max="3333" width="19.81640625" style="75" customWidth="1"/>
    <col min="3334" max="3335" width="15.81640625" style="75" customWidth="1"/>
    <col min="3336" max="3336" width="10.81640625" style="75" customWidth="1"/>
    <col min="3337" max="3337" width="16.81640625" style="75" customWidth="1"/>
    <col min="3338" max="3338" width="7.81640625" style="75" customWidth="1"/>
    <col min="3339" max="3584" width="8.7265625" style="75"/>
    <col min="3585" max="3585" width="20.81640625" style="75" customWidth="1"/>
    <col min="3586" max="3586" width="22.81640625" style="75" customWidth="1"/>
    <col min="3587" max="3587" width="15.81640625" style="75" customWidth="1"/>
    <col min="3588" max="3588" width="12.81640625" style="75" customWidth="1"/>
    <col min="3589" max="3589" width="19.81640625" style="75" customWidth="1"/>
    <col min="3590" max="3591" width="15.81640625" style="75" customWidth="1"/>
    <col min="3592" max="3592" width="10.81640625" style="75" customWidth="1"/>
    <col min="3593" max="3593" width="16.81640625" style="75" customWidth="1"/>
    <col min="3594" max="3594" width="7.81640625" style="75" customWidth="1"/>
    <col min="3595" max="3840" width="8.7265625" style="75"/>
    <col min="3841" max="3841" width="20.81640625" style="75" customWidth="1"/>
    <col min="3842" max="3842" width="22.81640625" style="75" customWidth="1"/>
    <col min="3843" max="3843" width="15.81640625" style="75" customWidth="1"/>
    <col min="3844" max="3844" width="12.81640625" style="75" customWidth="1"/>
    <col min="3845" max="3845" width="19.81640625" style="75" customWidth="1"/>
    <col min="3846" max="3847" width="15.81640625" style="75" customWidth="1"/>
    <col min="3848" max="3848" width="10.81640625" style="75" customWidth="1"/>
    <col min="3849" max="3849" width="16.81640625" style="75" customWidth="1"/>
    <col min="3850" max="3850" width="7.81640625" style="75" customWidth="1"/>
    <col min="3851" max="4096" width="8.7265625" style="75"/>
    <col min="4097" max="4097" width="20.81640625" style="75" customWidth="1"/>
    <col min="4098" max="4098" width="22.81640625" style="75" customWidth="1"/>
    <col min="4099" max="4099" width="15.81640625" style="75" customWidth="1"/>
    <col min="4100" max="4100" width="12.81640625" style="75" customWidth="1"/>
    <col min="4101" max="4101" width="19.81640625" style="75" customWidth="1"/>
    <col min="4102" max="4103" width="15.81640625" style="75" customWidth="1"/>
    <col min="4104" max="4104" width="10.81640625" style="75" customWidth="1"/>
    <col min="4105" max="4105" width="16.81640625" style="75" customWidth="1"/>
    <col min="4106" max="4106" width="7.81640625" style="75" customWidth="1"/>
    <col min="4107" max="4352" width="8.7265625" style="75"/>
    <col min="4353" max="4353" width="20.81640625" style="75" customWidth="1"/>
    <col min="4354" max="4354" width="22.81640625" style="75" customWidth="1"/>
    <col min="4355" max="4355" width="15.81640625" style="75" customWidth="1"/>
    <col min="4356" max="4356" width="12.81640625" style="75" customWidth="1"/>
    <col min="4357" max="4357" width="19.81640625" style="75" customWidth="1"/>
    <col min="4358" max="4359" width="15.81640625" style="75" customWidth="1"/>
    <col min="4360" max="4360" width="10.81640625" style="75" customWidth="1"/>
    <col min="4361" max="4361" width="16.81640625" style="75" customWidth="1"/>
    <col min="4362" max="4362" width="7.81640625" style="75" customWidth="1"/>
    <col min="4363" max="4608" width="8.7265625" style="75"/>
    <col min="4609" max="4609" width="20.81640625" style="75" customWidth="1"/>
    <col min="4610" max="4610" width="22.81640625" style="75" customWidth="1"/>
    <col min="4611" max="4611" width="15.81640625" style="75" customWidth="1"/>
    <col min="4612" max="4612" width="12.81640625" style="75" customWidth="1"/>
    <col min="4613" max="4613" width="19.81640625" style="75" customWidth="1"/>
    <col min="4614" max="4615" width="15.81640625" style="75" customWidth="1"/>
    <col min="4616" max="4616" width="10.81640625" style="75" customWidth="1"/>
    <col min="4617" max="4617" width="16.81640625" style="75" customWidth="1"/>
    <col min="4618" max="4618" width="7.81640625" style="75" customWidth="1"/>
    <col min="4619" max="4864" width="8.7265625" style="75"/>
    <col min="4865" max="4865" width="20.81640625" style="75" customWidth="1"/>
    <col min="4866" max="4866" width="22.81640625" style="75" customWidth="1"/>
    <col min="4867" max="4867" width="15.81640625" style="75" customWidth="1"/>
    <col min="4868" max="4868" width="12.81640625" style="75" customWidth="1"/>
    <col min="4869" max="4869" width="19.81640625" style="75" customWidth="1"/>
    <col min="4870" max="4871" width="15.81640625" style="75" customWidth="1"/>
    <col min="4872" max="4872" width="10.81640625" style="75" customWidth="1"/>
    <col min="4873" max="4873" width="16.81640625" style="75" customWidth="1"/>
    <col min="4874" max="4874" width="7.81640625" style="75" customWidth="1"/>
    <col min="4875" max="5120" width="8.7265625" style="75"/>
    <col min="5121" max="5121" width="20.81640625" style="75" customWidth="1"/>
    <col min="5122" max="5122" width="22.81640625" style="75" customWidth="1"/>
    <col min="5123" max="5123" width="15.81640625" style="75" customWidth="1"/>
    <col min="5124" max="5124" width="12.81640625" style="75" customWidth="1"/>
    <col min="5125" max="5125" width="19.81640625" style="75" customWidth="1"/>
    <col min="5126" max="5127" width="15.81640625" style="75" customWidth="1"/>
    <col min="5128" max="5128" width="10.81640625" style="75" customWidth="1"/>
    <col min="5129" max="5129" width="16.81640625" style="75" customWidth="1"/>
    <col min="5130" max="5130" width="7.81640625" style="75" customWidth="1"/>
    <col min="5131" max="5376" width="8.7265625" style="75"/>
    <col min="5377" max="5377" width="20.81640625" style="75" customWidth="1"/>
    <col min="5378" max="5378" width="22.81640625" style="75" customWidth="1"/>
    <col min="5379" max="5379" width="15.81640625" style="75" customWidth="1"/>
    <col min="5380" max="5380" width="12.81640625" style="75" customWidth="1"/>
    <col min="5381" max="5381" width="19.81640625" style="75" customWidth="1"/>
    <col min="5382" max="5383" width="15.81640625" style="75" customWidth="1"/>
    <col min="5384" max="5384" width="10.81640625" style="75" customWidth="1"/>
    <col min="5385" max="5385" width="16.81640625" style="75" customWidth="1"/>
    <col min="5386" max="5386" width="7.81640625" style="75" customWidth="1"/>
    <col min="5387" max="5632" width="8.7265625" style="75"/>
    <col min="5633" max="5633" width="20.81640625" style="75" customWidth="1"/>
    <col min="5634" max="5634" width="22.81640625" style="75" customWidth="1"/>
    <col min="5635" max="5635" width="15.81640625" style="75" customWidth="1"/>
    <col min="5636" max="5636" width="12.81640625" style="75" customWidth="1"/>
    <col min="5637" max="5637" width="19.81640625" style="75" customWidth="1"/>
    <col min="5638" max="5639" width="15.81640625" style="75" customWidth="1"/>
    <col min="5640" max="5640" width="10.81640625" style="75" customWidth="1"/>
    <col min="5641" max="5641" width="16.81640625" style="75" customWidth="1"/>
    <col min="5642" max="5642" width="7.81640625" style="75" customWidth="1"/>
    <col min="5643" max="5888" width="8.7265625" style="75"/>
    <col min="5889" max="5889" width="20.81640625" style="75" customWidth="1"/>
    <col min="5890" max="5890" width="22.81640625" style="75" customWidth="1"/>
    <col min="5891" max="5891" width="15.81640625" style="75" customWidth="1"/>
    <col min="5892" max="5892" width="12.81640625" style="75" customWidth="1"/>
    <col min="5893" max="5893" width="19.81640625" style="75" customWidth="1"/>
    <col min="5894" max="5895" width="15.81640625" style="75" customWidth="1"/>
    <col min="5896" max="5896" width="10.81640625" style="75" customWidth="1"/>
    <col min="5897" max="5897" width="16.81640625" style="75" customWidth="1"/>
    <col min="5898" max="5898" width="7.81640625" style="75" customWidth="1"/>
    <col min="5899" max="6144" width="8.7265625" style="75"/>
    <col min="6145" max="6145" width="20.81640625" style="75" customWidth="1"/>
    <col min="6146" max="6146" width="22.81640625" style="75" customWidth="1"/>
    <col min="6147" max="6147" width="15.81640625" style="75" customWidth="1"/>
    <col min="6148" max="6148" width="12.81640625" style="75" customWidth="1"/>
    <col min="6149" max="6149" width="19.81640625" style="75" customWidth="1"/>
    <col min="6150" max="6151" width="15.81640625" style="75" customWidth="1"/>
    <col min="6152" max="6152" width="10.81640625" style="75" customWidth="1"/>
    <col min="6153" max="6153" width="16.81640625" style="75" customWidth="1"/>
    <col min="6154" max="6154" width="7.81640625" style="75" customWidth="1"/>
    <col min="6155" max="6400" width="8.7265625" style="75"/>
    <col min="6401" max="6401" width="20.81640625" style="75" customWidth="1"/>
    <col min="6402" max="6402" width="22.81640625" style="75" customWidth="1"/>
    <col min="6403" max="6403" width="15.81640625" style="75" customWidth="1"/>
    <col min="6404" max="6404" width="12.81640625" style="75" customWidth="1"/>
    <col min="6405" max="6405" width="19.81640625" style="75" customWidth="1"/>
    <col min="6406" max="6407" width="15.81640625" style="75" customWidth="1"/>
    <col min="6408" max="6408" width="10.81640625" style="75" customWidth="1"/>
    <col min="6409" max="6409" width="16.81640625" style="75" customWidth="1"/>
    <col min="6410" max="6410" width="7.81640625" style="75" customWidth="1"/>
    <col min="6411" max="6656" width="8.7265625" style="75"/>
    <col min="6657" max="6657" width="20.81640625" style="75" customWidth="1"/>
    <col min="6658" max="6658" width="22.81640625" style="75" customWidth="1"/>
    <col min="6659" max="6659" width="15.81640625" style="75" customWidth="1"/>
    <col min="6660" max="6660" width="12.81640625" style="75" customWidth="1"/>
    <col min="6661" max="6661" width="19.81640625" style="75" customWidth="1"/>
    <col min="6662" max="6663" width="15.81640625" style="75" customWidth="1"/>
    <col min="6664" max="6664" width="10.81640625" style="75" customWidth="1"/>
    <col min="6665" max="6665" width="16.81640625" style="75" customWidth="1"/>
    <col min="6666" max="6666" width="7.81640625" style="75" customWidth="1"/>
    <col min="6667" max="6912" width="8.7265625" style="75"/>
    <col min="6913" max="6913" width="20.81640625" style="75" customWidth="1"/>
    <col min="6914" max="6914" width="22.81640625" style="75" customWidth="1"/>
    <col min="6915" max="6915" width="15.81640625" style="75" customWidth="1"/>
    <col min="6916" max="6916" width="12.81640625" style="75" customWidth="1"/>
    <col min="6917" max="6917" width="19.81640625" style="75" customWidth="1"/>
    <col min="6918" max="6919" width="15.81640625" style="75" customWidth="1"/>
    <col min="6920" max="6920" width="10.81640625" style="75" customWidth="1"/>
    <col min="6921" max="6921" width="16.81640625" style="75" customWidth="1"/>
    <col min="6922" max="6922" width="7.81640625" style="75" customWidth="1"/>
    <col min="6923" max="7168" width="8.7265625" style="75"/>
    <col min="7169" max="7169" width="20.81640625" style="75" customWidth="1"/>
    <col min="7170" max="7170" width="22.81640625" style="75" customWidth="1"/>
    <col min="7171" max="7171" width="15.81640625" style="75" customWidth="1"/>
    <col min="7172" max="7172" width="12.81640625" style="75" customWidth="1"/>
    <col min="7173" max="7173" width="19.81640625" style="75" customWidth="1"/>
    <col min="7174" max="7175" width="15.81640625" style="75" customWidth="1"/>
    <col min="7176" max="7176" width="10.81640625" style="75" customWidth="1"/>
    <col min="7177" max="7177" width="16.81640625" style="75" customWidth="1"/>
    <col min="7178" max="7178" width="7.81640625" style="75" customWidth="1"/>
    <col min="7179" max="7424" width="8.7265625" style="75"/>
    <col min="7425" max="7425" width="20.81640625" style="75" customWidth="1"/>
    <col min="7426" max="7426" width="22.81640625" style="75" customWidth="1"/>
    <col min="7427" max="7427" width="15.81640625" style="75" customWidth="1"/>
    <col min="7428" max="7428" width="12.81640625" style="75" customWidth="1"/>
    <col min="7429" max="7429" width="19.81640625" style="75" customWidth="1"/>
    <col min="7430" max="7431" width="15.81640625" style="75" customWidth="1"/>
    <col min="7432" max="7432" width="10.81640625" style="75" customWidth="1"/>
    <col min="7433" max="7433" width="16.81640625" style="75" customWidth="1"/>
    <col min="7434" max="7434" width="7.81640625" style="75" customWidth="1"/>
    <col min="7435" max="7680" width="8.7265625" style="75"/>
    <col min="7681" max="7681" width="20.81640625" style="75" customWidth="1"/>
    <col min="7682" max="7682" width="22.81640625" style="75" customWidth="1"/>
    <col min="7683" max="7683" width="15.81640625" style="75" customWidth="1"/>
    <col min="7684" max="7684" width="12.81640625" style="75" customWidth="1"/>
    <col min="7685" max="7685" width="19.81640625" style="75" customWidth="1"/>
    <col min="7686" max="7687" width="15.81640625" style="75" customWidth="1"/>
    <col min="7688" max="7688" width="10.81640625" style="75" customWidth="1"/>
    <col min="7689" max="7689" width="16.81640625" style="75" customWidth="1"/>
    <col min="7690" max="7690" width="7.81640625" style="75" customWidth="1"/>
    <col min="7691" max="7936" width="8.7265625" style="75"/>
    <col min="7937" max="7937" width="20.81640625" style="75" customWidth="1"/>
    <col min="7938" max="7938" width="22.81640625" style="75" customWidth="1"/>
    <col min="7939" max="7939" width="15.81640625" style="75" customWidth="1"/>
    <col min="7940" max="7940" width="12.81640625" style="75" customWidth="1"/>
    <col min="7941" max="7941" width="19.81640625" style="75" customWidth="1"/>
    <col min="7942" max="7943" width="15.81640625" style="75" customWidth="1"/>
    <col min="7944" max="7944" width="10.81640625" style="75" customWidth="1"/>
    <col min="7945" max="7945" width="16.81640625" style="75" customWidth="1"/>
    <col min="7946" max="7946" width="7.81640625" style="75" customWidth="1"/>
    <col min="7947" max="8192" width="8.7265625" style="75"/>
    <col min="8193" max="8193" width="20.81640625" style="75" customWidth="1"/>
    <col min="8194" max="8194" width="22.81640625" style="75" customWidth="1"/>
    <col min="8195" max="8195" width="15.81640625" style="75" customWidth="1"/>
    <col min="8196" max="8196" width="12.81640625" style="75" customWidth="1"/>
    <col min="8197" max="8197" width="19.81640625" style="75" customWidth="1"/>
    <col min="8198" max="8199" width="15.81640625" style="75" customWidth="1"/>
    <col min="8200" max="8200" width="10.81640625" style="75" customWidth="1"/>
    <col min="8201" max="8201" width="16.81640625" style="75" customWidth="1"/>
    <col min="8202" max="8202" width="7.81640625" style="75" customWidth="1"/>
    <col min="8203" max="8448" width="8.7265625" style="75"/>
    <col min="8449" max="8449" width="20.81640625" style="75" customWidth="1"/>
    <col min="8450" max="8450" width="22.81640625" style="75" customWidth="1"/>
    <col min="8451" max="8451" width="15.81640625" style="75" customWidth="1"/>
    <col min="8452" max="8452" width="12.81640625" style="75" customWidth="1"/>
    <col min="8453" max="8453" width="19.81640625" style="75" customWidth="1"/>
    <col min="8454" max="8455" width="15.81640625" style="75" customWidth="1"/>
    <col min="8456" max="8456" width="10.81640625" style="75" customWidth="1"/>
    <col min="8457" max="8457" width="16.81640625" style="75" customWidth="1"/>
    <col min="8458" max="8458" width="7.81640625" style="75" customWidth="1"/>
    <col min="8459" max="8704" width="8.7265625" style="75"/>
    <col min="8705" max="8705" width="20.81640625" style="75" customWidth="1"/>
    <col min="8706" max="8706" width="22.81640625" style="75" customWidth="1"/>
    <col min="8707" max="8707" width="15.81640625" style="75" customWidth="1"/>
    <col min="8708" max="8708" width="12.81640625" style="75" customWidth="1"/>
    <col min="8709" max="8709" width="19.81640625" style="75" customWidth="1"/>
    <col min="8710" max="8711" width="15.81640625" style="75" customWidth="1"/>
    <col min="8712" max="8712" width="10.81640625" style="75" customWidth="1"/>
    <col min="8713" max="8713" width="16.81640625" style="75" customWidth="1"/>
    <col min="8714" max="8714" width="7.81640625" style="75" customWidth="1"/>
    <col min="8715" max="8960" width="8.7265625" style="75"/>
    <col min="8961" max="8961" width="20.81640625" style="75" customWidth="1"/>
    <col min="8962" max="8962" width="22.81640625" style="75" customWidth="1"/>
    <col min="8963" max="8963" width="15.81640625" style="75" customWidth="1"/>
    <col min="8964" max="8964" width="12.81640625" style="75" customWidth="1"/>
    <col min="8965" max="8965" width="19.81640625" style="75" customWidth="1"/>
    <col min="8966" max="8967" width="15.81640625" style="75" customWidth="1"/>
    <col min="8968" max="8968" width="10.81640625" style="75" customWidth="1"/>
    <col min="8969" max="8969" width="16.81640625" style="75" customWidth="1"/>
    <col min="8970" max="8970" width="7.81640625" style="75" customWidth="1"/>
    <col min="8971" max="9216" width="8.7265625" style="75"/>
    <col min="9217" max="9217" width="20.81640625" style="75" customWidth="1"/>
    <col min="9218" max="9218" width="22.81640625" style="75" customWidth="1"/>
    <col min="9219" max="9219" width="15.81640625" style="75" customWidth="1"/>
    <col min="9220" max="9220" width="12.81640625" style="75" customWidth="1"/>
    <col min="9221" max="9221" width="19.81640625" style="75" customWidth="1"/>
    <col min="9222" max="9223" width="15.81640625" style="75" customWidth="1"/>
    <col min="9224" max="9224" width="10.81640625" style="75" customWidth="1"/>
    <col min="9225" max="9225" width="16.81640625" style="75" customWidth="1"/>
    <col min="9226" max="9226" width="7.81640625" style="75" customWidth="1"/>
    <col min="9227" max="9472" width="8.7265625" style="75"/>
    <col min="9473" max="9473" width="20.81640625" style="75" customWidth="1"/>
    <col min="9474" max="9474" width="22.81640625" style="75" customWidth="1"/>
    <col min="9475" max="9475" width="15.81640625" style="75" customWidth="1"/>
    <col min="9476" max="9476" width="12.81640625" style="75" customWidth="1"/>
    <col min="9477" max="9477" width="19.81640625" style="75" customWidth="1"/>
    <col min="9478" max="9479" width="15.81640625" style="75" customWidth="1"/>
    <col min="9480" max="9480" width="10.81640625" style="75" customWidth="1"/>
    <col min="9481" max="9481" width="16.81640625" style="75" customWidth="1"/>
    <col min="9482" max="9482" width="7.81640625" style="75" customWidth="1"/>
    <col min="9483" max="9728" width="8.7265625" style="75"/>
    <col min="9729" max="9729" width="20.81640625" style="75" customWidth="1"/>
    <col min="9730" max="9730" width="22.81640625" style="75" customWidth="1"/>
    <col min="9731" max="9731" width="15.81640625" style="75" customWidth="1"/>
    <col min="9732" max="9732" width="12.81640625" style="75" customWidth="1"/>
    <col min="9733" max="9733" width="19.81640625" style="75" customWidth="1"/>
    <col min="9734" max="9735" width="15.81640625" style="75" customWidth="1"/>
    <col min="9736" max="9736" width="10.81640625" style="75" customWidth="1"/>
    <col min="9737" max="9737" width="16.81640625" style="75" customWidth="1"/>
    <col min="9738" max="9738" width="7.81640625" style="75" customWidth="1"/>
    <col min="9739" max="9984" width="8.7265625" style="75"/>
    <col min="9985" max="9985" width="20.81640625" style="75" customWidth="1"/>
    <col min="9986" max="9986" width="22.81640625" style="75" customWidth="1"/>
    <col min="9987" max="9987" width="15.81640625" style="75" customWidth="1"/>
    <col min="9988" max="9988" width="12.81640625" style="75" customWidth="1"/>
    <col min="9989" max="9989" width="19.81640625" style="75" customWidth="1"/>
    <col min="9990" max="9991" width="15.81640625" style="75" customWidth="1"/>
    <col min="9992" max="9992" width="10.81640625" style="75" customWidth="1"/>
    <col min="9993" max="9993" width="16.81640625" style="75" customWidth="1"/>
    <col min="9994" max="9994" width="7.81640625" style="75" customWidth="1"/>
    <col min="9995" max="10240" width="8.7265625" style="75"/>
    <col min="10241" max="10241" width="20.81640625" style="75" customWidth="1"/>
    <col min="10242" max="10242" width="22.81640625" style="75" customWidth="1"/>
    <col min="10243" max="10243" width="15.81640625" style="75" customWidth="1"/>
    <col min="10244" max="10244" width="12.81640625" style="75" customWidth="1"/>
    <col min="10245" max="10245" width="19.81640625" style="75" customWidth="1"/>
    <col min="10246" max="10247" width="15.81640625" style="75" customWidth="1"/>
    <col min="10248" max="10248" width="10.81640625" style="75" customWidth="1"/>
    <col min="10249" max="10249" width="16.81640625" style="75" customWidth="1"/>
    <col min="10250" max="10250" width="7.81640625" style="75" customWidth="1"/>
    <col min="10251" max="10496" width="8.7265625" style="75"/>
    <col min="10497" max="10497" width="20.81640625" style="75" customWidth="1"/>
    <col min="10498" max="10498" width="22.81640625" style="75" customWidth="1"/>
    <col min="10499" max="10499" width="15.81640625" style="75" customWidth="1"/>
    <col min="10500" max="10500" width="12.81640625" style="75" customWidth="1"/>
    <col min="10501" max="10501" width="19.81640625" style="75" customWidth="1"/>
    <col min="10502" max="10503" width="15.81640625" style="75" customWidth="1"/>
    <col min="10504" max="10504" width="10.81640625" style="75" customWidth="1"/>
    <col min="10505" max="10505" width="16.81640625" style="75" customWidth="1"/>
    <col min="10506" max="10506" width="7.81640625" style="75" customWidth="1"/>
    <col min="10507" max="10752" width="8.7265625" style="75"/>
    <col min="10753" max="10753" width="20.81640625" style="75" customWidth="1"/>
    <col min="10754" max="10754" width="22.81640625" style="75" customWidth="1"/>
    <col min="10755" max="10755" width="15.81640625" style="75" customWidth="1"/>
    <col min="10756" max="10756" width="12.81640625" style="75" customWidth="1"/>
    <col min="10757" max="10757" width="19.81640625" style="75" customWidth="1"/>
    <col min="10758" max="10759" width="15.81640625" style="75" customWidth="1"/>
    <col min="10760" max="10760" width="10.81640625" style="75" customWidth="1"/>
    <col min="10761" max="10761" width="16.81640625" style="75" customWidth="1"/>
    <col min="10762" max="10762" width="7.81640625" style="75" customWidth="1"/>
    <col min="10763" max="11008" width="8.7265625" style="75"/>
    <col min="11009" max="11009" width="20.81640625" style="75" customWidth="1"/>
    <col min="11010" max="11010" width="22.81640625" style="75" customWidth="1"/>
    <col min="11011" max="11011" width="15.81640625" style="75" customWidth="1"/>
    <col min="11012" max="11012" width="12.81640625" style="75" customWidth="1"/>
    <col min="11013" max="11013" width="19.81640625" style="75" customWidth="1"/>
    <col min="11014" max="11015" width="15.81640625" style="75" customWidth="1"/>
    <col min="11016" max="11016" width="10.81640625" style="75" customWidth="1"/>
    <col min="11017" max="11017" width="16.81640625" style="75" customWidth="1"/>
    <col min="11018" max="11018" width="7.81640625" style="75" customWidth="1"/>
    <col min="11019" max="11264" width="8.7265625" style="75"/>
    <col min="11265" max="11265" width="20.81640625" style="75" customWidth="1"/>
    <col min="11266" max="11266" width="22.81640625" style="75" customWidth="1"/>
    <col min="11267" max="11267" width="15.81640625" style="75" customWidth="1"/>
    <col min="11268" max="11268" width="12.81640625" style="75" customWidth="1"/>
    <col min="11269" max="11269" width="19.81640625" style="75" customWidth="1"/>
    <col min="11270" max="11271" width="15.81640625" style="75" customWidth="1"/>
    <col min="11272" max="11272" width="10.81640625" style="75" customWidth="1"/>
    <col min="11273" max="11273" width="16.81640625" style="75" customWidth="1"/>
    <col min="11274" max="11274" width="7.81640625" style="75" customWidth="1"/>
    <col min="11275" max="11520" width="8.7265625" style="75"/>
    <col min="11521" max="11521" width="20.81640625" style="75" customWidth="1"/>
    <col min="11522" max="11522" width="22.81640625" style="75" customWidth="1"/>
    <col min="11523" max="11523" width="15.81640625" style="75" customWidth="1"/>
    <col min="11524" max="11524" width="12.81640625" style="75" customWidth="1"/>
    <col min="11525" max="11525" width="19.81640625" style="75" customWidth="1"/>
    <col min="11526" max="11527" width="15.81640625" style="75" customWidth="1"/>
    <col min="11528" max="11528" width="10.81640625" style="75" customWidth="1"/>
    <col min="11529" max="11529" width="16.81640625" style="75" customWidth="1"/>
    <col min="11530" max="11530" width="7.81640625" style="75" customWidth="1"/>
    <col min="11531" max="11776" width="8.7265625" style="75"/>
    <col min="11777" max="11777" width="20.81640625" style="75" customWidth="1"/>
    <col min="11778" max="11778" width="22.81640625" style="75" customWidth="1"/>
    <col min="11779" max="11779" width="15.81640625" style="75" customWidth="1"/>
    <col min="11780" max="11780" width="12.81640625" style="75" customWidth="1"/>
    <col min="11781" max="11781" width="19.81640625" style="75" customWidth="1"/>
    <col min="11782" max="11783" width="15.81640625" style="75" customWidth="1"/>
    <col min="11784" max="11784" width="10.81640625" style="75" customWidth="1"/>
    <col min="11785" max="11785" width="16.81640625" style="75" customWidth="1"/>
    <col min="11786" max="11786" width="7.81640625" style="75" customWidth="1"/>
    <col min="11787" max="12032" width="8.7265625" style="75"/>
    <col min="12033" max="12033" width="20.81640625" style="75" customWidth="1"/>
    <col min="12034" max="12034" width="22.81640625" style="75" customWidth="1"/>
    <col min="12035" max="12035" width="15.81640625" style="75" customWidth="1"/>
    <col min="12036" max="12036" width="12.81640625" style="75" customWidth="1"/>
    <col min="12037" max="12037" width="19.81640625" style="75" customWidth="1"/>
    <col min="12038" max="12039" width="15.81640625" style="75" customWidth="1"/>
    <col min="12040" max="12040" width="10.81640625" style="75" customWidth="1"/>
    <col min="12041" max="12041" width="16.81640625" style="75" customWidth="1"/>
    <col min="12042" max="12042" width="7.81640625" style="75" customWidth="1"/>
    <col min="12043" max="12288" width="8.7265625" style="75"/>
    <col min="12289" max="12289" width="20.81640625" style="75" customWidth="1"/>
    <col min="12290" max="12290" width="22.81640625" style="75" customWidth="1"/>
    <col min="12291" max="12291" width="15.81640625" style="75" customWidth="1"/>
    <col min="12292" max="12292" width="12.81640625" style="75" customWidth="1"/>
    <col min="12293" max="12293" width="19.81640625" style="75" customWidth="1"/>
    <col min="12294" max="12295" width="15.81640625" style="75" customWidth="1"/>
    <col min="12296" max="12296" width="10.81640625" style="75" customWidth="1"/>
    <col min="12297" max="12297" width="16.81640625" style="75" customWidth="1"/>
    <col min="12298" max="12298" width="7.81640625" style="75" customWidth="1"/>
    <col min="12299" max="12544" width="8.7265625" style="75"/>
    <col min="12545" max="12545" width="20.81640625" style="75" customWidth="1"/>
    <col min="12546" max="12546" width="22.81640625" style="75" customWidth="1"/>
    <col min="12547" max="12547" width="15.81640625" style="75" customWidth="1"/>
    <col min="12548" max="12548" width="12.81640625" style="75" customWidth="1"/>
    <col min="12549" max="12549" width="19.81640625" style="75" customWidth="1"/>
    <col min="12550" max="12551" width="15.81640625" style="75" customWidth="1"/>
    <col min="12552" max="12552" width="10.81640625" style="75" customWidth="1"/>
    <col min="12553" max="12553" width="16.81640625" style="75" customWidth="1"/>
    <col min="12554" max="12554" width="7.81640625" style="75" customWidth="1"/>
    <col min="12555" max="12800" width="8.7265625" style="75"/>
    <col min="12801" max="12801" width="20.81640625" style="75" customWidth="1"/>
    <col min="12802" max="12802" width="22.81640625" style="75" customWidth="1"/>
    <col min="12803" max="12803" width="15.81640625" style="75" customWidth="1"/>
    <col min="12804" max="12804" width="12.81640625" style="75" customWidth="1"/>
    <col min="12805" max="12805" width="19.81640625" style="75" customWidth="1"/>
    <col min="12806" max="12807" width="15.81640625" style="75" customWidth="1"/>
    <col min="12808" max="12808" width="10.81640625" style="75" customWidth="1"/>
    <col min="12809" max="12809" width="16.81640625" style="75" customWidth="1"/>
    <col min="12810" max="12810" width="7.81640625" style="75" customWidth="1"/>
    <col min="12811" max="13056" width="8.7265625" style="75"/>
    <col min="13057" max="13057" width="20.81640625" style="75" customWidth="1"/>
    <col min="13058" max="13058" width="22.81640625" style="75" customWidth="1"/>
    <col min="13059" max="13059" width="15.81640625" style="75" customWidth="1"/>
    <col min="13060" max="13060" width="12.81640625" style="75" customWidth="1"/>
    <col min="13061" max="13061" width="19.81640625" style="75" customWidth="1"/>
    <col min="13062" max="13063" width="15.81640625" style="75" customWidth="1"/>
    <col min="13064" max="13064" width="10.81640625" style="75" customWidth="1"/>
    <col min="13065" max="13065" width="16.81640625" style="75" customWidth="1"/>
    <col min="13066" max="13066" width="7.81640625" style="75" customWidth="1"/>
    <col min="13067" max="13312" width="8.7265625" style="75"/>
    <col min="13313" max="13313" width="20.81640625" style="75" customWidth="1"/>
    <col min="13314" max="13314" width="22.81640625" style="75" customWidth="1"/>
    <col min="13315" max="13315" width="15.81640625" style="75" customWidth="1"/>
    <col min="13316" max="13316" width="12.81640625" style="75" customWidth="1"/>
    <col min="13317" max="13317" width="19.81640625" style="75" customWidth="1"/>
    <col min="13318" max="13319" width="15.81640625" style="75" customWidth="1"/>
    <col min="13320" max="13320" width="10.81640625" style="75" customWidth="1"/>
    <col min="13321" max="13321" width="16.81640625" style="75" customWidth="1"/>
    <col min="13322" max="13322" width="7.81640625" style="75" customWidth="1"/>
    <col min="13323" max="13568" width="8.7265625" style="75"/>
    <col min="13569" max="13569" width="20.81640625" style="75" customWidth="1"/>
    <col min="13570" max="13570" width="22.81640625" style="75" customWidth="1"/>
    <col min="13571" max="13571" width="15.81640625" style="75" customWidth="1"/>
    <col min="13572" max="13572" width="12.81640625" style="75" customWidth="1"/>
    <col min="13573" max="13573" width="19.81640625" style="75" customWidth="1"/>
    <col min="13574" max="13575" width="15.81640625" style="75" customWidth="1"/>
    <col min="13576" max="13576" width="10.81640625" style="75" customWidth="1"/>
    <col min="13577" max="13577" width="16.81640625" style="75" customWidth="1"/>
    <col min="13578" max="13578" width="7.81640625" style="75" customWidth="1"/>
    <col min="13579" max="13824" width="8.7265625" style="75"/>
    <col min="13825" max="13825" width="20.81640625" style="75" customWidth="1"/>
    <col min="13826" max="13826" width="22.81640625" style="75" customWidth="1"/>
    <col min="13827" max="13827" width="15.81640625" style="75" customWidth="1"/>
    <col min="13828" max="13828" width="12.81640625" style="75" customWidth="1"/>
    <col min="13829" max="13829" width="19.81640625" style="75" customWidth="1"/>
    <col min="13830" max="13831" width="15.81640625" style="75" customWidth="1"/>
    <col min="13832" max="13832" width="10.81640625" style="75" customWidth="1"/>
    <col min="13833" max="13833" width="16.81640625" style="75" customWidth="1"/>
    <col min="13834" max="13834" width="7.81640625" style="75" customWidth="1"/>
    <col min="13835" max="14080" width="8.7265625" style="75"/>
    <col min="14081" max="14081" width="20.81640625" style="75" customWidth="1"/>
    <col min="14082" max="14082" width="22.81640625" style="75" customWidth="1"/>
    <col min="14083" max="14083" width="15.81640625" style="75" customWidth="1"/>
    <col min="14084" max="14084" width="12.81640625" style="75" customWidth="1"/>
    <col min="14085" max="14085" width="19.81640625" style="75" customWidth="1"/>
    <col min="14086" max="14087" width="15.81640625" style="75" customWidth="1"/>
    <col min="14088" max="14088" width="10.81640625" style="75" customWidth="1"/>
    <col min="14089" max="14089" width="16.81640625" style="75" customWidth="1"/>
    <col min="14090" max="14090" width="7.81640625" style="75" customWidth="1"/>
    <col min="14091" max="14336" width="8.7265625" style="75"/>
    <col min="14337" max="14337" width="20.81640625" style="75" customWidth="1"/>
    <col min="14338" max="14338" width="22.81640625" style="75" customWidth="1"/>
    <col min="14339" max="14339" width="15.81640625" style="75" customWidth="1"/>
    <col min="14340" max="14340" width="12.81640625" style="75" customWidth="1"/>
    <col min="14341" max="14341" width="19.81640625" style="75" customWidth="1"/>
    <col min="14342" max="14343" width="15.81640625" style="75" customWidth="1"/>
    <col min="14344" max="14344" width="10.81640625" style="75" customWidth="1"/>
    <col min="14345" max="14345" width="16.81640625" style="75" customWidth="1"/>
    <col min="14346" max="14346" width="7.81640625" style="75" customWidth="1"/>
    <col min="14347" max="14592" width="8.7265625" style="75"/>
    <col min="14593" max="14593" width="20.81640625" style="75" customWidth="1"/>
    <col min="14594" max="14594" width="22.81640625" style="75" customWidth="1"/>
    <col min="14595" max="14595" width="15.81640625" style="75" customWidth="1"/>
    <col min="14596" max="14596" width="12.81640625" style="75" customWidth="1"/>
    <col min="14597" max="14597" width="19.81640625" style="75" customWidth="1"/>
    <col min="14598" max="14599" width="15.81640625" style="75" customWidth="1"/>
    <col min="14600" max="14600" width="10.81640625" style="75" customWidth="1"/>
    <col min="14601" max="14601" width="16.81640625" style="75" customWidth="1"/>
    <col min="14602" max="14602" width="7.81640625" style="75" customWidth="1"/>
    <col min="14603" max="14848" width="8.7265625" style="75"/>
    <col min="14849" max="14849" width="20.81640625" style="75" customWidth="1"/>
    <col min="14850" max="14850" width="22.81640625" style="75" customWidth="1"/>
    <col min="14851" max="14851" width="15.81640625" style="75" customWidth="1"/>
    <col min="14852" max="14852" width="12.81640625" style="75" customWidth="1"/>
    <col min="14853" max="14853" width="19.81640625" style="75" customWidth="1"/>
    <col min="14854" max="14855" width="15.81640625" style="75" customWidth="1"/>
    <col min="14856" max="14856" width="10.81640625" style="75" customWidth="1"/>
    <col min="14857" max="14857" width="16.81640625" style="75" customWidth="1"/>
    <col min="14858" max="14858" width="7.81640625" style="75" customWidth="1"/>
    <col min="14859" max="15104" width="8.7265625" style="75"/>
    <col min="15105" max="15105" width="20.81640625" style="75" customWidth="1"/>
    <col min="15106" max="15106" width="22.81640625" style="75" customWidth="1"/>
    <col min="15107" max="15107" width="15.81640625" style="75" customWidth="1"/>
    <col min="15108" max="15108" width="12.81640625" style="75" customWidth="1"/>
    <col min="15109" max="15109" width="19.81640625" style="75" customWidth="1"/>
    <col min="15110" max="15111" width="15.81640625" style="75" customWidth="1"/>
    <col min="15112" max="15112" width="10.81640625" style="75" customWidth="1"/>
    <col min="15113" max="15113" width="16.81640625" style="75" customWidth="1"/>
    <col min="15114" max="15114" width="7.81640625" style="75" customWidth="1"/>
    <col min="15115" max="15360" width="8.7265625" style="75"/>
    <col min="15361" max="15361" width="20.81640625" style="75" customWidth="1"/>
    <col min="15362" max="15362" width="22.81640625" style="75" customWidth="1"/>
    <col min="15363" max="15363" width="15.81640625" style="75" customWidth="1"/>
    <col min="15364" max="15364" width="12.81640625" style="75" customWidth="1"/>
    <col min="15365" max="15365" width="19.81640625" style="75" customWidth="1"/>
    <col min="15366" max="15367" width="15.81640625" style="75" customWidth="1"/>
    <col min="15368" max="15368" width="10.81640625" style="75" customWidth="1"/>
    <col min="15369" max="15369" width="16.81640625" style="75" customWidth="1"/>
    <col min="15370" max="15370" width="7.81640625" style="75" customWidth="1"/>
    <col min="15371" max="15616" width="8.7265625" style="75"/>
    <col min="15617" max="15617" width="20.81640625" style="75" customWidth="1"/>
    <col min="15618" max="15618" width="22.81640625" style="75" customWidth="1"/>
    <col min="15619" max="15619" width="15.81640625" style="75" customWidth="1"/>
    <col min="15620" max="15620" width="12.81640625" style="75" customWidth="1"/>
    <col min="15621" max="15621" width="19.81640625" style="75" customWidth="1"/>
    <col min="15622" max="15623" width="15.81640625" style="75" customWidth="1"/>
    <col min="15624" max="15624" width="10.81640625" style="75" customWidth="1"/>
    <col min="15625" max="15625" width="16.81640625" style="75" customWidth="1"/>
    <col min="15626" max="15626" width="7.81640625" style="75" customWidth="1"/>
    <col min="15627" max="15872" width="8.7265625" style="75"/>
    <col min="15873" max="15873" width="20.81640625" style="75" customWidth="1"/>
    <col min="15874" max="15874" width="22.81640625" style="75" customWidth="1"/>
    <col min="15875" max="15875" width="15.81640625" style="75" customWidth="1"/>
    <col min="15876" max="15876" width="12.81640625" style="75" customWidth="1"/>
    <col min="15877" max="15877" width="19.81640625" style="75" customWidth="1"/>
    <col min="15878" max="15879" width="15.81640625" style="75" customWidth="1"/>
    <col min="15880" max="15880" width="10.81640625" style="75" customWidth="1"/>
    <col min="15881" max="15881" width="16.81640625" style="75" customWidth="1"/>
    <col min="15882" max="15882" width="7.81640625" style="75" customWidth="1"/>
    <col min="15883" max="16128" width="8.7265625" style="75"/>
    <col min="16129" max="16129" width="20.81640625" style="75" customWidth="1"/>
    <col min="16130" max="16130" width="22.81640625" style="75" customWidth="1"/>
    <col min="16131" max="16131" width="15.81640625" style="75" customWidth="1"/>
    <col min="16132" max="16132" width="12.81640625" style="75" customWidth="1"/>
    <col min="16133" max="16133" width="19.81640625" style="75" customWidth="1"/>
    <col min="16134" max="16135" width="15.81640625" style="75" customWidth="1"/>
    <col min="16136" max="16136" width="10.81640625" style="75" customWidth="1"/>
    <col min="16137" max="16137" width="16.81640625" style="75" customWidth="1"/>
    <col min="16138" max="16138" width="7.81640625" style="75" customWidth="1"/>
    <col min="16139" max="16384" width="8.7265625" style="75"/>
  </cols>
  <sheetData>
    <row r="5" spans="1:255" ht="17" x14ac:dyDescent="0.35">
      <c r="A5" s="74" t="s">
        <v>423</v>
      </c>
    </row>
    <row r="7" spans="1:255" ht="20.5" x14ac:dyDescent="0.25">
      <c r="A7" s="76" t="s">
        <v>424</v>
      </c>
      <c r="B7" s="77" t="s">
        <v>250</v>
      </c>
      <c r="C7" s="75" t="s">
        <v>251</v>
      </c>
      <c r="D7" s="78" t="s">
        <v>177</v>
      </c>
      <c r="E7" s="77" t="s">
        <v>253</v>
      </c>
      <c r="F7" s="75" t="s">
        <v>425</v>
      </c>
    </row>
    <row r="8" spans="1:255" ht="10.5" x14ac:dyDescent="0.25">
      <c r="A8" s="78"/>
      <c r="B8" s="77" t="s">
        <v>175</v>
      </c>
      <c r="C8" s="75" t="s">
        <v>252</v>
      </c>
      <c r="D8" s="78" t="s">
        <v>177</v>
      </c>
      <c r="E8" s="77" t="s">
        <v>178</v>
      </c>
      <c r="F8" s="75" t="s">
        <v>179</v>
      </c>
    </row>
    <row r="9" spans="1:255" ht="10.5" x14ac:dyDescent="0.25">
      <c r="A9" s="78"/>
      <c r="B9" s="77" t="s">
        <v>182</v>
      </c>
      <c r="C9" s="75" t="s">
        <v>183</v>
      </c>
      <c r="D9" s="78" t="s">
        <v>177</v>
      </c>
      <c r="E9" s="77" t="s">
        <v>184</v>
      </c>
      <c r="F9" s="79" t="s">
        <v>185</v>
      </c>
    </row>
    <row r="12" spans="1:255" x14ac:dyDescent="0.2">
      <c r="A12" s="80" t="s">
        <v>426</v>
      </c>
      <c r="B12" s="80"/>
      <c r="C12" s="80"/>
      <c r="D12" s="80"/>
      <c r="E12" s="80"/>
      <c r="F12" s="80"/>
      <c r="G12" s="80"/>
      <c r="H12" s="80"/>
      <c r="I12" s="80"/>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row>
    <row r="13" spans="1:255" ht="40.5" x14ac:dyDescent="0.55000000000000004">
      <c r="A13" s="157" t="s">
        <v>427</v>
      </c>
      <c r="B13" s="157" t="s">
        <v>428</v>
      </c>
      <c r="C13" s="158" t="s">
        <v>429</v>
      </c>
      <c r="D13" s="158" t="s">
        <v>430</v>
      </c>
      <c r="E13" s="158" t="s">
        <v>431</v>
      </c>
      <c r="F13" s="158" t="s">
        <v>432</v>
      </c>
      <c r="G13" s="158" t="s">
        <v>433</v>
      </c>
      <c r="H13" s="158" t="s">
        <v>434</v>
      </c>
      <c r="I13" s="158" t="s">
        <v>435</v>
      </c>
      <c r="J13" s="158" t="s">
        <v>436</v>
      </c>
    </row>
    <row r="14" spans="1:255" ht="20" x14ac:dyDescent="0.2">
      <c r="A14" s="146" t="s">
        <v>437</v>
      </c>
      <c r="B14" s="146" t="s">
        <v>438</v>
      </c>
      <c r="C14" s="159" t="s">
        <v>30</v>
      </c>
      <c r="D14" s="159" t="s">
        <v>439</v>
      </c>
      <c r="E14" s="159" t="s">
        <v>113</v>
      </c>
      <c r="F14" s="160">
        <v>44651</v>
      </c>
      <c r="G14" s="159" t="s">
        <v>440</v>
      </c>
      <c r="H14" s="159" t="s">
        <v>441</v>
      </c>
      <c r="I14" s="159" t="s">
        <v>441</v>
      </c>
      <c r="J14" s="159" t="s">
        <v>27</v>
      </c>
    </row>
    <row r="15" spans="1:255" x14ac:dyDescent="0.2">
      <c r="A15" s="146" t="s">
        <v>442</v>
      </c>
      <c r="B15" s="146" t="s">
        <v>443</v>
      </c>
      <c r="C15" s="161">
        <v>8</v>
      </c>
      <c r="D15" s="159" t="s">
        <v>113</v>
      </c>
      <c r="E15" s="159" t="s">
        <v>113</v>
      </c>
      <c r="F15" s="160">
        <v>46492</v>
      </c>
      <c r="G15" s="159" t="s">
        <v>440</v>
      </c>
      <c r="H15" s="159" t="s">
        <v>444</v>
      </c>
      <c r="I15" s="159" t="s">
        <v>441</v>
      </c>
      <c r="J15" s="159" t="s">
        <v>27</v>
      </c>
    </row>
    <row r="16" spans="1:255" x14ac:dyDescent="0.2">
      <c r="A16" s="146" t="s">
        <v>445</v>
      </c>
      <c r="B16" s="146" t="s">
        <v>446</v>
      </c>
      <c r="C16" s="161">
        <v>13.8</v>
      </c>
      <c r="D16" s="159" t="s">
        <v>113</v>
      </c>
      <c r="E16" s="159" t="s">
        <v>447</v>
      </c>
      <c r="F16" s="160">
        <v>46905</v>
      </c>
      <c r="G16" s="159" t="s">
        <v>440</v>
      </c>
      <c r="H16" s="159" t="s">
        <v>444</v>
      </c>
      <c r="I16" s="159" t="s">
        <v>441</v>
      </c>
      <c r="J16" s="159" t="s">
        <v>448</v>
      </c>
    </row>
    <row r="17" spans="1:255" x14ac:dyDescent="0.2">
      <c r="A17" s="146" t="s">
        <v>449</v>
      </c>
      <c r="B17" s="146" t="s">
        <v>450</v>
      </c>
      <c r="C17" s="161">
        <v>198</v>
      </c>
      <c r="D17" s="159" t="s">
        <v>113</v>
      </c>
      <c r="E17" s="159" t="s">
        <v>447</v>
      </c>
      <c r="F17" s="160">
        <v>46905</v>
      </c>
      <c r="G17" s="159" t="s">
        <v>440</v>
      </c>
      <c r="H17" s="159" t="s">
        <v>444</v>
      </c>
      <c r="I17" s="159" t="s">
        <v>441</v>
      </c>
      <c r="J17" s="159" t="s">
        <v>448</v>
      </c>
    </row>
    <row r="18" spans="1:255" x14ac:dyDescent="0.2">
      <c r="A18" s="146" t="s">
        <v>451</v>
      </c>
      <c r="B18" s="146" t="s">
        <v>450</v>
      </c>
      <c r="C18" s="159" t="s">
        <v>30</v>
      </c>
      <c r="D18" s="159" t="s">
        <v>439</v>
      </c>
      <c r="E18" s="159" t="s">
        <v>113</v>
      </c>
      <c r="F18" s="160">
        <v>45092</v>
      </c>
      <c r="G18" s="159" t="s">
        <v>440</v>
      </c>
      <c r="H18" s="159" t="s">
        <v>444</v>
      </c>
      <c r="I18" s="159" t="s">
        <v>441</v>
      </c>
      <c r="J18" s="159" t="s">
        <v>27</v>
      </c>
    </row>
    <row r="19" spans="1:255" x14ac:dyDescent="0.2">
      <c r="A19" s="146" t="s">
        <v>452</v>
      </c>
      <c r="B19" s="146" t="s">
        <v>450</v>
      </c>
      <c r="C19" s="159" t="s">
        <v>30</v>
      </c>
      <c r="D19" s="159" t="s">
        <v>439</v>
      </c>
      <c r="E19" s="159" t="s">
        <v>113</v>
      </c>
      <c r="F19" s="160">
        <v>45092</v>
      </c>
      <c r="G19" s="159" t="s">
        <v>440</v>
      </c>
      <c r="H19" s="159" t="s">
        <v>444</v>
      </c>
      <c r="I19" s="159" t="s">
        <v>441</v>
      </c>
      <c r="J19" s="159" t="s">
        <v>27</v>
      </c>
    </row>
    <row r="20" spans="1:255" x14ac:dyDescent="0.2">
      <c r="A20" s="146" t="s">
        <v>453</v>
      </c>
      <c r="B20" s="146" t="s">
        <v>450</v>
      </c>
      <c r="C20" s="159" t="s">
        <v>30</v>
      </c>
      <c r="D20" s="159" t="s">
        <v>439</v>
      </c>
      <c r="E20" s="159" t="s">
        <v>113</v>
      </c>
      <c r="F20" s="160">
        <v>45092</v>
      </c>
      <c r="G20" s="159" t="s">
        <v>440</v>
      </c>
      <c r="H20" s="159" t="s">
        <v>444</v>
      </c>
      <c r="I20" s="159" t="s">
        <v>441</v>
      </c>
      <c r="J20" s="159" t="s">
        <v>27</v>
      </c>
    </row>
    <row r="21" spans="1:255" x14ac:dyDescent="0.2">
      <c r="A21" s="146" t="s">
        <v>454</v>
      </c>
      <c r="B21" s="146" t="s">
        <v>450</v>
      </c>
      <c r="C21" s="159" t="s">
        <v>30</v>
      </c>
      <c r="D21" s="159" t="s">
        <v>439</v>
      </c>
      <c r="E21" s="159" t="s">
        <v>113</v>
      </c>
      <c r="F21" s="160">
        <v>45092</v>
      </c>
      <c r="G21" s="159" t="s">
        <v>440</v>
      </c>
      <c r="H21" s="159" t="s">
        <v>444</v>
      </c>
      <c r="I21" s="159" t="s">
        <v>441</v>
      </c>
      <c r="J21" s="159" t="s">
        <v>27</v>
      </c>
    </row>
    <row r="22" spans="1:255" x14ac:dyDescent="0.2">
      <c r="A22" s="145"/>
      <c r="B22" s="145"/>
      <c r="C22" s="145"/>
      <c r="D22" s="145"/>
      <c r="E22" s="145"/>
      <c r="F22" s="145"/>
      <c r="G22" s="145"/>
      <c r="H22" s="145"/>
      <c r="I22" s="145"/>
      <c r="J22" s="145"/>
    </row>
    <row r="26" spans="1:255" x14ac:dyDescent="0.2">
      <c r="A26" s="80" t="s">
        <v>455</v>
      </c>
      <c r="B26" s="80"/>
      <c r="C26" s="80"/>
      <c r="D26" s="80"/>
      <c r="E26" s="80"/>
      <c r="F26" s="80"/>
      <c r="G26" s="80"/>
      <c r="H26" s="80"/>
      <c r="I26" s="80"/>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81"/>
      <c r="BN26" s="81"/>
      <c r="BO26" s="81"/>
      <c r="BP26" s="81"/>
      <c r="BQ26" s="81"/>
      <c r="BR26" s="81"/>
      <c r="BS26" s="81"/>
      <c r="BT26" s="81"/>
      <c r="BU26" s="81"/>
      <c r="BV26" s="81"/>
      <c r="BW26" s="81"/>
      <c r="BX26" s="81"/>
      <c r="BY26" s="81"/>
      <c r="BZ26" s="81"/>
      <c r="CA26" s="81"/>
      <c r="CB26" s="81"/>
      <c r="CC26" s="81"/>
      <c r="CD26" s="81"/>
      <c r="CE26" s="81"/>
      <c r="CF26" s="81"/>
      <c r="CG26" s="81"/>
      <c r="CH26" s="81"/>
      <c r="CI26" s="81"/>
      <c r="CJ26" s="81"/>
      <c r="CK26" s="81"/>
      <c r="CL26" s="81"/>
      <c r="CM26" s="81"/>
      <c r="CN26" s="81"/>
      <c r="CO26" s="81"/>
      <c r="CP26" s="81"/>
      <c r="CQ26" s="81"/>
      <c r="CR26" s="81"/>
      <c r="CS26" s="81"/>
      <c r="CT26" s="81"/>
      <c r="CU26" s="81"/>
      <c r="CV26" s="81"/>
      <c r="CW26" s="81"/>
      <c r="CX26" s="81"/>
      <c r="CY26" s="81"/>
      <c r="CZ26" s="81"/>
      <c r="DA26" s="81"/>
      <c r="DB26" s="81"/>
      <c r="DC26" s="81"/>
      <c r="DD26" s="81"/>
      <c r="DE26" s="81"/>
      <c r="DF26" s="81"/>
      <c r="DG26" s="81"/>
      <c r="DH26" s="81"/>
      <c r="DI26" s="81"/>
      <c r="DJ26" s="81"/>
      <c r="DK26" s="81"/>
      <c r="DL26" s="81"/>
      <c r="DM26" s="81"/>
      <c r="DN26" s="81"/>
      <c r="DO26" s="81"/>
      <c r="DP26" s="81"/>
      <c r="DQ26" s="81"/>
      <c r="DR26" s="81"/>
      <c r="DS26" s="81"/>
      <c r="DT26" s="81"/>
      <c r="DU26" s="81"/>
      <c r="DV26" s="81"/>
      <c r="DW26" s="81"/>
      <c r="DX26" s="81"/>
      <c r="DY26" s="81"/>
      <c r="DZ26" s="81"/>
      <c r="EA26" s="81"/>
      <c r="EB26" s="81"/>
      <c r="EC26" s="81"/>
      <c r="ED26" s="81"/>
      <c r="EE26" s="81"/>
      <c r="EF26" s="81"/>
      <c r="EG26" s="81"/>
      <c r="EH26" s="81"/>
      <c r="EI26" s="81"/>
      <c r="EJ26" s="81"/>
      <c r="EK26" s="81"/>
      <c r="EL26" s="81"/>
      <c r="EM26" s="81"/>
      <c r="EN26" s="81"/>
      <c r="EO26" s="81"/>
      <c r="EP26" s="81"/>
      <c r="EQ26" s="81"/>
      <c r="ER26" s="81"/>
      <c r="ES26" s="81"/>
      <c r="ET26" s="81"/>
      <c r="EU26" s="81"/>
      <c r="EV26" s="81"/>
      <c r="EW26" s="81"/>
      <c r="EX26" s="81"/>
      <c r="EY26" s="81"/>
      <c r="EZ26" s="81"/>
      <c r="FA26" s="81"/>
      <c r="FB26" s="81"/>
      <c r="FC26" s="81"/>
      <c r="FD26" s="81"/>
      <c r="FE26" s="81"/>
      <c r="FF26" s="81"/>
      <c r="FG26" s="81"/>
      <c r="FH26" s="81"/>
      <c r="FI26" s="81"/>
      <c r="FJ26" s="81"/>
      <c r="FK26" s="81"/>
      <c r="FL26" s="81"/>
      <c r="FM26" s="81"/>
      <c r="FN26" s="81"/>
      <c r="FO26" s="81"/>
      <c r="FP26" s="81"/>
      <c r="FQ26" s="81"/>
      <c r="FR26" s="81"/>
      <c r="FS26" s="81"/>
      <c r="FT26" s="81"/>
      <c r="FU26" s="81"/>
      <c r="FV26" s="81"/>
      <c r="FW26" s="81"/>
      <c r="FX26" s="81"/>
      <c r="FY26" s="81"/>
      <c r="FZ26" s="81"/>
      <c r="GA26" s="81"/>
      <c r="GB26" s="81"/>
      <c r="GC26" s="81"/>
      <c r="GD26" s="81"/>
      <c r="GE26" s="81"/>
      <c r="GF26" s="81"/>
      <c r="GG26" s="81"/>
      <c r="GH26" s="81"/>
      <c r="GI26" s="81"/>
      <c r="GJ26" s="81"/>
      <c r="GK26" s="81"/>
      <c r="GL26" s="81"/>
      <c r="GM26" s="81"/>
      <c r="GN26" s="81"/>
      <c r="GO26" s="81"/>
      <c r="GP26" s="81"/>
      <c r="GQ26" s="81"/>
      <c r="GR26" s="81"/>
      <c r="GS26" s="81"/>
      <c r="GT26" s="81"/>
      <c r="GU26" s="81"/>
      <c r="GV26" s="81"/>
      <c r="GW26" s="81"/>
      <c r="GX26" s="81"/>
      <c r="GY26" s="81"/>
      <c r="GZ26" s="81"/>
      <c r="HA26" s="81"/>
      <c r="HB26" s="81"/>
      <c r="HC26" s="81"/>
      <c r="HD26" s="81"/>
      <c r="HE26" s="81"/>
      <c r="HF26" s="81"/>
      <c r="HG26" s="81"/>
      <c r="HH26" s="81"/>
      <c r="HI26" s="81"/>
      <c r="HJ26" s="81"/>
      <c r="HK26" s="81"/>
      <c r="HL26" s="81"/>
      <c r="HM26" s="81"/>
      <c r="HN26" s="81"/>
      <c r="HO26" s="81"/>
      <c r="HP26" s="81"/>
      <c r="HQ26" s="81"/>
      <c r="HR26" s="81"/>
      <c r="HS26" s="81"/>
      <c r="HT26" s="81"/>
      <c r="HU26" s="81"/>
      <c r="HV26" s="81"/>
      <c r="HW26" s="81"/>
      <c r="HX26" s="81"/>
      <c r="HY26" s="81"/>
      <c r="HZ26" s="81"/>
      <c r="IA26" s="81"/>
      <c r="IB26" s="81"/>
      <c r="IC26" s="81"/>
      <c r="ID26" s="81"/>
      <c r="IE26" s="81"/>
      <c r="IF26" s="81"/>
      <c r="IG26" s="81"/>
      <c r="IH26" s="81"/>
      <c r="II26" s="81"/>
      <c r="IJ26" s="81"/>
      <c r="IK26" s="81"/>
      <c r="IL26" s="81"/>
      <c r="IM26" s="81"/>
      <c r="IN26" s="81"/>
      <c r="IO26" s="81"/>
      <c r="IP26" s="81"/>
      <c r="IQ26" s="81"/>
      <c r="IR26" s="81"/>
      <c r="IS26" s="81"/>
      <c r="IT26" s="81"/>
      <c r="IU26" s="81"/>
    </row>
    <row r="27" spans="1:255" ht="40.5" x14ac:dyDescent="0.55000000000000004">
      <c r="A27" s="157" t="s">
        <v>427</v>
      </c>
      <c r="B27" s="157" t="s">
        <v>428</v>
      </c>
      <c r="C27" s="158" t="s">
        <v>429</v>
      </c>
      <c r="D27" s="158" t="s">
        <v>430</v>
      </c>
      <c r="E27" s="158" t="s">
        <v>431</v>
      </c>
      <c r="F27" s="158" t="s">
        <v>432</v>
      </c>
      <c r="G27" s="158" t="s">
        <v>433</v>
      </c>
      <c r="H27" s="158" t="s">
        <v>434</v>
      </c>
      <c r="I27" s="158" t="s">
        <v>435</v>
      </c>
      <c r="J27" s="158" t="s">
        <v>436</v>
      </c>
    </row>
    <row r="28" spans="1:255" ht="20" x14ac:dyDescent="0.2">
      <c r="A28" s="146" t="s">
        <v>437</v>
      </c>
      <c r="B28" s="146" t="s">
        <v>438</v>
      </c>
      <c r="C28" s="161">
        <v>21.1</v>
      </c>
      <c r="D28" s="159" t="s">
        <v>439</v>
      </c>
      <c r="E28" s="159" t="s">
        <v>113</v>
      </c>
      <c r="F28" s="160">
        <v>44651</v>
      </c>
      <c r="G28" s="159" t="s">
        <v>440</v>
      </c>
      <c r="H28" s="159" t="s">
        <v>441</v>
      </c>
      <c r="I28" s="159" t="s">
        <v>441</v>
      </c>
      <c r="J28" s="159" t="s">
        <v>27</v>
      </c>
    </row>
    <row r="29" spans="1:255" x14ac:dyDescent="0.2">
      <c r="A29" s="146" t="s">
        <v>442</v>
      </c>
      <c r="B29" s="146" t="s">
        <v>443</v>
      </c>
      <c r="C29" s="161">
        <v>8.6</v>
      </c>
      <c r="D29" s="159" t="s">
        <v>113</v>
      </c>
      <c r="E29" s="159" t="s">
        <v>113</v>
      </c>
      <c r="F29" s="160">
        <v>46492</v>
      </c>
      <c r="G29" s="159" t="s">
        <v>440</v>
      </c>
      <c r="H29" s="159" t="s">
        <v>444</v>
      </c>
      <c r="I29" s="159" t="s">
        <v>441</v>
      </c>
      <c r="J29" s="159" t="s">
        <v>27</v>
      </c>
    </row>
    <row r="30" spans="1:255" x14ac:dyDescent="0.2">
      <c r="A30" s="146" t="s">
        <v>451</v>
      </c>
      <c r="B30" s="146" t="s">
        <v>450</v>
      </c>
      <c r="C30" s="161">
        <v>2</v>
      </c>
      <c r="D30" s="159" t="s">
        <v>439</v>
      </c>
      <c r="E30" s="159" t="s">
        <v>113</v>
      </c>
      <c r="F30" s="160">
        <v>45092</v>
      </c>
      <c r="G30" s="159" t="s">
        <v>440</v>
      </c>
      <c r="H30" s="159" t="s">
        <v>444</v>
      </c>
      <c r="I30" s="159" t="s">
        <v>441</v>
      </c>
      <c r="J30" s="159" t="s">
        <v>27</v>
      </c>
    </row>
    <row r="31" spans="1:255" x14ac:dyDescent="0.2">
      <c r="A31" s="146" t="s">
        <v>452</v>
      </c>
      <c r="B31" s="146" t="s">
        <v>450</v>
      </c>
      <c r="C31" s="161">
        <v>3</v>
      </c>
      <c r="D31" s="159" t="s">
        <v>439</v>
      </c>
      <c r="E31" s="159" t="s">
        <v>113</v>
      </c>
      <c r="F31" s="160">
        <v>45092</v>
      </c>
      <c r="G31" s="159" t="s">
        <v>440</v>
      </c>
      <c r="H31" s="159" t="s">
        <v>444</v>
      </c>
      <c r="I31" s="159" t="s">
        <v>441</v>
      </c>
      <c r="J31" s="159" t="s">
        <v>27</v>
      </c>
    </row>
    <row r="32" spans="1:255" x14ac:dyDescent="0.2">
      <c r="A32" s="146" t="s">
        <v>453</v>
      </c>
      <c r="B32" s="146" t="s">
        <v>450</v>
      </c>
      <c r="C32" s="161">
        <v>3.5</v>
      </c>
      <c r="D32" s="159" t="s">
        <v>439</v>
      </c>
      <c r="E32" s="159" t="s">
        <v>113</v>
      </c>
      <c r="F32" s="160">
        <v>45092</v>
      </c>
      <c r="G32" s="159" t="s">
        <v>440</v>
      </c>
      <c r="H32" s="159" t="s">
        <v>444</v>
      </c>
      <c r="I32" s="159" t="s">
        <v>441</v>
      </c>
      <c r="J32" s="159" t="s">
        <v>27</v>
      </c>
    </row>
    <row r="33" spans="1:10" x14ac:dyDescent="0.2">
      <c r="A33" s="146" t="s">
        <v>454</v>
      </c>
      <c r="B33" s="146" t="s">
        <v>450</v>
      </c>
      <c r="C33" s="161">
        <v>2.5</v>
      </c>
      <c r="D33" s="159" t="s">
        <v>439</v>
      </c>
      <c r="E33" s="159" t="s">
        <v>113</v>
      </c>
      <c r="F33" s="160">
        <v>45092</v>
      </c>
      <c r="G33" s="159" t="s">
        <v>440</v>
      </c>
      <c r="H33" s="159" t="s">
        <v>444</v>
      </c>
      <c r="I33" s="159" t="s">
        <v>441</v>
      </c>
      <c r="J33" s="159" t="s">
        <v>27</v>
      </c>
    </row>
    <row r="34" spans="1:10" x14ac:dyDescent="0.2">
      <c r="A34" s="145"/>
      <c r="B34" s="145"/>
      <c r="C34" s="145"/>
      <c r="D34" s="145"/>
      <c r="E34" s="145"/>
      <c r="F34" s="145"/>
      <c r="G34" s="145"/>
      <c r="H34" s="145"/>
      <c r="I34" s="145"/>
      <c r="J34" s="145"/>
    </row>
    <row r="35" spans="1:10" x14ac:dyDescent="0.2">
      <c r="A35" s="100" t="s">
        <v>243</v>
      </c>
    </row>
  </sheetData>
  <pageMargins left="0.2" right="0.2" top="0.5" bottom="0.5" header="0.5" footer="0.5"/>
  <pageSetup fitToWidth="0" fitToHeight="0" orientation="landscape" horizontalDpi="0" verticalDpi="0"/>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7FA1-71AC-411F-8E4F-D5DD49B2034B}">
  <sheetPr>
    <outlinePr summaryBelow="0" summaryRight="0"/>
    <pageSetUpPr autoPageBreaks="0"/>
  </sheetPr>
  <dimension ref="A5:IU161"/>
  <sheetViews>
    <sheetView tabSelected="1" workbookViewId="0">
      <selection activeCell="C7" sqref="C7"/>
    </sheetView>
  </sheetViews>
  <sheetFormatPr defaultRowHeight="10" x14ac:dyDescent="0.2"/>
  <cols>
    <col min="1" max="1" width="45.81640625" style="75" customWidth="1"/>
    <col min="2" max="8" width="14.81640625" style="75" customWidth="1"/>
    <col min="9" max="10" width="9.26953125" style="75" customWidth="1"/>
    <col min="11" max="256" width="8.7265625" style="75"/>
    <col min="257" max="257" width="45.81640625" style="75" customWidth="1"/>
    <col min="258" max="264" width="14.81640625" style="75" customWidth="1"/>
    <col min="265" max="266" width="9.26953125" style="75" customWidth="1"/>
    <col min="267" max="512" width="8.7265625" style="75"/>
    <col min="513" max="513" width="45.81640625" style="75" customWidth="1"/>
    <col min="514" max="520" width="14.81640625" style="75" customWidth="1"/>
    <col min="521" max="522" width="9.26953125" style="75" customWidth="1"/>
    <col min="523" max="768" width="8.7265625" style="75"/>
    <col min="769" max="769" width="45.81640625" style="75" customWidth="1"/>
    <col min="770" max="776" width="14.81640625" style="75" customWidth="1"/>
    <col min="777" max="778" width="9.26953125" style="75" customWidth="1"/>
    <col min="779" max="1024" width="8.7265625" style="75"/>
    <col min="1025" max="1025" width="45.81640625" style="75" customWidth="1"/>
    <col min="1026" max="1032" width="14.81640625" style="75" customWidth="1"/>
    <col min="1033" max="1034" width="9.26953125" style="75" customWidth="1"/>
    <col min="1035" max="1280" width="8.7265625" style="75"/>
    <col min="1281" max="1281" width="45.81640625" style="75" customWidth="1"/>
    <col min="1282" max="1288" width="14.81640625" style="75" customWidth="1"/>
    <col min="1289" max="1290" width="9.26953125" style="75" customWidth="1"/>
    <col min="1291" max="1536" width="8.7265625" style="75"/>
    <col min="1537" max="1537" width="45.81640625" style="75" customWidth="1"/>
    <col min="1538" max="1544" width="14.81640625" style="75" customWidth="1"/>
    <col min="1545" max="1546" width="9.26953125" style="75" customWidth="1"/>
    <col min="1547" max="1792" width="8.7265625" style="75"/>
    <col min="1793" max="1793" width="45.81640625" style="75" customWidth="1"/>
    <col min="1794" max="1800" width="14.81640625" style="75" customWidth="1"/>
    <col min="1801" max="1802" width="9.26953125" style="75" customWidth="1"/>
    <col min="1803" max="2048" width="8.7265625" style="75"/>
    <col min="2049" max="2049" width="45.81640625" style="75" customWidth="1"/>
    <col min="2050" max="2056" width="14.81640625" style="75" customWidth="1"/>
    <col min="2057" max="2058" width="9.26953125" style="75" customWidth="1"/>
    <col min="2059" max="2304" width="8.7265625" style="75"/>
    <col min="2305" max="2305" width="45.81640625" style="75" customWidth="1"/>
    <col min="2306" max="2312" width="14.81640625" style="75" customWidth="1"/>
    <col min="2313" max="2314" width="9.26953125" style="75" customWidth="1"/>
    <col min="2315" max="2560" width="8.7265625" style="75"/>
    <col min="2561" max="2561" width="45.81640625" style="75" customWidth="1"/>
    <col min="2562" max="2568" width="14.81640625" style="75" customWidth="1"/>
    <col min="2569" max="2570" width="9.26953125" style="75" customWidth="1"/>
    <col min="2571" max="2816" width="8.7265625" style="75"/>
    <col min="2817" max="2817" width="45.81640625" style="75" customWidth="1"/>
    <col min="2818" max="2824" width="14.81640625" style="75" customWidth="1"/>
    <col min="2825" max="2826" width="9.26953125" style="75" customWidth="1"/>
    <col min="2827" max="3072" width="8.7265625" style="75"/>
    <col min="3073" max="3073" width="45.81640625" style="75" customWidth="1"/>
    <col min="3074" max="3080" width="14.81640625" style="75" customWidth="1"/>
    <col min="3081" max="3082" width="9.26953125" style="75" customWidth="1"/>
    <col min="3083" max="3328" width="8.7265625" style="75"/>
    <col min="3329" max="3329" width="45.81640625" style="75" customWidth="1"/>
    <col min="3330" max="3336" width="14.81640625" style="75" customWidth="1"/>
    <col min="3337" max="3338" width="9.26953125" style="75" customWidth="1"/>
    <col min="3339" max="3584" width="8.7265625" style="75"/>
    <col min="3585" max="3585" width="45.81640625" style="75" customWidth="1"/>
    <col min="3586" max="3592" width="14.81640625" style="75" customWidth="1"/>
    <col min="3593" max="3594" width="9.26953125" style="75" customWidth="1"/>
    <col min="3595" max="3840" width="8.7265625" style="75"/>
    <col min="3841" max="3841" width="45.81640625" style="75" customWidth="1"/>
    <col min="3842" max="3848" width="14.81640625" style="75" customWidth="1"/>
    <col min="3849" max="3850" width="9.26953125" style="75" customWidth="1"/>
    <col min="3851" max="4096" width="8.7265625" style="75"/>
    <col min="4097" max="4097" width="45.81640625" style="75" customWidth="1"/>
    <col min="4098" max="4104" width="14.81640625" style="75" customWidth="1"/>
    <col min="4105" max="4106" width="9.26953125" style="75" customWidth="1"/>
    <col min="4107" max="4352" width="8.7265625" style="75"/>
    <col min="4353" max="4353" width="45.81640625" style="75" customWidth="1"/>
    <col min="4354" max="4360" width="14.81640625" style="75" customWidth="1"/>
    <col min="4361" max="4362" width="9.26953125" style="75" customWidth="1"/>
    <col min="4363" max="4608" width="8.7265625" style="75"/>
    <col min="4609" max="4609" width="45.81640625" style="75" customWidth="1"/>
    <col min="4610" max="4616" width="14.81640625" style="75" customWidth="1"/>
    <col min="4617" max="4618" width="9.26953125" style="75" customWidth="1"/>
    <col min="4619" max="4864" width="8.7265625" style="75"/>
    <col min="4865" max="4865" width="45.81640625" style="75" customWidth="1"/>
    <col min="4866" max="4872" width="14.81640625" style="75" customWidth="1"/>
    <col min="4873" max="4874" width="9.26953125" style="75" customWidth="1"/>
    <col min="4875" max="5120" width="8.7265625" style="75"/>
    <col min="5121" max="5121" width="45.81640625" style="75" customWidth="1"/>
    <col min="5122" max="5128" width="14.81640625" style="75" customWidth="1"/>
    <col min="5129" max="5130" width="9.26953125" style="75" customWidth="1"/>
    <col min="5131" max="5376" width="8.7265625" style="75"/>
    <col min="5377" max="5377" width="45.81640625" style="75" customWidth="1"/>
    <col min="5378" max="5384" width="14.81640625" style="75" customWidth="1"/>
    <col min="5385" max="5386" width="9.26953125" style="75" customWidth="1"/>
    <col min="5387" max="5632" width="8.7265625" style="75"/>
    <col min="5633" max="5633" width="45.81640625" style="75" customWidth="1"/>
    <col min="5634" max="5640" width="14.81640625" style="75" customWidth="1"/>
    <col min="5641" max="5642" width="9.26953125" style="75" customWidth="1"/>
    <col min="5643" max="5888" width="8.7265625" style="75"/>
    <col min="5889" max="5889" width="45.81640625" style="75" customWidth="1"/>
    <col min="5890" max="5896" width="14.81640625" style="75" customWidth="1"/>
    <col min="5897" max="5898" width="9.26953125" style="75" customWidth="1"/>
    <col min="5899" max="6144" width="8.7265625" style="75"/>
    <col min="6145" max="6145" width="45.81640625" style="75" customWidth="1"/>
    <col min="6146" max="6152" width="14.81640625" style="75" customWidth="1"/>
    <col min="6153" max="6154" width="9.26953125" style="75" customWidth="1"/>
    <col min="6155" max="6400" width="8.7265625" style="75"/>
    <col min="6401" max="6401" width="45.81640625" style="75" customWidth="1"/>
    <col min="6402" max="6408" width="14.81640625" style="75" customWidth="1"/>
    <col min="6409" max="6410" width="9.26953125" style="75" customWidth="1"/>
    <col min="6411" max="6656" width="8.7265625" style="75"/>
    <col min="6657" max="6657" width="45.81640625" style="75" customWidth="1"/>
    <col min="6658" max="6664" width="14.81640625" style="75" customWidth="1"/>
    <col min="6665" max="6666" width="9.26953125" style="75" customWidth="1"/>
    <col min="6667" max="6912" width="8.7265625" style="75"/>
    <col min="6913" max="6913" width="45.81640625" style="75" customWidth="1"/>
    <col min="6914" max="6920" width="14.81640625" style="75" customWidth="1"/>
    <col min="6921" max="6922" width="9.26953125" style="75" customWidth="1"/>
    <col min="6923" max="7168" width="8.7265625" style="75"/>
    <col min="7169" max="7169" width="45.81640625" style="75" customWidth="1"/>
    <col min="7170" max="7176" width="14.81640625" style="75" customWidth="1"/>
    <col min="7177" max="7178" width="9.26953125" style="75" customWidth="1"/>
    <col min="7179" max="7424" width="8.7265625" style="75"/>
    <col min="7425" max="7425" width="45.81640625" style="75" customWidth="1"/>
    <col min="7426" max="7432" width="14.81640625" style="75" customWidth="1"/>
    <col min="7433" max="7434" width="9.26953125" style="75" customWidth="1"/>
    <col min="7435" max="7680" width="8.7265625" style="75"/>
    <col min="7681" max="7681" width="45.81640625" style="75" customWidth="1"/>
    <col min="7682" max="7688" width="14.81640625" style="75" customWidth="1"/>
    <col min="7689" max="7690" width="9.26953125" style="75" customWidth="1"/>
    <col min="7691" max="7936" width="8.7265625" style="75"/>
    <col min="7937" max="7937" width="45.81640625" style="75" customWidth="1"/>
    <col min="7938" max="7944" width="14.81640625" style="75" customWidth="1"/>
    <col min="7945" max="7946" width="9.26953125" style="75" customWidth="1"/>
    <col min="7947" max="8192" width="8.7265625" style="75"/>
    <col min="8193" max="8193" width="45.81640625" style="75" customWidth="1"/>
    <col min="8194" max="8200" width="14.81640625" style="75" customWidth="1"/>
    <col min="8201" max="8202" width="9.26953125" style="75" customWidth="1"/>
    <col min="8203" max="8448" width="8.7265625" style="75"/>
    <col min="8449" max="8449" width="45.81640625" style="75" customWidth="1"/>
    <col min="8450" max="8456" width="14.81640625" style="75" customWidth="1"/>
    <col min="8457" max="8458" width="9.26953125" style="75" customWidth="1"/>
    <col min="8459" max="8704" width="8.7265625" style="75"/>
    <col min="8705" max="8705" width="45.81640625" style="75" customWidth="1"/>
    <col min="8706" max="8712" width="14.81640625" style="75" customWidth="1"/>
    <col min="8713" max="8714" width="9.26953125" style="75" customWidth="1"/>
    <col min="8715" max="8960" width="8.7265625" style="75"/>
    <col min="8961" max="8961" width="45.81640625" style="75" customWidth="1"/>
    <col min="8962" max="8968" width="14.81640625" style="75" customWidth="1"/>
    <col min="8969" max="8970" width="9.26953125" style="75" customWidth="1"/>
    <col min="8971" max="9216" width="8.7265625" style="75"/>
    <col min="9217" max="9217" width="45.81640625" style="75" customWidth="1"/>
    <col min="9218" max="9224" width="14.81640625" style="75" customWidth="1"/>
    <col min="9225" max="9226" width="9.26953125" style="75" customWidth="1"/>
    <col min="9227" max="9472" width="8.7265625" style="75"/>
    <col min="9473" max="9473" width="45.81640625" style="75" customWidth="1"/>
    <col min="9474" max="9480" width="14.81640625" style="75" customWidth="1"/>
    <col min="9481" max="9482" width="9.26953125" style="75" customWidth="1"/>
    <col min="9483" max="9728" width="8.7265625" style="75"/>
    <col min="9729" max="9729" width="45.81640625" style="75" customWidth="1"/>
    <col min="9730" max="9736" width="14.81640625" style="75" customWidth="1"/>
    <col min="9737" max="9738" width="9.26953125" style="75" customWidth="1"/>
    <col min="9739" max="9984" width="8.7265625" style="75"/>
    <col min="9985" max="9985" width="45.81640625" style="75" customWidth="1"/>
    <col min="9986" max="9992" width="14.81640625" style="75" customWidth="1"/>
    <col min="9993" max="9994" width="9.26953125" style="75" customWidth="1"/>
    <col min="9995" max="10240" width="8.7265625" style="75"/>
    <col min="10241" max="10241" width="45.81640625" style="75" customWidth="1"/>
    <col min="10242" max="10248" width="14.81640625" style="75" customWidth="1"/>
    <col min="10249" max="10250" width="9.26953125" style="75" customWidth="1"/>
    <col min="10251" max="10496" width="8.7265625" style="75"/>
    <col min="10497" max="10497" width="45.81640625" style="75" customWidth="1"/>
    <col min="10498" max="10504" width="14.81640625" style="75" customWidth="1"/>
    <col min="10505" max="10506" width="9.26953125" style="75" customWidth="1"/>
    <col min="10507" max="10752" width="8.7265625" style="75"/>
    <col min="10753" max="10753" width="45.81640625" style="75" customWidth="1"/>
    <col min="10754" max="10760" width="14.81640625" style="75" customWidth="1"/>
    <col min="10761" max="10762" width="9.26953125" style="75" customWidth="1"/>
    <col min="10763" max="11008" width="8.7265625" style="75"/>
    <col min="11009" max="11009" width="45.81640625" style="75" customWidth="1"/>
    <col min="11010" max="11016" width="14.81640625" style="75" customWidth="1"/>
    <col min="11017" max="11018" width="9.26953125" style="75" customWidth="1"/>
    <col min="11019" max="11264" width="8.7265625" style="75"/>
    <col min="11265" max="11265" width="45.81640625" style="75" customWidth="1"/>
    <col min="11266" max="11272" width="14.81640625" style="75" customWidth="1"/>
    <col min="11273" max="11274" width="9.26953125" style="75" customWidth="1"/>
    <col min="11275" max="11520" width="8.7265625" style="75"/>
    <col min="11521" max="11521" width="45.81640625" style="75" customWidth="1"/>
    <col min="11522" max="11528" width="14.81640625" style="75" customWidth="1"/>
    <col min="11529" max="11530" width="9.26953125" style="75" customWidth="1"/>
    <col min="11531" max="11776" width="8.7265625" style="75"/>
    <col min="11777" max="11777" width="45.81640625" style="75" customWidth="1"/>
    <col min="11778" max="11784" width="14.81640625" style="75" customWidth="1"/>
    <col min="11785" max="11786" width="9.26953125" style="75" customWidth="1"/>
    <col min="11787" max="12032" width="8.7265625" style="75"/>
    <col min="12033" max="12033" width="45.81640625" style="75" customWidth="1"/>
    <col min="12034" max="12040" width="14.81640625" style="75" customWidth="1"/>
    <col min="12041" max="12042" width="9.26953125" style="75" customWidth="1"/>
    <col min="12043" max="12288" width="8.7265625" style="75"/>
    <col min="12289" max="12289" width="45.81640625" style="75" customWidth="1"/>
    <col min="12290" max="12296" width="14.81640625" style="75" customWidth="1"/>
    <col min="12297" max="12298" width="9.26953125" style="75" customWidth="1"/>
    <col min="12299" max="12544" width="8.7265625" style="75"/>
    <col min="12545" max="12545" width="45.81640625" style="75" customWidth="1"/>
    <col min="12546" max="12552" width="14.81640625" style="75" customWidth="1"/>
    <col min="12553" max="12554" width="9.26953125" style="75" customWidth="1"/>
    <col min="12555" max="12800" width="8.7265625" style="75"/>
    <col min="12801" max="12801" width="45.81640625" style="75" customWidth="1"/>
    <col min="12802" max="12808" width="14.81640625" style="75" customWidth="1"/>
    <col min="12809" max="12810" width="9.26953125" style="75" customWidth="1"/>
    <col min="12811" max="13056" width="8.7265625" style="75"/>
    <col min="13057" max="13057" width="45.81640625" style="75" customWidth="1"/>
    <col min="13058" max="13064" width="14.81640625" style="75" customWidth="1"/>
    <col min="13065" max="13066" width="9.26953125" style="75" customWidth="1"/>
    <col min="13067" max="13312" width="8.7265625" style="75"/>
    <col min="13313" max="13313" width="45.81640625" style="75" customWidth="1"/>
    <col min="13314" max="13320" width="14.81640625" style="75" customWidth="1"/>
    <col min="13321" max="13322" width="9.26953125" style="75" customWidth="1"/>
    <col min="13323" max="13568" width="8.7265625" style="75"/>
    <col min="13569" max="13569" width="45.81640625" style="75" customWidth="1"/>
    <col min="13570" max="13576" width="14.81640625" style="75" customWidth="1"/>
    <col min="13577" max="13578" width="9.26953125" style="75" customWidth="1"/>
    <col min="13579" max="13824" width="8.7265625" style="75"/>
    <col min="13825" max="13825" width="45.81640625" style="75" customWidth="1"/>
    <col min="13826" max="13832" width="14.81640625" style="75" customWidth="1"/>
    <col min="13833" max="13834" width="9.26953125" style="75" customWidth="1"/>
    <col min="13835" max="14080" width="8.7265625" style="75"/>
    <col min="14081" max="14081" width="45.81640625" style="75" customWidth="1"/>
    <col min="14082" max="14088" width="14.81640625" style="75" customWidth="1"/>
    <col min="14089" max="14090" width="9.26953125" style="75" customWidth="1"/>
    <col min="14091" max="14336" width="8.7265625" style="75"/>
    <col min="14337" max="14337" width="45.81640625" style="75" customWidth="1"/>
    <col min="14338" max="14344" width="14.81640625" style="75" customWidth="1"/>
    <col min="14345" max="14346" width="9.26953125" style="75" customWidth="1"/>
    <col min="14347" max="14592" width="8.7265625" style="75"/>
    <col min="14593" max="14593" width="45.81640625" style="75" customWidth="1"/>
    <col min="14594" max="14600" width="14.81640625" style="75" customWidth="1"/>
    <col min="14601" max="14602" width="9.26953125" style="75" customWidth="1"/>
    <col min="14603" max="14848" width="8.7265625" style="75"/>
    <col min="14849" max="14849" width="45.81640625" style="75" customWidth="1"/>
    <col min="14850" max="14856" width="14.81640625" style="75" customWidth="1"/>
    <col min="14857" max="14858" width="9.26953125" style="75" customWidth="1"/>
    <col min="14859" max="15104" width="8.7265625" style="75"/>
    <col min="15105" max="15105" width="45.81640625" style="75" customWidth="1"/>
    <col min="15106" max="15112" width="14.81640625" style="75" customWidth="1"/>
    <col min="15113" max="15114" width="9.26953125" style="75" customWidth="1"/>
    <col min="15115" max="15360" width="8.7265625" style="75"/>
    <col min="15361" max="15361" width="45.81640625" style="75" customWidth="1"/>
    <col min="15362" max="15368" width="14.81640625" style="75" customWidth="1"/>
    <col min="15369" max="15370" width="9.26953125" style="75" customWidth="1"/>
    <col min="15371" max="15616" width="8.7265625" style="75"/>
    <col min="15617" max="15617" width="45.81640625" style="75" customWidth="1"/>
    <col min="15618" max="15624" width="14.81640625" style="75" customWidth="1"/>
    <col min="15625" max="15626" width="9.26953125" style="75" customWidth="1"/>
    <col min="15627" max="15872" width="8.7265625" style="75"/>
    <col min="15873" max="15873" width="45.81640625" style="75" customWidth="1"/>
    <col min="15874" max="15880" width="14.81640625" style="75" customWidth="1"/>
    <col min="15881" max="15882" width="9.26953125" style="75" customWidth="1"/>
    <col min="15883" max="16128" width="8.7265625" style="75"/>
    <col min="16129" max="16129" width="45.81640625" style="75" customWidth="1"/>
    <col min="16130" max="16136" width="14.81640625" style="75" customWidth="1"/>
    <col min="16137" max="16138" width="9.26953125" style="75" customWidth="1"/>
    <col min="16139" max="16384" width="8.7265625" style="75"/>
  </cols>
  <sheetData>
    <row r="5" spans="1:255" ht="17" x14ac:dyDescent="0.35">
      <c r="A5" s="74" t="s">
        <v>456</v>
      </c>
    </row>
    <row r="7" spans="1:255" ht="10.5" x14ac:dyDescent="0.25">
      <c r="A7" s="78"/>
      <c r="B7" s="77" t="s">
        <v>248</v>
      </c>
      <c r="C7" s="75" t="s">
        <v>249</v>
      </c>
      <c r="D7" s="78" t="s">
        <v>177</v>
      </c>
      <c r="E7" s="77" t="s">
        <v>250</v>
      </c>
      <c r="F7" s="75" t="s">
        <v>251</v>
      </c>
    </row>
    <row r="8" spans="1:255" ht="10.5" x14ac:dyDescent="0.25">
      <c r="A8" s="78"/>
      <c r="B8" s="77" t="s">
        <v>180</v>
      </c>
      <c r="C8" s="75" t="s">
        <v>181</v>
      </c>
      <c r="D8" s="78" t="s">
        <v>177</v>
      </c>
      <c r="E8" s="77" t="s">
        <v>184</v>
      </c>
      <c r="F8" s="79" t="s">
        <v>185</v>
      </c>
    </row>
    <row r="9" spans="1:255" ht="10.5" x14ac:dyDescent="0.25">
      <c r="A9" s="78"/>
      <c r="B9" s="77" t="s">
        <v>253</v>
      </c>
      <c r="C9" s="75" t="s">
        <v>254</v>
      </c>
      <c r="D9" s="78" t="s">
        <v>177</v>
      </c>
      <c r="E9" s="101"/>
      <c r="F9" s="101"/>
    </row>
    <row r="12" spans="1:255" x14ac:dyDescent="0.2">
      <c r="A12" s="80" t="s">
        <v>457</v>
      </c>
      <c r="B12" s="80"/>
      <c r="C12" s="80"/>
      <c r="D12" s="80"/>
      <c r="E12" s="80"/>
      <c r="F12" s="80"/>
      <c r="G12" s="80"/>
      <c r="H12" s="80"/>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row>
    <row r="13" spans="1:255" ht="42" x14ac:dyDescent="0.25">
      <c r="A13" s="82" t="s">
        <v>0</v>
      </c>
      <c r="B13" s="83" t="s">
        <v>1</v>
      </c>
      <c r="C13" s="83" t="s">
        <v>2</v>
      </c>
      <c r="D13" s="83" t="s">
        <v>3</v>
      </c>
      <c r="E13" s="83" t="s">
        <v>4</v>
      </c>
      <c r="F13" s="102" t="s">
        <v>5</v>
      </c>
      <c r="G13" s="83" t="s">
        <v>5</v>
      </c>
      <c r="H13" s="83" t="s">
        <v>7</v>
      </c>
    </row>
    <row r="14" spans="1:255" ht="10.5" x14ac:dyDescent="0.2">
      <c r="A14" s="86" t="s">
        <v>458</v>
      </c>
      <c r="B14" s="78"/>
      <c r="C14" s="78"/>
      <c r="D14" s="78"/>
      <c r="E14" s="78"/>
      <c r="F14" s="78"/>
      <c r="G14" s="78"/>
      <c r="H14" s="78"/>
    </row>
    <row r="15" spans="1:255" x14ac:dyDescent="0.2">
      <c r="A15" s="78" t="s">
        <v>459</v>
      </c>
      <c r="B15" s="93" t="s">
        <v>113</v>
      </c>
      <c r="C15" s="116">
        <v>0.12633900000000001</v>
      </c>
      <c r="D15" s="116">
        <v>0.14117199999999999</v>
      </c>
      <c r="E15" s="116">
        <v>1.5949999999999999E-2</v>
      </c>
      <c r="F15" s="117">
        <v>-1.4019E-2</v>
      </c>
      <c r="G15" s="116">
        <v>-1.3958E-2</v>
      </c>
      <c r="H15" s="116">
        <v>-2.0452000000000001E-2</v>
      </c>
    </row>
    <row r="16" spans="1:255" x14ac:dyDescent="0.2">
      <c r="A16" s="78" t="s">
        <v>460</v>
      </c>
      <c r="B16" s="93" t="s">
        <v>113</v>
      </c>
      <c r="C16" s="116">
        <v>0.14921699999999999</v>
      </c>
      <c r="D16" s="116">
        <v>0.15937999999999999</v>
      </c>
      <c r="E16" s="116">
        <v>1.8270999999999999E-2</v>
      </c>
      <c r="F16" s="117">
        <v>-1.7589E-2</v>
      </c>
      <c r="G16" s="116">
        <v>-1.7441999999999999E-2</v>
      </c>
      <c r="H16" s="116">
        <v>-2.5794999999999998E-2</v>
      </c>
    </row>
    <row r="17" spans="1:8" x14ac:dyDescent="0.2">
      <c r="A17" s="78" t="s">
        <v>461</v>
      </c>
      <c r="B17" s="93" t="s">
        <v>113</v>
      </c>
      <c r="C17" s="116" t="s">
        <v>205</v>
      </c>
      <c r="D17" s="116">
        <v>0.28814699999999999</v>
      </c>
      <c r="E17" s="116">
        <v>8.4111000000000005E-2</v>
      </c>
      <c r="F17" s="117">
        <v>-0.19173200000000001</v>
      </c>
      <c r="G17" s="116">
        <v>-0.18490400000000001</v>
      </c>
      <c r="H17" s="116">
        <v>-0.18218000000000001</v>
      </c>
    </row>
    <row r="18" spans="1:8" x14ac:dyDescent="0.2">
      <c r="A18" s="78" t="s">
        <v>462</v>
      </c>
      <c r="B18" s="93" t="s">
        <v>113</v>
      </c>
      <c r="C18" s="116" t="s">
        <v>205</v>
      </c>
      <c r="D18" s="116">
        <v>0.28814699999999999</v>
      </c>
      <c r="E18" s="116">
        <v>8.4111000000000005E-2</v>
      </c>
      <c r="F18" s="117">
        <v>-1.9173200000000001E-7</v>
      </c>
      <c r="G18" s="116">
        <v>-0.18490400000000001</v>
      </c>
      <c r="H18" s="116">
        <v>-0.18218000000000001</v>
      </c>
    </row>
    <row r="19" spans="1:8" x14ac:dyDescent="0.2">
      <c r="A19" s="78"/>
      <c r="B19" s="78"/>
      <c r="C19" s="78"/>
      <c r="D19" s="78"/>
      <c r="E19" s="78"/>
      <c r="F19" s="78"/>
      <c r="G19" s="78"/>
      <c r="H19" s="78"/>
    </row>
    <row r="20" spans="1:8" ht="10.5" x14ac:dyDescent="0.2">
      <c r="A20" s="86" t="s">
        <v>463</v>
      </c>
      <c r="B20" s="78"/>
      <c r="C20" s="78"/>
      <c r="D20" s="78"/>
      <c r="E20" s="78"/>
      <c r="F20" s="78"/>
      <c r="G20" s="78"/>
      <c r="H20" s="78"/>
    </row>
    <row r="21" spans="1:8" x14ac:dyDescent="0.2">
      <c r="A21" s="78" t="s">
        <v>464</v>
      </c>
      <c r="B21" s="116">
        <v>1</v>
      </c>
      <c r="C21" s="116">
        <v>1</v>
      </c>
      <c r="D21" s="116">
        <v>1</v>
      </c>
      <c r="E21" s="116">
        <v>1</v>
      </c>
      <c r="F21" s="117">
        <v>1</v>
      </c>
      <c r="G21" s="116">
        <v>1</v>
      </c>
      <c r="H21" s="116">
        <v>1</v>
      </c>
    </row>
    <row r="22" spans="1:8" x14ac:dyDescent="0.2">
      <c r="A22" s="78" t="s">
        <v>465</v>
      </c>
      <c r="B22" s="116">
        <v>0.46528599999999998</v>
      </c>
      <c r="C22" s="116">
        <v>0.33845500000000001</v>
      </c>
      <c r="D22" s="116">
        <v>0.31836100000000001</v>
      </c>
      <c r="E22" s="116">
        <v>0.47040399999999999</v>
      </c>
      <c r="F22" s="117">
        <v>0.76192199999999999</v>
      </c>
      <c r="G22" s="116">
        <v>0.76192199999999999</v>
      </c>
      <c r="H22" s="116">
        <v>0.76140300000000005</v>
      </c>
    </row>
    <row r="23" spans="1:8" x14ac:dyDescent="0.2">
      <c r="A23" s="78" t="s">
        <v>466</v>
      </c>
      <c r="B23" s="116">
        <v>0.28843999999999997</v>
      </c>
      <c r="C23" s="116">
        <v>0.45354100000000003</v>
      </c>
      <c r="D23" s="116">
        <v>0.53018100000000001</v>
      </c>
      <c r="E23" s="116">
        <v>0.34276499999999999</v>
      </c>
      <c r="F23" s="117">
        <v>3.9988000000000003E-2</v>
      </c>
      <c r="G23" s="116">
        <v>3.1279000000000001E-2</v>
      </c>
      <c r="H23" s="116">
        <v>6.0637999999999997E-2</v>
      </c>
    </row>
    <row r="24" spans="1:8" x14ac:dyDescent="0.2">
      <c r="A24" s="78" t="s">
        <v>467</v>
      </c>
      <c r="B24" s="116">
        <v>-4.2039E-2</v>
      </c>
      <c r="C24" s="116">
        <v>0.160607</v>
      </c>
      <c r="D24" s="116">
        <v>0.29326000000000002</v>
      </c>
      <c r="E24" s="116">
        <v>5.3186999999999998E-2</v>
      </c>
      <c r="F24" s="117">
        <v>-3.8864999999999997E-2</v>
      </c>
      <c r="G24" s="116">
        <v>2.4712999999999999E-2</v>
      </c>
      <c r="H24" s="116">
        <v>-4.6147000000000001E-2</v>
      </c>
    </row>
    <row r="25" spans="1:8" x14ac:dyDescent="0.2">
      <c r="A25" s="78" t="s">
        <v>468</v>
      </c>
      <c r="B25" s="116">
        <v>-4.2039E-2</v>
      </c>
      <c r="C25" s="116">
        <v>0.160607</v>
      </c>
      <c r="D25" s="116">
        <v>0.29326000000000002</v>
      </c>
      <c r="E25" s="116">
        <v>5.3186999999999998E-2</v>
      </c>
      <c r="F25" s="117">
        <v>-3.8864999999999997E-2</v>
      </c>
      <c r="G25" s="116">
        <v>-3.8864999999999997E-2</v>
      </c>
      <c r="H25" s="116">
        <v>-4.6147000000000001E-2</v>
      </c>
    </row>
    <row r="26" spans="1:8" x14ac:dyDescent="0.2">
      <c r="A26" s="78" t="s">
        <v>469</v>
      </c>
      <c r="B26" s="116">
        <v>-0.25449300000000002</v>
      </c>
      <c r="C26" s="116">
        <v>-0.120319</v>
      </c>
      <c r="D26" s="116">
        <v>0.13239200000000001</v>
      </c>
      <c r="E26" s="116">
        <v>9.2186000000000004E-2</v>
      </c>
      <c r="F26" s="117">
        <v>-0.114455</v>
      </c>
      <c r="G26" s="116">
        <v>-0.114455</v>
      </c>
      <c r="H26" s="116">
        <v>-9.3820000000000001E-2</v>
      </c>
    </row>
    <row r="27" spans="1:8" x14ac:dyDescent="0.2">
      <c r="A27" s="78" t="s">
        <v>470</v>
      </c>
      <c r="B27" s="116">
        <v>-0.25449300000000002</v>
      </c>
      <c r="C27" s="116">
        <v>-0.120319</v>
      </c>
      <c r="D27" s="116">
        <v>0.13239200000000001</v>
      </c>
      <c r="E27" s="116">
        <v>9.2186000000000004E-2</v>
      </c>
      <c r="F27" s="117">
        <v>-0.114455</v>
      </c>
      <c r="G27" s="116">
        <v>-0.114455</v>
      </c>
      <c r="H27" s="116">
        <v>-9.3820000000000001E-2</v>
      </c>
    </row>
    <row r="28" spans="1:8" x14ac:dyDescent="0.2">
      <c r="A28" s="78" t="s">
        <v>471</v>
      </c>
      <c r="B28" s="116">
        <v>-0.25449300000000002</v>
      </c>
      <c r="C28" s="116">
        <v>-0.120319</v>
      </c>
      <c r="D28" s="116">
        <v>0.13239200000000001</v>
      </c>
      <c r="E28" s="116">
        <v>9.2186000000000004E-2</v>
      </c>
      <c r="F28" s="117">
        <v>-0.114455</v>
      </c>
      <c r="G28" s="116">
        <v>-0.114455</v>
      </c>
      <c r="H28" s="116">
        <v>-9.3820000000000001E-2</v>
      </c>
    </row>
    <row r="29" spans="1:8" x14ac:dyDescent="0.2">
      <c r="A29" s="78" t="s">
        <v>472</v>
      </c>
      <c r="B29" s="116">
        <v>-0.143458</v>
      </c>
      <c r="C29" s="116">
        <v>-5.1701999999999998E-2</v>
      </c>
      <c r="D29" s="116">
        <v>0.101075</v>
      </c>
      <c r="E29" s="116">
        <v>0.109213</v>
      </c>
      <c r="F29" s="117">
        <v>2.1310000000000001E-3</v>
      </c>
      <c r="G29" s="116">
        <v>2.1310000000000001E-3</v>
      </c>
      <c r="H29" s="116">
        <v>-2.9640000000000001E-3</v>
      </c>
    </row>
    <row r="30" spans="1:8" x14ac:dyDescent="0.2">
      <c r="A30" s="78" t="s">
        <v>473</v>
      </c>
      <c r="B30" s="93" t="s">
        <v>113</v>
      </c>
      <c r="C30" s="116">
        <v>-2.9701000000000002E-2</v>
      </c>
      <c r="D30" s="116">
        <v>0.14163200000000001</v>
      </c>
      <c r="E30" s="116">
        <v>-2.938E-2</v>
      </c>
      <c r="F30" s="105" t="s">
        <v>113</v>
      </c>
      <c r="G30" s="116">
        <v>0.15043500000000001</v>
      </c>
      <c r="H30" s="93" t="s">
        <v>113</v>
      </c>
    </row>
    <row r="31" spans="1:8" x14ac:dyDescent="0.2">
      <c r="A31" s="78" t="s">
        <v>474</v>
      </c>
      <c r="B31" s="93" t="s">
        <v>113</v>
      </c>
      <c r="C31" s="116">
        <v>4.8899999999999999E-2</v>
      </c>
      <c r="D31" s="116">
        <v>0.202656</v>
      </c>
      <c r="E31" s="116">
        <v>4.0335999999999997E-2</v>
      </c>
      <c r="F31" s="105" t="s">
        <v>113</v>
      </c>
      <c r="G31" s="116">
        <v>0.19662199999999999</v>
      </c>
      <c r="H31" s="93" t="s">
        <v>113</v>
      </c>
    </row>
    <row r="32" spans="1:8" x14ac:dyDescent="0.2">
      <c r="A32" s="78"/>
      <c r="B32" s="78"/>
      <c r="C32" s="78"/>
      <c r="D32" s="78"/>
      <c r="E32" s="78"/>
      <c r="F32" s="78"/>
      <c r="G32" s="78"/>
      <c r="H32" s="78"/>
    </row>
    <row r="33" spans="1:8" ht="10.5" x14ac:dyDescent="0.2">
      <c r="A33" s="86" t="s">
        <v>475</v>
      </c>
      <c r="B33" s="78"/>
      <c r="C33" s="78"/>
      <c r="D33" s="78"/>
      <c r="E33" s="78"/>
      <c r="F33" s="78"/>
      <c r="G33" s="78"/>
      <c r="H33" s="78"/>
    </row>
    <row r="34" spans="1:8" x14ac:dyDescent="0.2">
      <c r="A34" s="78" t="s">
        <v>476</v>
      </c>
      <c r="B34" s="93" t="s">
        <v>113</v>
      </c>
      <c r="C34" s="98">
        <v>1.2586170000000001</v>
      </c>
      <c r="D34" s="98">
        <v>0.77022500000000005</v>
      </c>
      <c r="E34" s="98">
        <v>0.479823</v>
      </c>
      <c r="F34" s="162">
        <v>0.577152</v>
      </c>
      <c r="G34" s="98">
        <v>0.57464199999999999</v>
      </c>
      <c r="H34" s="98">
        <v>0.70909699999999998</v>
      </c>
    </row>
    <row r="35" spans="1:8" x14ac:dyDescent="0.2">
      <c r="A35" s="78" t="s">
        <v>477</v>
      </c>
      <c r="B35" s="93" t="s">
        <v>113</v>
      </c>
      <c r="C35" s="98">
        <v>10.909750000000001</v>
      </c>
      <c r="D35" s="98">
        <v>9.874962</v>
      </c>
      <c r="E35" s="98">
        <v>6.9753259999999999</v>
      </c>
      <c r="F35" s="162">
        <v>15.059347000000001</v>
      </c>
      <c r="G35" s="98">
        <v>15.059347000000001</v>
      </c>
      <c r="H35" s="98">
        <v>17.731629999999999</v>
      </c>
    </row>
    <row r="36" spans="1:8" x14ac:dyDescent="0.2">
      <c r="A36" s="78" t="s">
        <v>478</v>
      </c>
      <c r="B36" s="93" t="s">
        <v>113</v>
      </c>
      <c r="C36" s="98">
        <v>12.059820999999999</v>
      </c>
      <c r="D36" s="98">
        <v>14.492488</v>
      </c>
      <c r="E36" s="98">
        <v>11.259036</v>
      </c>
      <c r="F36" s="162">
        <v>7.5758039999999998</v>
      </c>
      <c r="G36" s="98">
        <v>7.5758039999999998</v>
      </c>
      <c r="H36" s="98">
        <v>8.2860600000000009</v>
      </c>
    </row>
    <row r="37" spans="1:8" x14ac:dyDescent="0.2">
      <c r="A37" s="78" t="s">
        <v>479</v>
      </c>
      <c r="B37" s="93" t="s">
        <v>113</v>
      </c>
      <c r="C37" s="93" t="s">
        <v>113</v>
      </c>
      <c r="D37" s="93" t="s">
        <v>113</v>
      </c>
      <c r="E37" s="93" t="s">
        <v>113</v>
      </c>
      <c r="F37" s="105" t="s">
        <v>113</v>
      </c>
      <c r="G37" s="93" t="s">
        <v>113</v>
      </c>
      <c r="H37" s="93" t="s">
        <v>113</v>
      </c>
    </row>
    <row r="38" spans="1:8" x14ac:dyDescent="0.2">
      <c r="A38" s="78"/>
      <c r="B38" s="78"/>
      <c r="C38" s="78"/>
      <c r="D38" s="78"/>
      <c r="E38" s="78"/>
      <c r="F38" s="78"/>
      <c r="G38" s="78"/>
      <c r="H38" s="78"/>
    </row>
    <row r="39" spans="1:8" ht="10.5" x14ac:dyDescent="0.2">
      <c r="A39" s="86" t="s">
        <v>480</v>
      </c>
      <c r="B39" s="78"/>
      <c r="C39" s="78"/>
      <c r="D39" s="78"/>
      <c r="E39" s="78"/>
      <c r="F39" s="78"/>
      <c r="G39" s="78"/>
      <c r="H39" s="78"/>
    </row>
    <row r="40" spans="1:8" x14ac:dyDescent="0.2">
      <c r="A40" s="78" t="s">
        <v>481</v>
      </c>
      <c r="B40" s="98">
        <v>2.0910869999999999</v>
      </c>
      <c r="C40" s="98">
        <v>0.51355600000000001</v>
      </c>
      <c r="D40" s="98">
        <v>5.6365439999999998</v>
      </c>
      <c r="E40" s="98">
        <v>2.2715519999999998</v>
      </c>
      <c r="F40" s="162">
        <v>1.1315310000000001</v>
      </c>
      <c r="G40" s="98">
        <v>1.1726399999999999</v>
      </c>
      <c r="H40" s="98">
        <v>1.190963</v>
      </c>
    </row>
    <row r="41" spans="1:8" x14ac:dyDescent="0.2">
      <c r="A41" s="78" t="s">
        <v>482</v>
      </c>
      <c r="B41" s="98">
        <v>1.924639</v>
      </c>
      <c r="C41" s="98">
        <v>0.46176299999999998</v>
      </c>
      <c r="D41" s="98">
        <v>5.5159979999999997</v>
      </c>
      <c r="E41" s="98">
        <v>2.1933129999999998</v>
      </c>
      <c r="F41" s="162">
        <v>1.056829</v>
      </c>
      <c r="G41" s="98">
        <v>1.0911120000000001</v>
      </c>
      <c r="H41" s="98">
        <v>1.0847610000000001</v>
      </c>
    </row>
    <row r="42" spans="1:8" x14ac:dyDescent="0.2">
      <c r="A42" s="78" t="s">
        <v>483</v>
      </c>
      <c r="B42" s="98">
        <v>1.7621230000000001</v>
      </c>
      <c r="C42" s="98">
        <v>0.74684600000000001</v>
      </c>
      <c r="D42" s="98">
        <v>2.3334429999999999</v>
      </c>
      <c r="E42" s="98">
        <v>0.82040000000000002</v>
      </c>
      <c r="F42" s="105" t="s">
        <v>113</v>
      </c>
      <c r="G42" s="98">
        <v>0.49801299999999998</v>
      </c>
      <c r="H42" s="93" t="s">
        <v>113</v>
      </c>
    </row>
    <row r="43" spans="1:8" x14ac:dyDescent="0.2">
      <c r="A43" s="78" t="s">
        <v>484</v>
      </c>
      <c r="B43" s="94" t="s">
        <v>113</v>
      </c>
      <c r="C43" s="94">
        <v>30.265435</v>
      </c>
      <c r="D43" s="94">
        <v>25.254366000000001</v>
      </c>
      <c r="E43" s="94">
        <v>32.418205</v>
      </c>
      <c r="F43" s="104">
        <v>48.179634999999998</v>
      </c>
      <c r="G43" s="94">
        <v>48.179634999999998</v>
      </c>
      <c r="H43" s="94">
        <v>44.049660000000003</v>
      </c>
    </row>
    <row r="44" spans="1:8" x14ac:dyDescent="0.2">
      <c r="A44" s="78" t="s">
        <v>485</v>
      </c>
      <c r="B44" s="94" t="s">
        <v>113</v>
      </c>
      <c r="C44" s="94" t="s">
        <v>113</v>
      </c>
      <c r="D44" s="94" t="s">
        <v>113</v>
      </c>
      <c r="E44" s="94" t="s">
        <v>113</v>
      </c>
      <c r="F44" s="105" t="s">
        <v>113</v>
      </c>
      <c r="G44" s="94" t="s">
        <v>113</v>
      </c>
      <c r="H44" s="94" t="s">
        <v>113</v>
      </c>
    </row>
    <row r="45" spans="1:8" x14ac:dyDescent="0.2">
      <c r="A45" s="78" t="s">
        <v>486</v>
      </c>
      <c r="B45" s="94" t="s">
        <v>113</v>
      </c>
      <c r="C45" s="94" t="s">
        <v>113</v>
      </c>
      <c r="D45" s="94" t="s">
        <v>113</v>
      </c>
      <c r="E45" s="94" t="s">
        <v>113</v>
      </c>
      <c r="F45" s="105" t="s">
        <v>113</v>
      </c>
      <c r="G45" s="94" t="s">
        <v>113</v>
      </c>
      <c r="H45" s="94" t="s">
        <v>113</v>
      </c>
    </row>
    <row r="46" spans="1:8" x14ac:dyDescent="0.2">
      <c r="A46" s="78" t="s">
        <v>487</v>
      </c>
      <c r="B46" s="94" t="s">
        <v>113</v>
      </c>
      <c r="C46" s="94" t="s">
        <v>113</v>
      </c>
      <c r="D46" s="94" t="s">
        <v>113</v>
      </c>
      <c r="E46" s="94" t="s">
        <v>113</v>
      </c>
      <c r="F46" s="105" t="s">
        <v>113</v>
      </c>
      <c r="G46" s="94" t="s">
        <v>113</v>
      </c>
      <c r="H46" s="94" t="s">
        <v>113</v>
      </c>
    </row>
    <row r="47" spans="1:8" x14ac:dyDescent="0.2">
      <c r="A47" s="78"/>
      <c r="B47" s="78"/>
      <c r="C47" s="78"/>
      <c r="D47" s="78"/>
      <c r="E47" s="78"/>
      <c r="F47" s="78"/>
      <c r="G47" s="78"/>
      <c r="H47" s="78"/>
    </row>
    <row r="48" spans="1:8" ht="10.5" x14ac:dyDescent="0.2">
      <c r="A48" s="86" t="s">
        <v>488</v>
      </c>
      <c r="B48" s="78"/>
      <c r="C48" s="78"/>
      <c r="D48" s="78"/>
      <c r="E48" s="78"/>
      <c r="F48" s="78"/>
      <c r="G48" s="78"/>
      <c r="H48" s="78"/>
    </row>
    <row r="49" spans="1:8" x14ac:dyDescent="0.2">
      <c r="A49" s="78" t="s">
        <v>489</v>
      </c>
      <c r="B49" s="116" t="s">
        <v>205</v>
      </c>
      <c r="C49" s="116" t="s">
        <v>205</v>
      </c>
      <c r="D49" s="116">
        <v>0.66671199999999997</v>
      </c>
      <c r="E49" s="116">
        <v>0.65431300000000003</v>
      </c>
      <c r="F49" s="117">
        <v>1.57396</v>
      </c>
      <c r="G49" s="116">
        <v>1.4948490000000001</v>
      </c>
      <c r="H49" s="116">
        <v>1.493994</v>
      </c>
    </row>
    <row r="50" spans="1:8" x14ac:dyDescent="0.2">
      <c r="A50" s="78" t="s">
        <v>490</v>
      </c>
      <c r="B50" s="116">
        <v>1.140128</v>
      </c>
      <c r="C50" s="116">
        <v>1.197041</v>
      </c>
      <c r="D50" s="116">
        <v>0.40001599999999998</v>
      </c>
      <c r="E50" s="116">
        <v>0.39551900000000001</v>
      </c>
      <c r="F50" s="117">
        <v>0.61149299999999995</v>
      </c>
      <c r="G50" s="116">
        <v>0.59917399999999998</v>
      </c>
      <c r="H50" s="116">
        <v>0.59903600000000001</v>
      </c>
    </row>
    <row r="51" spans="1:8" x14ac:dyDescent="0.2">
      <c r="A51" s="78" t="s">
        <v>491</v>
      </c>
      <c r="B51" s="116" t="s">
        <v>205</v>
      </c>
      <c r="C51" s="116" t="s">
        <v>205</v>
      </c>
      <c r="D51" s="116">
        <v>0.59542300000000004</v>
      </c>
      <c r="E51" s="116">
        <v>0.28880800000000001</v>
      </c>
      <c r="F51" s="117">
        <v>1.565628</v>
      </c>
      <c r="G51" s="116">
        <v>1.486937</v>
      </c>
      <c r="H51" s="116">
        <v>1.481903</v>
      </c>
    </row>
    <row r="52" spans="1:8" x14ac:dyDescent="0.2">
      <c r="A52" s="78" t="s">
        <v>492</v>
      </c>
      <c r="B52" s="116">
        <v>1.140128</v>
      </c>
      <c r="C52" s="116">
        <v>0.64540900000000001</v>
      </c>
      <c r="D52" s="116">
        <v>0.35724400000000001</v>
      </c>
      <c r="E52" s="116">
        <v>0.17457800000000001</v>
      </c>
      <c r="F52" s="117">
        <v>0.60825600000000002</v>
      </c>
      <c r="G52" s="116">
        <v>0.59600200000000003</v>
      </c>
      <c r="H52" s="116">
        <v>0.59418800000000005</v>
      </c>
    </row>
    <row r="53" spans="1:8" x14ac:dyDescent="0.2">
      <c r="A53" s="78" t="s">
        <v>493</v>
      </c>
      <c r="B53" s="116">
        <v>1.1159479999999999</v>
      </c>
      <c r="C53" s="116">
        <v>1.1690419999999999</v>
      </c>
      <c r="D53" s="116">
        <v>0.46269399999999999</v>
      </c>
      <c r="E53" s="116">
        <v>0.48344300000000001</v>
      </c>
      <c r="F53" s="117">
        <v>0.69890200000000002</v>
      </c>
      <c r="G53" s="116">
        <v>0.68469199999999997</v>
      </c>
      <c r="H53" s="116">
        <v>0.68714900000000001</v>
      </c>
    </row>
    <row r="54" spans="1:8" x14ac:dyDescent="0.2">
      <c r="A54" s="78"/>
      <c r="B54" s="78"/>
      <c r="C54" s="78"/>
      <c r="D54" s="78"/>
      <c r="E54" s="78"/>
      <c r="F54" s="78"/>
      <c r="G54" s="78"/>
      <c r="H54" s="78"/>
    </row>
    <row r="55" spans="1:8" x14ac:dyDescent="0.2">
      <c r="A55" s="78" t="s">
        <v>494</v>
      </c>
      <c r="B55" s="93" t="s">
        <v>205</v>
      </c>
      <c r="C55" s="98">
        <v>1.277056</v>
      </c>
      <c r="D55" s="98">
        <v>3.0035379999999998</v>
      </c>
      <c r="E55" s="98">
        <v>0.47681600000000002</v>
      </c>
      <c r="F55" s="162">
        <v>-0.426348</v>
      </c>
      <c r="G55" s="93" t="s">
        <v>205</v>
      </c>
      <c r="H55" s="93" t="s">
        <v>205</v>
      </c>
    </row>
    <row r="56" spans="1:8" x14ac:dyDescent="0.2">
      <c r="A56" s="78" t="s">
        <v>495</v>
      </c>
      <c r="B56" s="98">
        <v>2.932871</v>
      </c>
      <c r="C56" s="98">
        <v>3.6063010000000002</v>
      </c>
      <c r="D56" s="98">
        <v>5.4300579999999998</v>
      </c>
      <c r="E56" s="98">
        <v>3.0728369999999998</v>
      </c>
      <c r="F56" s="162">
        <v>0.438662</v>
      </c>
      <c r="G56" s="98">
        <v>0.500857</v>
      </c>
      <c r="H56" s="98">
        <v>0.85760899999999995</v>
      </c>
    </row>
    <row r="57" spans="1:8" x14ac:dyDescent="0.2">
      <c r="A57" s="78" t="s">
        <v>496</v>
      </c>
      <c r="B57" s="98">
        <v>2.7631000000000001</v>
      </c>
      <c r="C57" s="98">
        <v>3.4244819999999998</v>
      </c>
      <c r="D57" s="98">
        <v>5.236885</v>
      </c>
      <c r="E57" s="98">
        <v>2.81311</v>
      </c>
      <c r="F57" s="162">
        <v>0.438662</v>
      </c>
      <c r="G57" s="98">
        <v>0.38938299999999998</v>
      </c>
      <c r="H57" s="98">
        <v>0.85760899999999995</v>
      </c>
    </row>
    <row r="58" spans="1:8" x14ac:dyDescent="0.2">
      <c r="A58" s="78" t="s">
        <v>497</v>
      </c>
      <c r="B58" s="98">
        <v>2.697282</v>
      </c>
      <c r="C58" s="98">
        <v>2.272024</v>
      </c>
      <c r="D58" s="98">
        <v>1.2988949999999999</v>
      </c>
      <c r="E58" s="98">
        <v>2.261895</v>
      </c>
      <c r="F58" s="162">
        <v>32.789012</v>
      </c>
      <c r="G58" s="98">
        <v>35.424751000000001</v>
      </c>
      <c r="H58" s="98">
        <v>16.814834999999999</v>
      </c>
    </row>
    <row r="59" spans="1:8" x14ac:dyDescent="0.2">
      <c r="A59" s="78" t="s">
        <v>498</v>
      </c>
      <c r="B59" s="98">
        <v>2.2197279999999999</v>
      </c>
      <c r="C59" s="98">
        <v>1.8708229999999999</v>
      </c>
      <c r="D59" s="93" t="s">
        <v>205</v>
      </c>
      <c r="E59" s="93" t="s">
        <v>205</v>
      </c>
      <c r="F59" s="162">
        <v>26.574252000000001</v>
      </c>
      <c r="G59" s="98">
        <v>28.710419000000002</v>
      </c>
      <c r="H59" s="98">
        <v>13.453125999999999</v>
      </c>
    </row>
    <row r="60" spans="1:8" x14ac:dyDescent="0.2">
      <c r="A60" s="78" t="s">
        <v>499</v>
      </c>
      <c r="B60" s="98">
        <v>2.8630089999999999</v>
      </c>
      <c r="C60" s="98">
        <v>2.3926530000000001</v>
      </c>
      <c r="D60" s="98">
        <v>1.346808</v>
      </c>
      <c r="E60" s="98">
        <v>2.470729</v>
      </c>
      <c r="F60" s="162">
        <v>32.789012</v>
      </c>
      <c r="G60" s="98">
        <v>45.566274999999997</v>
      </c>
      <c r="H60" s="98">
        <v>16.814834999999999</v>
      </c>
    </row>
    <row r="61" spans="1:8" x14ac:dyDescent="0.2">
      <c r="A61" s="78" t="s">
        <v>500</v>
      </c>
      <c r="B61" s="98">
        <v>2.356112</v>
      </c>
      <c r="C61" s="98">
        <v>1.9701519999999999</v>
      </c>
      <c r="D61" s="93" t="s">
        <v>205</v>
      </c>
      <c r="E61" s="93" t="s">
        <v>205</v>
      </c>
      <c r="F61" s="162">
        <v>26.574252000000001</v>
      </c>
      <c r="G61" s="98">
        <v>36.929738999999998</v>
      </c>
      <c r="H61" s="98">
        <v>13.453125999999999</v>
      </c>
    </row>
    <row r="62" spans="1:8" x14ac:dyDescent="0.2">
      <c r="A62" s="78"/>
      <c r="B62" s="78"/>
      <c r="C62" s="78"/>
      <c r="D62" s="78"/>
      <c r="E62" s="78"/>
      <c r="F62" s="78"/>
      <c r="G62" s="78"/>
      <c r="H62" s="78"/>
    </row>
    <row r="63" spans="1:8" x14ac:dyDescent="0.2">
      <c r="A63" s="78" t="s">
        <v>501</v>
      </c>
      <c r="B63" s="114">
        <v>-1.34</v>
      </c>
      <c r="C63" s="114">
        <v>-0.51</v>
      </c>
      <c r="D63" s="114">
        <v>8.8228849999999994</v>
      </c>
      <c r="E63" s="114">
        <v>11.465415</v>
      </c>
      <c r="F63" s="115">
        <v>0.97316100000000005</v>
      </c>
      <c r="G63" s="114">
        <v>0.98968900000000004</v>
      </c>
      <c r="H63" s="114">
        <v>0.93970699999999996</v>
      </c>
    </row>
    <row r="64" spans="1:8" x14ac:dyDescent="0.2">
      <c r="A64" s="78"/>
      <c r="B64" s="78"/>
      <c r="C64" s="78"/>
      <c r="D64" s="78"/>
      <c r="E64" s="78"/>
      <c r="F64" s="78"/>
      <c r="G64" s="78"/>
      <c r="H64" s="78"/>
    </row>
    <row r="65" spans="1:8" ht="10.5" x14ac:dyDescent="0.2">
      <c r="A65" s="86" t="s">
        <v>502</v>
      </c>
      <c r="B65" s="78"/>
      <c r="C65" s="78"/>
      <c r="D65" s="78"/>
      <c r="E65" s="78"/>
      <c r="F65" s="78"/>
      <c r="G65" s="78"/>
      <c r="H65" s="78"/>
    </row>
    <row r="66" spans="1:8" x14ac:dyDescent="0.2">
      <c r="A66" s="78" t="s">
        <v>31</v>
      </c>
      <c r="B66" s="116">
        <v>0.36905900000000003</v>
      </c>
      <c r="C66" s="116">
        <v>0.40821099999999999</v>
      </c>
      <c r="D66" s="116">
        <v>0.48817300000000002</v>
      </c>
      <c r="E66" s="116">
        <v>2.5628999999999999E-2</v>
      </c>
      <c r="F66" s="117">
        <v>2.2835540000000001</v>
      </c>
      <c r="G66" s="116">
        <v>2.2835540000000001</v>
      </c>
      <c r="H66" s="116">
        <v>3.010424</v>
      </c>
    </row>
    <row r="67" spans="1:8" x14ac:dyDescent="0.2">
      <c r="A67" s="78" t="s">
        <v>33</v>
      </c>
      <c r="B67" s="116">
        <v>0.36905900000000003</v>
      </c>
      <c r="C67" s="116">
        <v>0.40821099999999999</v>
      </c>
      <c r="D67" s="116">
        <v>0.48817300000000002</v>
      </c>
      <c r="E67" s="116">
        <v>2.5628999999999999E-2</v>
      </c>
      <c r="F67" s="117">
        <v>2.2835540000000001</v>
      </c>
      <c r="G67" s="116">
        <v>2.2835540000000001</v>
      </c>
      <c r="H67" s="116">
        <v>3.010424</v>
      </c>
    </row>
    <row r="68" spans="1:8" x14ac:dyDescent="0.2">
      <c r="A68" s="78" t="s">
        <v>503</v>
      </c>
      <c r="B68" s="116">
        <v>0.688778</v>
      </c>
      <c r="C68" s="116">
        <v>1.214264</v>
      </c>
      <c r="D68" s="116">
        <v>0.73964600000000003</v>
      </c>
      <c r="E68" s="116">
        <v>-0.33692499999999997</v>
      </c>
      <c r="F68" s="117">
        <v>-0.57930199999999998</v>
      </c>
      <c r="G68" s="116">
        <v>-0.700353</v>
      </c>
      <c r="H68" s="116">
        <v>-0.14733099999999999</v>
      </c>
    </row>
    <row r="69" spans="1:8" x14ac:dyDescent="0.2">
      <c r="A69" s="78" t="s">
        <v>504</v>
      </c>
      <c r="B69" s="116" t="s">
        <v>205</v>
      </c>
      <c r="C69" s="116" t="s">
        <v>205</v>
      </c>
      <c r="D69" s="116">
        <v>1.717325</v>
      </c>
      <c r="E69" s="116">
        <v>-0.81398599999999999</v>
      </c>
      <c r="F69" s="117">
        <v>-1.424382</v>
      </c>
      <c r="G69" s="116">
        <v>0.52570700000000004</v>
      </c>
      <c r="H69" s="116" t="s">
        <v>205</v>
      </c>
    </row>
    <row r="70" spans="1:8" x14ac:dyDescent="0.2">
      <c r="A70" s="78" t="s">
        <v>505</v>
      </c>
      <c r="B70" s="116" t="s">
        <v>205</v>
      </c>
      <c r="C70" s="116" t="s">
        <v>205</v>
      </c>
      <c r="D70" s="116">
        <v>1.717325</v>
      </c>
      <c r="E70" s="116">
        <v>-0.81398599999999999</v>
      </c>
      <c r="F70" s="117">
        <v>-3.399403</v>
      </c>
      <c r="G70" s="116" t="s">
        <v>205</v>
      </c>
      <c r="H70" s="116" t="s">
        <v>205</v>
      </c>
    </row>
    <row r="71" spans="1:8" x14ac:dyDescent="0.2">
      <c r="A71" s="78" t="s">
        <v>49</v>
      </c>
      <c r="B71" s="116" t="s">
        <v>205</v>
      </c>
      <c r="C71" s="116" t="s">
        <v>205</v>
      </c>
      <c r="D71" s="116" t="s">
        <v>205</v>
      </c>
      <c r="E71" s="116">
        <v>-0.28584599999999999</v>
      </c>
      <c r="F71" s="117">
        <v>-5.0767410000000002</v>
      </c>
      <c r="G71" s="116" t="s">
        <v>205</v>
      </c>
      <c r="H71" s="116" t="s">
        <v>205</v>
      </c>
    </row>
    <row r="72" spans="1:8" x14ac:dyDescent="0.2">
      <c r="A72" s="78" t="s">
        <v>54</v>
      </c>
      <c r="B72" s="116" t="s">
        <v>205</v>
      </c>
      <c r="C72" s="116" t="s">
        <v>205</v>
      </c>
      <c r="D72" s="116" t="s">
        <v>205</v>
      </c>
      <c r="E72" s="116">
        <v>-0.28584599999999999</v>
      </c>
      <c r="F72" s="117">
        <v>-5.0767410000000002</v>
      </c>
      <c r="G72" s="116" t="s">
        <v>205</v>
      </c>
      <c r="H72" s="116" t="s">
        <v>205</v>
      </c>
    </row>
    <row r="73" spans="1:8" x14ac:dyDescent="0.2">
      <c r="A73" s="78" t="s">
        <v>506</v>
      </c>
      <c r="B73" s="116" t="s">
        <v>205</v>
      </c>
      <c r="C73" s="116" t="s">
        <v>205</v>
      </c>
      <c r="D73" s="116" t="s">
        <v>205</v>
      </c>
      <c r="E73" s="116">
        <v>0.108206</v>
      </c>
      <c r="F73" s="117">
        <v>-0.93592699999999995</v>
      </c>
      <c r="G73" s="116">
        <v>-0.93592699999999995</v>
      </c>
      <c r="H73" s="116" t="s">
        <v>205</v>
      </c>
    </row>
    <row r="74" spans="1:8" x14ac:dyDescent="0.2">
      <c r="A74" s="78" t="s">
        <v>507</v>
      </c>
      <c r="B74" s="116" t="s">
        <v>205</v>
      </c>
      <c r="C74" s="116" t="s">
        <v>205</v>
      </c>
      <c r="D74" s="116" t="s">
        <v>205</v>
      </c>
      <c r="E74" s="116">
        <v>-0.37037500000000001</v>
      </c>
      <c r="F74" s="117">
        <v>-4.7647279999999999</v>
      </c>
      <c r="G74" s="116" t="s">
        <v>205</v>
      </c>
      <c r="H74" s="116" t="s">
        <v>205</v>
      </c>
    </row>
    <row r="75" spans="1:8" x14ac:dyDescent="0.2">
      <c r="A75" s="78"/>
      <c r="B75" s="78"/>
      <c r="C75" s="78"/>
      <c r="D75" s="78"/>
      <c r="E75" s="78"/>
      <c r="F75" s="78"/>
      <c r="G75" s="78"/>
      <c r="H75" s="78"/>
    </row>
    <row r="76" spans="1:8" x14ac:dyDescent="0.2">
      <c r="A76" s="78" t="s">
        <v>508</v>
      </c>
      <c r="B76" s="93" t="s">
        <v>113</v>
      </c>
      <c r="C76" s="116">
        <v>0.237959</v>
      </c>
      <c r="D76" s="116">
        <v>0.238707</v>
      </c>
      <c r="E76" s="116">
        <v>0.38594600000000001</v>
      </c>
      <c r="F76" s="117">
        <v>6.4009980000000004</v>
      </c>
      <c r="G76" s="116">
        <v>6.4009980000000004</v>
      </c>
      <c r="H76" s="116">
        <v>5.6115529999999998</v>
      </c>
    </row>
    <row r="77" spans="1:8" x14ac:dyDescent="0.2">
      <c r="A77" s="78" t="s">
        <v>509</v>
      </c>
      <c r="B77" s="93" t="s">
        <v>113</v>
      </c>
      <c r="C77" s="93" t="s">
        <v>113</v>
      </c>
      <c r="D77" s="93" t="s">
        <v>113</v>
      </c>
      <c r="E77" s="93" t="s">
        <v>113</v>
      </c>
      <c r="F77" s="105" t="s">
        <v>113</v>
      </c>
      <c r="G77" s="93" t="s">
        <v>113</v>
      </c>
      <c r="H77" s="93" t="s">
        <v>113</v>
      </c>
    </row>
    <row r="78" spans="1:8" x14ac:dyDescent="0.2">
      <c r="A78" s="78" t="s">
        <v>510</v>
      </c>
      <c r="B78" s="93" t="s">
        <v>113</v>
      </c>
      <c r="C78" s="116">
        <v>9.5667930000000005</v>
      </c>
      <c r="D78" s="116">
        <v>-0.20028899999999999</v>
      </c>
      <c r="E78" s="116">
        <v>1.2676149999999999</v>
      </c>
      <c r="F78" s="117">
        <v>0.19161400000000001</v>
      </c>
      <c r="G78" s="116">
        <v>0.19161400000000001</v>
      </c>
      <c r="H78" s="116">
        <v>0.15759000000000001</v>
      </c>
    </row>
    <row r="79" spans="1:8" x14ac:dyDescent="0.2">
      <c r="A79" s="78" t="s">
        <v>511</v>
      </c>
      <c r="B79" s="93" t="s">
        <v>113</v>
      </c>
      <c r="C79" s="116">
        <v>0.71340700000000001</v>
      </c>
      <c r="D79" s="116">
        <v>1.851092</v>
      </c>
      <c r="E79" s="116">
        <v>0.22381899999999999</v>
      </c>
      <c r="F79" s="117">
        <v>2.9603989999999998</v>
      </c>
      <c r="G79" s="116">
        <v>2.982065</v>
      </c>
      <c r="H79" s="116">
        <v>4.0036990000000001</v>
      </c>
    </row>
    <row r="80" spans="1:8" x14ac:dyDescent="0.2">
      <c r="A80" s="78"/>
      <c r="B80" s="78"/>
      <c r="C80" s="78"/>
      <c r="D80" s="78"/>
      <c r="E80" s="78"/>
      <c r="F80" s="78"/>
      <c r="G80" s="78"/>
      <c r="H80" s="78"/>
    </row>
    <row r="81" spans="1:8" x14ac:dyDescent="0.2">
      <c r="A81" s="78" t="s">
        <v>512</v>
      </c>
      <c r="B81" s="93" t="s">
        <v>113</v>
      </c>
      <c r="C81" s="116" t="s">
        <v>205</v>
      </c>
      <c r="D81" s="116" t="s">
        <v>205</v>
      </c>
      <c r="E81" s="116">
        <v>0.13502600000000001</v>
      </c>
      <c r="F81" s="117">
        <v>-6.3919329999999999</v>
      </c>
      <c r="G81" s="116" t="s">
        <v>205</v>
      </c>
      <c r="H81" s="116" t="s">
        <v>205</v>
      </c>
    </row>
    <row r="82" spans="1:8" x14ac:dyDescent="0.2">
      <c r="A82" s="78" t="s">
        <v>513</v>
      </c>
      <c r="B82" s="93" t="s">
        <v>113</v>
      </c>
      <c r="C82" s="116" t="s">
        <v>205</v>
      </c>
      <c r="D82" s="116" t="s">
        <v>205</v>
      </c>
      <c r="E82" s="116">
        <v>0.17655999999999999</v>
      </c>
      <c r="F82" s="117">
        <v>1.308492</v>
      </c>
      <c r="G82" s="116">
        <v>1.430661</v>
      </c>
      <c r="H82" s="116">
        <v>1.49668</v>
      </c>
    </row>
    <row r="83" spans="1:8" x14ac:dyDescent="0.2">
      <c r="A83" s="78" t="s">
        <v>304</v>
      </c>
      <c r="B83" s="116">
        <v>1.718907</v>
      </c>
      <c r="C83" s="116">
        <v>1.796578</v>
      </c>
      <c r="D83" s="116">
        <v>0.876529</v>
      </c>
      <c r="E83" s="116">
        <v>-8.0079999999999995E-3</v>
      </c>
      <c r="F83" s="105" t="s">
        <v>113</v>
      </c>
      <c r="G83" s="116">
        <v>0.369753</v>
      </c>
      <c r="H83" s="93" t="s">
        <v>113</v>
      </c>
    </row>
    <row r="84" spans="1:8" x14ac:dyDescent="0.2">
      <c r="A84" s="78" t="s">
        <v>514</v>
      </c>
      <c r="B84" s="116">
        <v>0.26045000000000001</v>
      </c>
      <c r="C84" s="116">
        <v>0.92857100000000004</v>
      </c>
      <c r="D84" s="116">
        <v>0.22751299999999999</v>
      </c>
      <c r="E84" s="116">
        <v>0.57543100000000003</v>
      </c>
      <c r="F84" s="105" t="s">
        <v>113</v>
      </c>
      <c r="G84" s="116">
        <v>-6.6348000000000004E-2</v>
      </c>
      <c r="H84" s="93" t="s">
        <v>113</v>
      </c>
    </row>
    <row r="85" spans="1:8" x14ac:dyDescent="0.2">
      <c r="A85" s="78" t="s">
        <v>515</v>
      </c>
      <c r="B85" s="93" t="s">
        <v>113</v>
      </c>
      <c r="C85" s="93" t="s">
        <v>113</v>
      </c>
      <c r="D85" s="116" t="s">
        <v>205</v>
      </c>
      <c r="E85" s="116" t="s">
        <v>205</v>
      </c>
      <c r="F85" s="105" t="s">
        <v>113</v>
      </c>
      <c r="G85" s="116" t="s">
        <v>205</v>
      </c>
      <c r="H85" s="93" t="s">
        <v>113</v>
      </c>
    </row>
    <row r="86" spans="1:8" x14ac:dyDescent="0.2">
      <c r="A86" s="78" t="s">
        <v>516</v>
      </c>
      <c r="B86" s="93" t="s">
        <v>113</v>
      </c>
      <c r="C86" s="93" t="s">
        <v>113</v>
      </c>
      <c r="D86" s="116">
        <v>5.1673879999999999</v>
      </c>
      <c r="E86" s="116">
        <v>-0.79586100000000004</v>
      </c>
      <c r="F86" s="105" t="s">
        <v>113</v>
      </c>
      <c r="G86" s="116">
        <v>15.005895000000001</v>
      </c>
      <c r="H86" s="93" t="s">
        <v>113</v>
      </c>
    </row>
    <row r="87" spans="1:8" x14ac:dyDescent="0.2">
      <c r="A87" s="78" t="s">
        <v>517</v>
      </c>
      <c r="B87" s="93" t="s">
        <v>113</v>
      </c>
      <c r="C87" s="93" t="s">
        <v>113</v>
      </c>
      <c r="D87" s="93" t="s">
        <v>113</v>
      </c>
      <c r="E87" s="93" t="s">
        <v>113</v>
      </c>
      <c r="F87" s="105" t="s">
        <v>113</v>
      </c>
      <c r="G87" s="93" t="s">
        <v>113</v>
      </c>
      <c r="H87" s="93" t="s">
        <v>113</v>
      </c>
    </row>
    <row r="88" spans="1:8" x14ac:dyDescent="0.2">
      <c r="A88" s="78"/>
      <c r="B88" s="78"/>
      <c r="C88" s="78"/>
      <c r="D88" s="78"/>
      <c r="E88" s="78"/>
      <c r="F88" s="78"/>
      <c r="G88" s="78"/>
      <c r="H88" s="78"/>
    </row>
    <row r="89" spans="1:8" ht="10.5" x14ac:dyDescent="0.2">
      <c r="A89" s="86" t="s">
        <v>518</v>
      </c>
      <c r="B89" s="78"/>
      <c r="C89" s="78"/>
      <c r="D89" s="78"/>
      <c r="E89" s="78"/>
      <c r="F89" s="78"/>
      <c r="G89" s="78"/>
      <c r="H89" s="78"/>
    </row>
    <row r="90" spans="1:8" x14ac:dyDescent="0.2">
      <c r="A90" s="78" t="s">
        <v>31</v>
      </c>
      <c r="B90" s="93" t="s">
        <v>113</v>
      </c>
      <c r="C90" s="116">
        <v>0.38849699999999998</v>
      </c>
      <c r="D90" s="116">
        <v>0.44764100000000001</v>
      </c>
      <c r="E90" s="116">
        <v>0.23544100000000001</v>
      </c>
      <c r="F90" s="117">
        <v>0.83513199999999999</v>
      </c>
      <c r="G90" s="116">
        <v>0.83513199999999999</v>
      </c>
      <c r="H90" s="116">
        <v>0.94409699999999996</v>
      </c>
    </row>
    <row r="91" spans="1:8" x14ac:dyDescent="0.2">
      <c r="A91" s="78" t="s">
        <v>33</v>
      </c>
      <c r="B91" s="93" t="s">
        <v>113</v>
      </c>
      <c r="C91" s="116">
        <v>0.38849699999999998</v>
      </c>
      <c r="D91" s="116">
        <v>0.44764100000000001</v>
      </c>
      <c r="E91" s="116">
        <v>0.23544100000000001</v>
      </c>
      <c r="F91" s="117">
        <v>0.83513199999999999</v>
      </c>
      <c r="G91" s="116">
        <v>0.83513199999999999</v>
      </c>
      <c r="H91" s="116">
        <v>0.94409699999999996</v>
      </c>
    </row>
    <row r="92" spans="1:8" x14ac:dyDescent="0.2">
      <c r="A92" s="78" t="s">
        <v>503</v>
      </c>
      <c r="B92" s="93" t="s">
        <v>113</v>
      </c>
      <c r="C92" s="116">
        <v>0.93375300000000006</v>
      </c>
      <c r="D92" s="116">
        <v>0.96266099999999999</v>
      </c>
      <c r="E92" s="116">
        <v>7.4019000000000001E-2</v>
      </c>
      <c r="F92" s="117">
        <v>-0.48112700000000003</v>
      </c>
      <c r="G92" s="116">
        <v>-0.55425599999999997</v>
      </c>
      <c r="H92" s="116">
        <v>-0.31391799999999997</v>
      </c>
    </row>
    <row r="93" spans="1:8" x14ac:dyDescent="0.2">
      <c r="A93" s="78" t="s">
        <v>504</v>
      </c>
      <c r="B93" s="93" t="s">
        <v>113</v>
      </c>
      <c r="C93" s="116" t="s">
        <v>205</v>
      </c>
      <c r="D93" s="116" t="s">
        <v>205</v>
      </c>
      <c r="E93" s="116">
        <v>-0.28904200000000002</v>
      </c>
      <c r="F93" s="117">
        <v>-0.48344199999999998</v>
      </c>
      <c r="G93" s="116">
        <v>-0.46726800000000002</v>
      </c>
      <c r="H93" s="116" t="s">
        <v>205</v>
      </c>
    </row>
    <row r="94" spans="1:8" x14ac:dyDescent="0.2">
      <c r="A94" s="78" t="s">
        <v>505</v>
      </c>
      <c r="B94" s="93" t="s">
        <v>113</v>
      </c>
      <c r="C94" s="116" t="s">
        <v>205</v>
      </c>
      <c r="D94" s="116" t="s">
        <v>205</v>
      </c>
      <c r="E94" s="116">
        <v>-0.28904200000000002</v>
      </c>
      <c r="F94" s="117">
        <v>-0.331926</v>
      </c>
      <c r="G94" s="116" t="s">
        <v>205</v>
      </c>
      <c r="H94" s="116" t="s">
        <v>205</v>
      </c>
    </row>
    <row r="95" spans="1:8" x14ac:dyDescent="0.2">
      <c r="A95" s="78" t="s">
        <v>49</v>
      </c>
      <c r="B95" s="93" t="s">
        <v>113</v>
      </c>
      <c r="C95" s="116" t="s">
        <v>205</v>
      </c>
      <c r="D95" s="116" t="s">
        <v>205</v>
      </c>
      <c r="E95" s="116" t="s">
        <v>205</v>
      </c>
      <c r="F95" s="117">
        <v>0.70628899999999994</v>
      </c>
      <c r="G95" s="116" t="s">
        <v>205</v>
      </c>
      <c r="H95" s="116" t="s">
        <v>205</v>
      </c>
    </row>
    <row r="96" spans="1:8" x14ac:dyDescent="0.2">
      <c r="A96" s="78" t="s">
        <v>54</v>
      </c>
      <c r="B96" s="93" t="s">
        <v>113</v>
      </c>
      <c r="C96" s="116" t="s">
        <v>205</v>
      </c>
      <c r="D96" s="116" t="s">
        <v>205</v>
      </c>
      <c r="E96" s="116" t="s">
        <v>205</v>
      </c>
      <c r="F96" s="117">
        <v>0.70628899999999994</v>
      </c>
      <c r="G96" s="116" t="s">
        <v>205</v>
      </c>
      <c r="H96" s="116" t="s">
        <v>205</v>
      </c>
    </row>
    <row r="97" spans="1:8" x14ac:dyDescent="0.2">
      <c r="A97" s="78" t="s">
        <v>506</v>
      </c>
      <c r="B97" s="93" t="s">
        <v>113</v>
      </c>
      <c r="C97" s="116" t="s">
        <v>205</v>
      </c>
      <c r="D97" s="116" t="s">
        <v>205</v>
      </c>
      <c r="E97" s="116" t="s">
        <v>205</v>
      </c>
      <c r="F97" s="117">
        <v>-0.73353000000000002</v>
      </c>
      <c r="G97" s="116">
        <v>-0.73353000000000002</v>
      </c>
      <c r="H97" s="116" t="s">
        <v>205</v>
      </c>
    </row>
    <row r="98" spans="1:8" x14ac:dyDescent="0.2">
      <c r="A98" s="78" t="s">
        <v>507</v>
      </c>
      <c r="B98" s="93" t="s">
        <v>113</v>
      </c>
      <c r="C98" s="116" t="s">
        <v>205</v>
      </c>
      <c r="D98" s="116" t="s">
        <v>205</v>
      </c>
      <c r="E98" s="116" t="s">
        <v>205</v>
      </c>
      <c r="F98" s="117">
        <v>0.539601</v>
      </c>
      <c r="G98" s="116" t="s">
        <v>205</v>
      </c>
      <c r="H98" s="116" t="s">
        <v>205</v>
      </c>
    </row>
    <row r="99" spans="1:8" x14ac:dyDescent="0.2">
      <c r="A99" s="78"/>
      <c r="B99" s="78"/>
      <c r="C99" s="78"/>
      <c r="D99" s="78"/>
      <c r="E99" s="78"/>
      <c r="F99" s="78"/>
      <c r="G99" s="78"/>
      <c r="H99" s="78"/>
    </row>
    <row r="100" spans="1:8" x14ac:dyDescent="0.2">
      <c r="A100" s="78" t="s">
        <v>508</v>
      </c>
      <c r="B100" s="93" t="s">
        <v>113</v>
      </c>
      <c r="C100" s="93" t="s">
        <v>113</v>
      </c>
      <c r="D100" s="116">
        <v>0.23833299999999999</v>
      </c>
      <c r="E100" s="116">
        <v>0.31025999999999998</v>
      </c>
      <c r="F100" s="117">
        <v>2.202715</v>
      </c>
      <c r="G100" s="116">
        <v>2.202715</v>
      </c>
      <c r="H100" s="116">
        <v>3.0027889999999999</v>
      </c>
    </row>
    <row r="101" spans="1:8" x14ac:dyDescent="0.2">
      <c r="A101" s="78" t="s">
        <v>509</v>
      </c>
      <c r="B101" s="93" t="s">
        <v>113</v>
      </c>
      <c r="C101" s="93" t="s">
        <v>113</v>
      </c>
      <c r="D101" s="93" t="s">
        <v>113</v>
      </c>
      <c r="E101" s="93" t="s">
        <v>113</v>
      </c>
      <c r="F101" s="105" t="s">
        <v>113</v>
      </c>
      <c r="G101" s="93" t="s">
        <v>113</v>
      </c>
      <c r="H101" s="93" t="s">
        <v>113</v>
      </c>
    </row>
    <row r="102" spans="1:8" x14ac:dyDescent="0.2">
      <c r="A102" s="78" t="s">
        <v>510</v>
      </c>
      <c r="B102" s="93" t="s">
        <v>113</v>
      </c>
      <c r="C102" s="93" t="s">
        <v>113</v>
      </c>
      <c r="D102" s="116">
        <v>1.906954</v>
      </c>
      <c r="E102" s="116">
        <v>0.34663899999999997</v>
      </c>
      <c r="F102" s="117">
        <v>0.64381299999999997</v>
      </c>
      <c r="G102" s="116">
        <v>0.64381299999999997</v>
      </c>
      <c r="H102" s="116">
        <v>0.73084700000000002</v>
      </c>
    </row>
    <row r="103" spans="1:8" x14ac:dyDescent="0.2">
      <c r="A103" s="78" t="s">
        <v>511</v>
      </c>
      <c r="B103" s="93" t="s">
        <v>113</v>
      </c>
      <c r="C103" s="93" t="s">
        <v>113</v>
      </c>
      <c r="D103" s="116">
        <v>1.210223</v>
      </c>
      <c r="E103" s="116">
        <v>0.867946</v>
      </c>
      <c r="F103" s="117">
        <v>1.2015480000000001</v>
      </c>
      <c r="G103" s="116">
        <v>1.207562</v>
      </c>
      <c r="H103" s="116">
        <v>1.1900470000000001</v>
      </c>
    </row>
    <row r="104" spans="1:8" x14ac:dyDescent="0.2">
      <c r="A104" s="78"/>
      <c r="B104" s="78"/>
      <c r="C104" s="78"/>
      <c r="D104" s="78"/>
      <c r="E104" s="78"/>
      <c r="F104" s="78"/>
      <c r="G104" s="78"/>
      <c r="H104" s="78"/>
    </row>
    <row r="105" spans="1:8" x14ac:dyDescent="0.2">
      <c r="A105" s="78" t="s">
        <v>512</v>
      </c>
      <c r="B105" s="93" t="s">
        <v>113</v>
      </c>
      <c r="C105" s="93" t="s">
        <v>113</v>
      </c>
      <c r="D105" s="116" t="s">
        <v>205</v>
      </c>
      <c r="E105" s="116" t="s">
        <v>205</v>
      </c>
      <c r="F105" s="117">
        <v>1.4738610000000001</v>
      </c>
      <c r="G105" s="116" t="s">
        <v>205</v>
      </c>
      <c r="H105" s="116" t="s">
        <v>205</v>
      </c>
    </row>
    <row r="106" spans="1:8" x14ac:dyDescent="0.2">
      <c r="A106" s="78" t="s">
        <v>513</v>
      </c>
      <c r="B106" s="93" t="s">
        <v>113</v>
      </c>
      <c r="C106" s="93" t="s">
        <v>113</v>
      </c>
      <c r="D106" s="116" t="s">
        <v>205</v>
      </c>
      <c r="E106" s="116" t="s">
        <v>205</v>
      </c>
      <c r="F106" s="117">
        <v>0.64805400000000002</v>
      </c>
      <c r="G106" s="116">
        <v>0.69110099999999997</v>
      </c>
      <c r="H106" s="116">
        <v>0.64283599999999996</v>
      </c>
    </row>
    <row r="107" spans="1:8" x14ac:dyDescent="0.2">
      <c r="A107" s="78" t="s">
        <v>304</v>
      </c>
      <c r="B107" s="93" t="s">
        <v>113</v>
      </c>
      <c r="C107" s="116">
        <v>1.7574700000000001</v>
      </c>
      <c r="D107" s="116">
        <v>1.290821</v>
      </c>
      <c r="E107" s="116">
        <v>0.364369</v>
      </c>
      <c r="F107" s="105" t="s">
        <v>113</v>
      </c>
      <c r="G107" s="116">
        <v>0.16566900000000001</v>
      </c>
      <c r="H107" s="93" t="s">
        <v>113</v>
      </c>
    </row>
    <row r="108" spans="1:8" x14ac:dyDescent="0.2">
      <c r="A108" s="78" t="s">
        <v>514</v>
      </c>
      <c r="B108" s="93" t="s">
        <v>113</v>
      </c>
      <c r="C108" s="116">
        <v>0.55912399999999995</v>
      </c>
      <c r="D108" s="116">
        <v>0.53861800000000004</v>
      </c>
      <c r="E108" s="116">
        <v>0.39063399999999998</v>
      </c>
      <c r="F108" s="105" t="s">
        <v>113</v>
      </c>
      <c r="G108" s="116">
        <v>0.212809</v>
      </c>
      <c r="H108" s="93" t="s">
        <v>113</v>
      </c>
    </row>
    <row r="109" spans="1:8" x14ac:dyDescent="0.2">
      <c r="A109" s="78" t="s">
        <v>515</v>
      </c>
      <c r="B109" s="93" t="s">
        <v>113</v>
      </c>
      <c r="C109" s="93" t="s">
        <v>113</v>
      </c>
      <c r="D109" s="93" t="s">
        <v>113</v>
      </c>
      <c r="E109" s="116" t="s">
        <v>205</v>
      </c>
      <c r="F109" s="105" t="s">
        <v>113</v>
      </c>
      <c r="G109" s="116">
        <v>0.89129999999999998</v>
      </c>
      <c r="H109" s="93" t="s">
        <v>113</v>
      </c>
    </row>
    <row r="110" spans="1:8" x14ac:dyDescent="0.2">
      <c r="A110" s="78" t="s">
        <v>516</v>
      </c>
      <c r="B110" s="93" t="s">
        <v>113</v>
      </c>
      <c r="C110" s="93" t="s">
        <v>113</v>
      </c>
      <c r="D110" s="93" t="s">
        <v>113</v>
      </c>
      <c r="E110" s="116">
        <v>0.122055</v>
      </c>
      <c r="F110" s="105" t="s">
        <v>113</v>
      </c>
      <c r="G110" s="116">
        <v>0.80760399999999999</v>
      </c>
      <c r="H110" s="93" t="s">
        <v>113</v>
      </c>
    </row>
    <row r="111" spans="1:8" x14ac:dyDescent="0.2">
      <c r="A111" s="78" t="s">
        <v>517</v>
      </c>
      <c r="B111" s="93" t="s">
        <v>113</v>
      </c>
      <c r="C111" s="93" t="s">
        <v>113</v>
      </c>
      <c r="D111" s="93" t="s">
        <v>113</v>
      </c>
      <c r="E111" s="93" t="s">
        <v>113</v>
      </c>
      <c r="F111" s="105" t="s">
        <v>113</v>
      </c>
      <c r="G111" s="93" t="s">
        <v>113</v>
      </c>
      <c r="H111" s="93" t="s">
        <v>113</v>
      </c>
    </row>
    <row r="112" spans="1:8" x14ac:dyDescent="0.2">
      <c r="A112" s="78"/>
      <c r="B112" s="78"/>
      <c r="C112" s="78"/>
      <c r="D112" s="78"/>
      <c r="E112" s="78"/>
      <c r="F112" s="78"/>
      <c r="G112" s="78"/>
      <c r="H112" s="78"/>
    </row>
    <row r="113" spans="1:8" ht="10.5" x14ac:dyDescent="0.2">
      <c r="A113" s="86" t="s">
        <v>519</v>
      </c>
      <c r="B113" s="78"/>
      <c r="C113" s="78"/>
      <c r="D113" s="78"/>
      <c r="E113" s="78"/>
      <c r="F113" s="78"/>
      <c r="G113" s="78"/>
      <c r="H113" s="78"/>
    </row>
    <row r="114" spans="1:8" x14ac:dyDescent="0.2">
      <c r="A114" s="78" t="s">
        <v>31</v>
      </c>
      <c r="B114" s="93" t="s">
        <v>113</v>
      </c>
      <c r="C114" s="93" t="s">
        <v>113</v>
      </c>
      <c r="D114" s="116">
        <v>0.420958</v>
      </c>
      <c r="E114" s="116">
        <v>0.29053699999999999</v>
      </c>
      <c r="F114" s="117">
        <v>0.71131299999999997</v>
      </c>
      <c r="G114" s="116">
        <v>0.71131299999999997</v>
      </c>
      <c r="H114" s="93" t="s">
        <v>113</v>
      </c>
    </row>
    <row r="115" spans="1:8" x14ac:dyDescent="0.2">
      <c r="A115" s="78" t="s">
        <v>33</v>
      </c>
      <c r="B115" s="93" t="s">
        <v>113</v>
      </c>
      <c r="C115" s="93" t="s">
        <v>113</v>
      </c>
      <c r="D115" s="116">
        <v>0.420958</v>
      </c>
      <c r="E115" s="116">
        <v>0.29053699999999999</v>
      </c>
      <c r="F115" s="117">
        <v>0.71131299999999997</v>
      </c>
      <c r="G115" s="116">
        <v>0.71131299999999997</v>
      </c>
      <c r="H115" s="93" t="s">
        <v>113</v>
      </c>
    </row>
    <row r="116" spans="1:8" x14ac:dyDescent="0.2">
      <c r="A116" s="78" t="s">
        <v>503</v>
      </c>
      <c r="B116" s="93" t="s">
        <v>113</v>
      </c>
      <c r="C116" s="93" t="s">
        <v>113</v>
      </c>
      <c r="D116" s="116">
        <v>0.866757</v>
      </c>
      <c r="E116" s="116">
        <v>0.36694599999999999</v>
      </c>
      <c r="F116" s="117">
        <v>-0.23832800000000001</v>
      </c>
      <c r="G116" s="116">
        <v>-0.298203</v>
      </c>
      <c r="H116" s="93" t="s">
        <v>113</v>
      </c>
    </row>
    <row r="117" spans="1:8" x14ac:dyDescent="0.2">
      <c r="A117" s="78" t="s">
        <v>504</v>
      </c>
      <c r="B117" s="93" t="s">
        <v>113</v>
      </c>
      <c r="C117" s="93" t="s">
        <v>113</v>
      </c>
      <c r="D117" s="116" t="s">
        <v>205</v>
      </c>
      <c r="E117" s="116" t="s">
        <v>205</v>
      </c>
      <c r="F117" s="117">
        <v>6.6424999999999998E-2</v>
      </c>
      <c r="G117" s="116">
        <v>-8.2963999999999996E-2</v>
      </c>
      <c r="H117" s="93" t="s">
        <v>113</v>
      </c>
    </row>
    <row r="118" spans="1:8" x14ac:dyDescent="0.2">
      <c r="A118" s="78" t="s">
        <v>505</v>
      </c>
      <c r="B118" s="93" t="s">
        <v>113</v>
      </c>
      <c r="C118" s="93" t="s">
        <v>113</v>
      </c>
      <c r="D118" s="116" t="s">
        <v>205</v>
      </c>
      <c r="E118" s="116" t="s">
        <v>205</v>
      </c>
      <c r="F118" s="117">
        <v>6.6424999999999998E-2</v>
      </c>
      <c r="G118" s="116" t="s">
        <v>205</v>
      </c>
      <c r="H118" s="93" t="s">
        <v>113</v>
      </c>
    </row>
    <row r="119" spans="1:8" x14ac:dyDescent="0.2">
      <c r="A119" s="78" t="s">
        <v>49</v>
      </c>
      <c r="B119" s="93" t="s">
        <v>113</v>
      </c>
      <c r="C119" s="93" t="s">
        <v>113</v>
      </c>
      <c r="D119" s="116" t="s">
        <v>205</v>
      </c>
      <c r="E119" s="116" t="s">
        <v>205</v>
      </c>
      <c r="F119" s="117">
        <v>0.68304600000000004</v>
      </c>
      <c r="G119" s="116" t="s">
        <v>205</v>
      </c>
      <c r="H119" s="93" t="s">
        <v>113</v>
      </c>
    </row>
    <row r="120" spans="1:8" x14ac:dyDescent="0.2">
      <c r="A120" s="78" t="s">
        <v>54</v>
      </c>
      <c r="B120" s="93" t="s">
        <v>113</v>
      </c>
      <c r="C120" s="93" t="s">
        <v>113</v>
      </c>
      <c r="D120" s="116" t="s">
        <v>205</v>
      </c>
      <c r="E120" s="116" t="s">
        <v>205</v>
      </c>
      <c r="F120" s="117">
        <v>0.68304600000000004</v>
      </c>
      <c r="G120" s="116" t="s">
        <v>205</v>
      </c>
      <c r="H120" s="93" t="s">
        <v>113</v>
      </c>
    </row>
    <row r="121" spans="1:8" x14ac:dyDescent="0.2">
      <c r="A121" s="78" t="s">
        <v>506</v>
      </c>
      <c r="B121" s="93" t="s">
        <v>113</v>
      </c>
      <c r="C121" s="93" t="s">
        <v>113</v>
      </c>
      <c r="D121" s="116" t="s">
        <v>205</v>
      </c>
      <c r="E121" s="116" t="s">
        <v>205</v>
      </c>
      <c r="F121" s="117">
        <v>-0.40885100000000002</v>
      </c>
      <c r="G121" s="116" t="s">
        <v>205</v>
      </c>
      <c r="H121" s="93" t="s">
        <v>113</v>
      </c>
    </row>
    <row r="122" spans="1:8" x14ac:dyDescent="0.2">
      <c r="A122" s="78" t="s">
        <v>507</v>
      </c>
      <c r="B122" s="93" t="s">
        <v>113</v>
      </c>
      <c r="C122" s="93" t="s">
        <v>113</v>
      </c>
      <c r="D122" s="116" t="s">
        <v>205</v>
      </c>
      <c r="E122" s="116" t="s">
        <v>205</v>
      </c>
      <c r="F122" s="117">
        <v>0.52360700000000004</v>
      </c>
      <c r="G122" s="116" t="s">
        <v>205</v>
      </c>
      <c r="H122" s="93" t="s">
        <v>113</v>
      </c>
    </row>
    <row r="123" spans="1:8" x14ac:dyDescent="0.2">
      <c r="A123" s="78"/>
      <c r="B123" s="78"/>
      <c r="C123" s="78"/>
      <c r="D123" s="78"/>
      <c r="E123" s="78"/>
      <c r="F123" s="78"/>
      <c r="G123" s="78"/>
      <c r="H123" s="78"/>
    </row>
    <row r="124" spans="1:8" x14ac:dyDescent="0.2">
      <c r="A124" s="78" t="s">
        <v>508</v>
      </c>
      <c r="B124" s="93" t="s">
        <v>113</v>
      </c>
      <c r="C124" s="93" t="s">
        <v>113</v>
      </c>
      <c r="D124" s="93" t="s">
        <v>113</v>
      </c>
      <c r="E124" s="116">
        <v>0.28570299999999998</v>
      </c>
      <c r="F124" s="117">
        <v>1.3334680000000001</v>
      </c>
      <c r="G124" s="116">
        <v>1.3334680000000001</v>
      </c>
      <c r="H124" s="93" t="s">
        <v>113</v>
      </c>
    </row>
    <row r="125" spans="1:8" x14ac:dyDescent="0.2">
      <c r="A125" s="78" t="s">
        <v>509</v>
      </c>
      <c r="B125" s="93" t="s">
        <v>113</v>
      </c>
      <c r="C125" s="93" t="s">
        <v>113</v>
      </c>
      <c r="D125" s="93" t="s">
        <v>113</v>
      </c>
      <c r="E125" s="93" t="s">
        <v>113</v>
      </c>
      <c r="F125" s="105" t="s">
        <v>113</v>
      </c>
      <c r="G125" s="93" t="s">
        <v>113</v>
      </c>
      <c r="H125" s="93" t="s">
        <v>113</v>
      </c>
    </row>
    <row r="126" spans="1:8" x14ac:dyDescent="0.2">
      <c r="A126" s="78" t="s">
        <v>510</v>
      </c>
      <c r="B126" s="93" t="s">
        <v>113</v>
      </c>
      <c r="C126" s="93" t="s">
        <v>113</v>
      </c>
      <c r="D126" s="93" t="s">
        <v>113</v>
      </c>
      <c r="E126" s="116">
        <v>1.6759740000000001</v>
      </c>
      <c r="F126" s="117">
        <v>0.29284399999999999</v>
      </c>
      <c r="G126" s="116">
        <v>0.29284399999999999</v>
      </c>
      <c r="H126" s="93" t="s">
        <v>113</v>
      </c>
    </row>
    <row r="127" spans="1:8" x14ac:dyDescent="0.2">
      <c r="A127" s="78" t="s">
        <v>511</v>
      </c>
      <c r="B127" s="93" t="s">
        <v>113</v>
      </c>
      <c r="C127" s="93" t="s">
        <v>113</v>
      </c>
      <c r="D127" s="93" t="s">
        <v>113</v>
      </c>
      <c r="E127" s="116">
        <v>0.814944</v>
      </c>
      <c r="F127" s="117">
        <v>1.399694</v>
      </c>
      <c r="G127" s="116">
        <v>1.4040619999999999</v>
      </c>
      <c r="H127" s="93" t="s">
        <v>113</v>
      </c>
    </row>
    <row r="128" spans="1:8" x14ac:dyDescent="0.2">
      <c r="A128" s="78"/>
      <c r="B128" s="78"/>
      <c r="C128" s="78"/>
      <c r="D128" s="78"/>
      <c r="E128" s="78"/>
      <c r="F128" s="78"/>
      <c r="G128" s="78"/>
      <c r="H128" s="78"/>
    </row>
    <row r="129" spans="1:8" x14ac:dyDescent="0.2">
      <c r="A129" s="78" t="s">
        <v>512</v>
      </c>
      <c r="B129" s="93" t="s">
        <v>113</v>
      </c>
      <c r="C129" s="93" t="s">
        <v>113</v>
      </c>
      <c r="D129" s="93" t="s">
        <v>113</v>
      </c>
      <c r="E129" s="116" t="s">
        <v>205</v>
      </c>
      <c r="F129" s="117">
        <v>1.1603870000000001</v>
      </c>
      <c r="G129" s="116" t="s">
        <v>205</v>
      </c>
      <c r="H129" s="93" t="s">
        <v>113</v>
      </c>
    </row>
    <row r="130" spans="1:8" x14ac:dyDescent="0.2">
      <c r="A130" s="78" t="s">
        <v>513</v>
      </c>
      <c r="B130" s="93" t="s">
        <v>113</v>
      </c>
      <c r="C130" s="93" t="s">
        <v>113</v>
      </c>
      <c r="D130" s="93" t="s">
        <v>113</v>
      </c>
      <c r="E130" s="116" t="s">
        <v>205</v>
      </c>
      <c r="F130" s="117">
        <v>1.908881</v>
      </c>
      <c r="G130" s="116" t="s">
        <v>205</v>
      </c>
      <c r="H130" s="93" t="s">
        <v>113</v>
      </c>
    </row>
    <row r="131" spans="1:8" x14ac:dyDescent="0.2">
      <c r="A131" s="78" t="s">
        <v>304</v>
      </c>
      <c r="B131" s="93" t="s">
        <v>113</v>
      </c>
      <c r="C131" s="93" t="s">
        <v>113</v>
      </c>
      <c r="D131" s="116">
        <v>1.4254500000000001</v>
      </c>
      <c r="E131" s="116">
        <v>0.73312600000000006</v>
      </c>
      <c r="F131" s="105" t="s">
        <v>113</v>
      </c>
      <c r="G131" s="116">
        <v>0.36616100000000001</v>
      </c>
      <c r="H131" s="93" t="s">
        <v>113</v>
      </c>
    </row>
    <row r="132" spans="1:8" x14ac:dyDescent="0.2">
      <c r="A132" s="78" t="s">
        <v>514</v>
      </c>
      <c r="B132" s="93" t="s">
        <v>113</v>
      </c>
      <c r="C132" s="93" t="s">
        <v>113</v>
      </c>
      <c r="D132" s="116">
        <v>0.439668</v>
      </c>
      <c r="E132" s="116">
        <v>0.55079299999999998</v>
      </c>
      <c r="F132" s="105" t="s">
        <v>113</v>
      </c>
      <c r="G132" s="116">
        <v>0.21768999999999999</v>
      </c>
      <c r="H132" s="93" t="s">
        <v>113</v>
      </c>
    </row>
    <row r="133" spans="1:8" x14ac:dyDescent="0.2">
      <c r="A133" s="78" t="s">
        <v>515</v>
      </c>
      <c r="B133" s="93" t="s">
        <v>113</v>
      </c>
      <c r="C133" s="93" t="s">
        <v>113</v>
      </c>
      <c r="D133" s="93" t="s">
        <v>113</v>
      </c>
      <c r="E133" s="93" t="s">
        <v>113</v>
      </c>
      <c r="F133" s="105" t="s">
        <v>113</v>
      </c>
      <c r="G133" s="116" t="s">
        <v>205</v>
      </c>
      <c r="H133" s="93" t="s">
        <v>113</v>
      </c>
    </row>
    <row r="134" spans="1:8" x14ac:dyDescent="0.2">
      <c r="A134" s="78" t="s">
        <v>516</v>
      </c>
      <c r="B134" s="93" t="s">
        <v>113</v>
      </c>
      <c r="C134" s="93" t="s">
        <v>113</v>
      </c>
      <c r="D134" s="93" t="s">
        <v>113</v>
      </c>
      <c r="E134" s="93" t="s">
        <v>113</v>
      </c>
      <c r="F134" s="105" t="s">
        <v>113</v>
      </c>
      <c r="G134" s="116">
        <v>1.7212559999999999</v>
      </c>
      <c r="H134" s="93" t="s">
        <v>113</v>
      </c>
    </row>
    <row r="135" spans="1:8" x14ac:dyDescent="0.2">
      <c r="A135" s="78" t="s">
        <v>517</v>
      </c>
      <c r="B135" s="93" t="s">
        <v>113</v>
      </c>
      <c r="C135" s="93" t="s">
        <v>113</v>
      </c>
      <c r="D135" s="93" t="s">
        <v>113</v>
      </c>
      <c r="E135" s="93" t="s">
        <v>113</v>
      </c>
      <c r="F135" s="105" t="s">
        <v>113</v>
      </c>
      <c r="G135" s="93" t="s">
        <v>113</v>
      </c>
      <c r="H135" s="93" t="s">
        <v>113</v>
      </c>
    </row>
    <row r="136" spans="1:8" x14ac:dyDescent="0.2">
      <c r="A136" s="78"/>
      <c r="B136" s="78"/>
      <c r="C136" s="78"/>
      <c r="D136" s="78"/>
      <c r="E136" s="78"/>
      <c r="F136" s="78"/>
      <c r="G136" s="78"/>
      <c r="H136" s="78"/>
    </row>
    <row r="137" spans="1:8" ht="10.5" x14ac:dyDescent="0.2">
      <c r="A137" s="86" t="s">
        <v>520</v>
      </c>
      <c r="B137" s="78"/>
      <c r="C137" s="78"/>
      <c r="D137" s="78"/>
      <c r="E137" s="78"/>
      <c r="F137" s="78"/>
      <c r="G137" s="78"/>
      <c r="H137" s="78"/>
    </row>
    <row r="138" spans="1:8" x14ac:dyDescent="0.2">
      <c r="A138" s="78" t="s">
        <v>31</v>
      </c>
      <c r="B138" s="93" t="s">
        <v>113</v>
      </c>
      <c r="C138" s="93" t="s">
        <v>113</v>
      </c>
      <c r="D138" s="93" t="s">
        <v>113</v>
      </c>
      <c r="E138" s="93" t="s">
        <v>113</v>
      </c>
      <c r="F138" s="117">
        <v>0.57403999999999999</v>
      </c>
      <c r="G138" s="116">
        <v>0.57403999999999999</v>
      </c>
      <c r="H138" s="93" t="s">
        <v>113</v>
      </c>
    </row>
    <row r="139" spans="1:8" x14ac:dyDescent="0.2">
      <c r="A139" s="78" t="s">
        <v>33</v>
      </c>
      <c r="B139" s="93" t="s">
        <v>113</v>
      </c>
      <c r="C139" s="93" t="s">
        <v>113</v>
      </c>
      <c r="D139" s="93" t="s">
        <v>113</v>
      </c>
      <c r="E139" s="93" t="s">
        <v>113</v>
      </c>
      <c r="F139" s="117">
        <v>0.57403999999999999</v>
      </c>
      <c r="G139" s="116">
        <v>0.57403999999999999</v>
      </c>
      <c r="H139" s="93" t="s">
        <v>113</v>
      </c>
    </row>
    <row r="140" spans="1:8" x14ac:dyDescent="0.2">
      <c r="A140" s="78" t="s">
        <v>503</v>
      </c>
      <c r="B140" s="93" t="s">
        <v>113</v>
      </c>
      <c r="C140" s="93" t="s">
        <v>113</v>
      </c>
      <c r="D140" s="93" t="s">
        <v>113</v>
      </c>
      <c r="E140" s="93" t="s">
        <v>113</v>
      </c>
      <c r="F140" s="117">
        <v>0.10566</v>
      </c>
      <c r="G140" s="116">
        <v>5.2658000000000003E-2</v>
      </c>
      <c r="H140" s="93" t="s">
        <v>113</v>
      </c>
    </row>
    <row r="141" spans="1:8" x14ac:dyDescent="0.2">
      <c r="A141" s="78" t="s">
        <v>504</v>
      </c>
      <c r="B141" s="93" t="s">
        <v>113</v>
      </c>
      <c r="C141" s="93" t="s">
        <v>113</v>
      </c>
      <c r="D141" s="93" t="s">
        <v>113</v>
      </c>
      <c r="E141" s="93" t="s">
        <v>113</v>
      </c>
      <c r="F141" s="117">
        <v>0.115951</v>
      </c>
      <c r="G141" s="116" t="s">
        <v>205</v>
      </c>
      <c r="H141" s="93" t="s">
        <v>113</v>
      </c>
    </row>
    <row r="142" spans="1:8" x14ac:dyDescent="0.2">
      <c r="A142" s="78" t="s">
        <v>505</v>
      </c>
      <c r="B142" s="93" t="s">
        <v>113</v>
      </c>
      <c r="C142" s="93" t="s">
        <v>113</v>
      </c>
      <c r="D142" s="93" t="s">
        <v>113</v>
      </c>
      <c r="E142" s="93" t="s">
        <v>113</v>
      </c>
      <c r="F142" s="117">
        <v>0.115951</v>
      </c>
      <c r="G142" s="116" t="s">
        <v>205</v>
      </c>
      <c r="H142" s="93" t="s">
        <v>113</v>
      </c>
    </row>
    <row r="143" spans="1:8" x14ac:dyDescent="0.2">
      <c r="A143" s="78" t="s">
        <v>49</v>
      </c>
      <c r="B143" s="93" t="s">
        <v>113</v>
      </c>
      <c r="C143" s="93" t="s">
        <v>113</v>
      </c>
      <c r="D143" s="93" t="s">
        <v>113</v>
      </c>
      <c r="E143" s="93" t="s">
        <v>113</v>
      </c>
      <c r="F143" s="117">
        <v>0.20538100000000001</v>
      </c>
      <c r="G143" s="116" t="s">
        <v>205</v>
      </c>
      <c r="H143" s="93" t="s">
        <v>113</v>
      </c>
    </row>
    <row r="144" spans="1:8" x14ac:dyDescent="0.2">
      <c r="A144" s="78" t="s">
        <v>54</v>
      </c>
      <c r="B144" s="93" t="s">
        <v>113</v>
      </c>
      <c r="C144" s="93" t="s">
        <v>113</v>
      </c>
      <c r="D144" s="93" t="s">
        <v>113</v>
      </c>
      <c r="E144" s="93" t="s">
        <v>113</v>
      </c>
      <c r="F144" s="117">
        <v>0.20538100000000001</v>
      </c>
      <c r="G144" s="116" t="s">
        <v>205</v>
      </c>
      <c r="H144" s="93" t="s">
        <v>113</v>
      </c>
    </row>
    <row r="145" spans="1:8" x14ac:dyDescent="0.2">
      <c r="A145" s="78" t="s">
        <v>506</v>
      </c>
      <c r="B145" s="93" t="s">
        <v>113</v>
      </c>
      <c r="C145" s="93" t="s">
        <v>113</v>
      </c>
      <c r="D145" s="93" t="s">
        <v>113</v>
      </c>
      <c r="E145" s="93" t="s">
        <v>113</v>
      </c>
      <c r="F145" s="117">
        <v>-0.39505899999999999</v>
      </c>
      <c r="G145" s="116" t="s">
        <v>205</v>
      </c>
      <c r="H145" s="93" t="s">
        <v>113</v>
      </c>
    </row>
    <row r="146" spans="1:8" x14ac:dyDescent="0.2">
      <c r="A146" s="78" t="s">
        <v>507</v>
      </c>
      <c r="B146" s="93" t="s">
        <v>113</v>
      </c>
      <c r="C146" s="93" t="s">
        <v>113</v>
      </c>
      <c r="D146" s="93" t="s">
        <v>113</v>
      </c>
      <c r="E146" s="93" t="s">
        <v>113</v>
      </c>
      <c r="F146" s="117">
        <v>0.135604</v>
      </c>
      <c r="G146" s="116" t="s">
        <v>205</v>
      </c>
      <c r="H146" s="93" t="s">
        <v>113</v>
      </c>
    </row>
    <row r="147" spans="1:8" x14ac:dyDescent="0.2">
      <c r="A147" s="78"/>
      <c r="B147" s="78"/>
      <c r="C147" s="78"/>
      <c r="D147" s="78"/>
      <c r="E147" s="78"/>
      <c r="F147" s="78"/>
      <c r="G147" s="78"/>
      <c r="H147" s="78"/>
    </row>
    <row r="148" spans="1:8" x14ac:dyDescent="0.2">
      <c r="A148" s="78" t="s">
        <v>508</v>
      </c>
      <c r="B148" s="93" t="s">
        <v>113</v>
      </c>
      <c r="C148" s="93" t="s">
        <v>113</v>
      </c>
      <c r="D148" s="93" t="s">
        <v>113</v>
      </c>
      <c r="E148" s="93" t="s">
        <v>113</v>
      </c>
      <c r="F148" s="105" t="s">
        <v>113</v>
      </c>
      <c r="G148" s="93" t="s">
        <v>113</v>
      </c>
      <c r="H148" s="93" t="s">
        <v>113</v>
      </c>
    </row>
    <row r="149" spans="1:8" x14ac:dyDescent="0.2">
      <c r="A149" s="78" t="s">
        <v>509</v>
      </c>
      <c r="B149" s="93" t="s">
        <v>113</v>
      </c>
      <c r="C149" s="93" t="s">
        <v>113</v>
      </c>
      <c r="D149" s="93" t="s">
        <v>113</v>
      </c>
      <c r="E149" s="93" t="s">
        <v>113</v>
      </c>
      <c r="F149" s="105" t="s">
        <v>113</v>
      </c>
      <c r="G149" s="93" t="s">
        <v>113</v>
      </c>
      <c r="H149" s="93" t="s">
        <v>113</v>
      </c>
    </row>
    <row r="150" spans="1:8" x14ac:dyDescent="0.2">
      <c r="A150" s="78" t="s">
        <v>510</v>
      </c>
      <c r="B150" s="93" t="s">
        <v>113</v>
      </c>
      <c r="C150" s="93" t="s">
        <v>113</v>
      </c>
      <c r="D150" s="93" t="s">
        <v>113</v>
      </c>
      <c r="E150" s="93" t="s">
        <v>113</v>
      </c>
      <c r="F150" s="105" t="s">
        <v>113</v>
      </c>
      <c r="G150" s="93" t="s">
        <v>113</v>
      </c>
      <c r="H150" s="93" t="s">
        <v>113</v>
      </c>
    </row>
    <row r="151" spans="1:8" x14ac:dyDescent="0.2">
      <c r="A151" s="78" t="s">
        <v>511</v>
      </c>
      <c r="B151" s="93" t="s">
        <v>113</v>
      </c>
      <c r="C151" s="93" t="s">
        <v>113</v>
      </c>
      <c r="D151" s="93" t="s">
        <v>113</v>
      </c>
      <c r="E151" s="93" t="s">
        <v>113</v>
      </c>
      <c r="F151" s="105" t="s">
        <v>113</v>
      </c>
      <c r="G151" s="93" t="s">
        <v>113</v>
      </c>
      <c r="H151" s="93" t="s">
        <v>113</v>
      </c>
    </row>
    <row r="152" spans="1:8" x14ac:dyDescent="0.2">
      <c r="A152" s="78"/>
      <c r="B152" s="78"/>
      <c r="C152" s="78"/>
      <c r="D152" s="78"/>
      <c r="E152" s="78"/>
      <c r="F152" s="78"/>
      <c r="G152" s="78"/>
      <c r="H152" s="78"/>
    </row>
    <row r="153" spans="1:8" x14ac:dyDescent="0.2">
      <c r="A153" s="78" t="s">
        <v>512</v>
      </c>
      <c r="B153" s="93" t="s">
        <v>113</v>
      </c>
      <c r="C153" s="93" t="s">
        <v>113</v>
      </c>
      <c r="D153" s="93" t="s">
        <v>113</v>
      </c>
      <c r="E153" s="93" t="s">
        <v>113</v>
      </c>
      <c r="F153" s="105" t="s">
        <v>113</v>
      </c>
      <c r="G153" s="93" t="s">
        <v>113</v>
      </c>
      <c r="H153" s="93" t="s">
        <v>113</v>
      </c>
    </row>
    <row r="154" spans="1:8" x14ac:dyDescent="0.2">
      <c r="A154" s="78" t="s">
        <v>513</v>
      </c>
      <c r="B154" s="93" t="s">
        <v>113</v>
      </c>
      <c r="C154" s="93" t="s">
        <v>113</v>
      </c>
      <c r="D154" s="93" t="s">
        <v>113</v>
      </c>
      <c r="E154" s="93" t="s">
        <v>113</v>
      </c>
      <c r="F154" s="105" t="s">
        <v>113</v>
      </c>
      <c r="G154" s="93" t="s">
        <v>113</v>
      </c>
      <c r="H154" s="93" t="s">
        <v>113</v>
      </c>
    </row>
    <row r="155" spans="1:8" x14ac:dyDescent="0.2">
      <c r="A155" s="78" t="s">
        <v>304</v>
      </c>
      <c r="B155" s="93" t="s">
        <v>113</v>
      </c>
      <c r="C155" s="93" t="s">
        <v>113</v>
      </c>
      <c r="D155" s="93" t="s">
        <v>113</v>
      </c>
      <c r="E155" s="93" t="s">
        <v>113</v>
      </c>
      <c r="F155" s="105" t="s">
        <v>113</v>
      </c>
      <c r="G155" s="116">
        <v>0.80927899999999997</v>
      </c>
      <c r="H155" s="93" t="s">
        <v>113</v>
      </c>
    </row>
    <row r="156" spans="1:8" x14ac:dyDescent="0.2">
      <c r="A156" s="78" t="s">
        <v>514</v>
      </c>
      <c r="B156" s="93" t="s">
        <v>113</v>
      </c>
      <c r="C156" s="93" t="s">
        <v>113</v>
      </c>
      <c r="D156" s="93" t="s">
        <v>113</v>
      </c>
      <c r="E156" s="93" t="s">
        <v>113</v>
      </c>
      <c r="F156" s="105" t="s">
        <v>113</v>
      </c>
      <c r="G156" s="116">
        <v>0.34423300000000001</v>
      </c>
      <c r="H156" s="93" t="s">
        <v>113</v>
      </c>
    </row>
    <row r="157" spans="1:8" x14ac:dyDescent="0.2">
      <c r="A157" s="78" t="s">
        <v>515</v>
      </c>
      <c r="B157" s="93" t="s">
        <v>113</v>
      </c>
      <c r="C157" s="93" t="s">
        <v>113</v>
      </c>
      <c r="D157" s="93" t="s">
        <v>113</v>
      </c>
      <c r="E157" s="93" t="s">
        <v>113</v>
      </c>
      <c r="F157" s="105" t="s">
        <v>113</v>
      </c>
      <c r="G157" s="93" t="s">
        <v>113</v>
      </c>
      <c r="H157" s="93" t="s">
        <v>113</v>
      </c>
    </row>
    <row r="158" spans="1:8" x14ac:dyDescent="0.2">
      <c r="A158" s="78" t="s">
        <v>516</v>
      </c>
      <c r="B158" s="93" t="s">
        <v>113</v>
      </c>
      <c r="C158" s="93" t="s">
        <v>113</v>
      </c>
      <c r="D158" s="93" t="s">
        <v>113</v>
      </c>
      <c r="E158" s="93" t="s">
        <v>113</v>
      </c>
      <c r="F158" s="105" t="s">
        <v>113</v>
      </c>
      <c r="G158" s="93" t="s">
        <v>113</v>
      </c>
      <c r="H158" s="93" t="s">
        <v>113</v>
      </c>
    </row>
    <row r="159" spans="1:8" x14ac:dyDescent="0.2">
      <c r="A159" s="78" t="s">
        <v>517</v>
      </c>
      <c r="B159" s="93" t="s">
        <v>113</v>
      </c>
      <c r="C159" s="93" t="s">
        <v>113</v>
      </c>
      <c r="D159" s="93" t="s">
        <v>113</v>
      </c>
      <c r="E159" s="93" t="s">
        <v>113</v>
      </c>
      <c r="F159" s="105" t="s">
        <v>113</v>
      </c>
      <c r="G159" s="93" t="s">
        <v>113</v>
      </c>
      <c r="H159" s="93" t="s">
        <v>113</v>
      </c>
    </row>
    <row r="160" spans="1:8" x14ac:dyDescent="0.2">
      <c r="A160" s="78"/>
      <c r="B160" s="78"/>
      <c r="C160" s="78"/>
      <c r="D160" s="78"/>
      <c r="E160" s="78"/>
      <c r="F160" s="78"/>
      <c r="G160" s="78"/>
      <c r="H160" s="78"/>
    </row>
    <row r="161" spans="1:8" ht="60" x14ac:dyDescent="0.2">
      <c r="A161" s="156" t="s">
        <v>243</v>
      </c>
      <c r="B161" s="95"/>
      <c r="C161" s="95"/>
      <c r="D161" s="95"/>
      <c r="E161" s="95"/>
      <c r="F161" s="95"/>
      <c r="G161" s="95"/>
      <c r="H161" s="95"/>
    </row>
  </sheetData>
  <pageMargins left="0.2" right="0.2" top="0.5" bottom="0.5" header="0.5" footer="0.5"/>
  <pageSetup fitToWidth="0" fitToHeight="0" orientation="landscape" horizontalDpi="0"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634D8-15D3-4671-A7A5-DED07679C6D5}">
  <sheetPr>
    <outlinePr summaryBelow="0" summaryRight="0"/>
    <pageSetUpPr autoPageBreaks="0"/>
  </sheetPr>
  <dimension ref="A5:IU106"/>
  <sheetViews>
    <sheetView topLeftCell="A42" zoomScale="73" workbookViewId="0">
      <selection activeCell="B83" sqref="B83"/>
    </sheetView>
  </sheetViews>
  <sheetFormatPr defaultRowHeight="10" x14ac:dyDescent="0.2"/>
  <cols>
    <col min="1" max="1" width="45.81640625" style="75" customWidth="1"/>
    <col min="2" max="8" width="14.81640625" style="75" customWidth="1"/>
    <col min="9" max="10" width="9.26953125" style="75" customWidth="1"/>
    <col min="11" max="256" width="8.7265625" style="75"/>
    <col min="257" max="257" width="45.81640625" style="75" customWidth="1"/>
    <col min="258" max="264" width="14.81640625" style="75" customWidth="1"/>
    <col min="265" max="266" width="9.26953125" style="75" customWidth="1"/>
    <col min="267" max="512" width="8.7265625" style="75"/>
    <col min="513" max="513" width="45.81640625" style="75" customWidth="1"/>
    <col min="514" max="520" width="14.81640625" style="75" customWidth="1"/>
    <col min="521" max="522" width="9.26953125" style="75" customWidth="1"/>
    <col min="523" max="768" width="8.7265625" style="75"/>
    <col min="769" max="769" width="45.81640625" style="75" customWidth="1"/>
    <col min="770" max="776" width="14.81640625" style="75" customWidth="1"/>
    <col min="777" max="778" width="9.26953125" style="75" customWidth="1"/>
    <col min="779" max="1024" width="8.7265625" style="75"/>
    <col min="1025" max="1025" width="45.81640625" style="75" customWidth="1"/>
    <col min="1026" max="1032" width="14.81640625" style="75" customWidth="1"/>
    <col min="1033" max="1034" width="9.26953125" style="75" customWidth="1"/>
    <col min="1035" max="1280" width="8.7265625" style="75"/>
    <col min="1281" max="1281" width="45.81640625" style="75" customWidth="1"/>
    <col min="1282" max="1288" width="14.81640625" style="75" customWidth="1"/>
    <col min="1289" max="1290" width="9.26953125" style="75" customWidth="1"/>
    <col min="1291" max="1536" width="8.7265625" style="75"/>
    <col min="1537" max="1537" width="45.81640625" style="75" customWidth="1"/>
    <col min="1538" max="1544" width="14.81640625" style="75" customWidth="1"/>
    <col min="1545" max="1546" width="9.26953125" style="75" customWidth="1"/>
    <col min="1547" max="1792" width="8.7265625" style="75"/>
    <col min="1793" max="1793" width="45.81640625" style="75" customWidth="1"/>
    <col min="1794" max="1800" width="14.81640625" style="75" customWidth="1"/>
    <col min="1801" max="1802" width="9.26953125" style="75" customWidth="1"/>
    <col min="1803" max="2048" width="8.7265625" style="75"/>
    <col min="2049" max="2049" width="45.81640625" style="75" customWidth="1"/>
    <col min="2050" max="2056" width="14.81640625" style="75" customWidth="1"/>
    <col min="2057" max="2058" width="9.26953125" style="75" customWidth="1"/>
    <col min="2059" max="2304" width="8.7265625" style="75"/>
    <col min="2305" max="2305" width="45.81640625" style="75" customWidth="1"/>
    <col min="2306" max="2312" width="14.81640625" style="75" customWidth="1"/>
    <col min="2313" max="2314" width="9.26953125" style="75" customWidth="1"/>
    <col min="2315" max="2560" width="8.7265625" style="75"/>
    <col min="2561" max="2561" width="45.81640625" style="75" customWidth="1"/>
    <col min="2562" max="2568" width="14.81640625" style="75" customWidth="1"/>
    <col min="2569" max="2570" width="9.26953125" style="75" customWidth="1"/>
    <col min="2571" max="2816" width="8.7265625" style="75"/>
    <col min="2817" max="2817" width="45.81640625" style="75" customWidth="1"/>
    <col min="2818" max="2824" width="14.81640625" style="75" customWidth="1"/>
    <col min="2825" max="2826" width="9.26953125" style="75" customWidth="1"/>
    <col min="2827" max="3072" width="8.7265625" style="75"/>
    <col min="3073" max="3073" width="45.81640625" style="75" customWidth="1"/>
    <col min="3074" max="3080" width="14.81640625" style="75" customWidth="1"/>
    <col min="3081" max="3082" width="9.26953125" style="75" customWidth="1"/>
    <col min="3083" max="3328" width="8.7265625" style="75"/>
    <col min="3329" max="3329" width="45.81640625" style="75" customWidth="1"/>
    <col min="3330" max="3336" width="14.81640625" style="75" customWidth="1"/>
    <col min="3337" max="3338" width="9.26953125" style="75" customWidth="1"/>
    <col min="3339" max="3584" width="8.7265625" style="75"/>
    <col min="3585" max="3585" width="45.81640625" style="75" customWidth="1"/>
    <col min="3586" max="3592" width="14.81640625" style="75" customWidth="1"/>
    <col min="3593" max="3594" width="9.26953125" style="75" customWidth="1"/>
    <col min="3595" max="3840" width="8.7265625" style="75"/>
    <col min="3841" max="3841" width="45.81640625" style="75" customWidth="1"/>
    <col min="3842" max="3848" width="14.81640625" style="75" customWidth="1"/>
    <col min="3849" max="3850" width="9.26953125" style="75" customWidth="1"/>
    <col min="3851" max="4096" width="8.7265625" style="75"/>
    <col min="4097" max="4097" width="45.81640625" style="75" customWidth="1"/>
    <col min="4098" max="4104" width="14.81640625" style="75" customWidth="1"/>
    <col min="4105" max="4106" width="9.26953125" style="75" customWidth="1"/>
    <col min="4107" max="4352" width="8.7265625" style="75"/>
    <col min="4353" max="4353" width="45.81640625" style="75" customWidth="1"/>
    <col min="4354" max="4360" width="14.81640625" style="75" customWidth="1"/>
    <col min="4361" max="4362" width="9.26953125" style="75" customWidth="1"/>
    <col min="4363" max="4608" width="8.7265625" style="75"/>
    <col min="4609" max="4609" width="45.81640625" style="75" customWidth="1"/>
    <col min="4610" max="4616" width="14.81640625" style="75" customWidth="1"/>
    <col min="4617" max="4618" width="9.26953125" style="75" customWidth="1"/>
    <col min="4619" max="4864" width="8.7265625" style="75"/>
    <col min="4865" max="4865" width="45.81640625" style="75" customWidth="1"/>
    <col min="4866" max="4872" width="14.81640625" style="75" customWidth="1"/>
    <col min="4873" max="4874" width="9.26953125" style="75" customWidth="1"/>
    <col min="4875" max="5120" width="8.7265625" style="75"/>
    <col min="5121" max="5121" width="45.81640625" style="75" customWidth="1"/>
    <col min="5122" max="5128" width="14.81640625" style="75" customWidth="1"/>
    <col min="5129" max="5130" width="9.26953125" style="75" customWidth="1"/>
    <col min="5131" max="5376" width="8.7265625" style="75"/>
    <col min="5377" max="5377" width="45.81640625" style="75" customWidth="1"/>
    <col min="5378" max="5384" width="14.81640625" style="75" customWidth="1"/>
    <col min="5385" max="5386" width="9.26953125" style="75" customWidth="1"/>
    <col min="5387" max="5632" width="8.7265625" style="75"/>
    <col min="5633" max="5633" width="45.81640625" style="75" customWidth="1"/>
    <col min="5634" max="5640" width="14.81640625" style="75" customWidth="1"/>
    <col min="5641" max="5642" width="9.26953125" style="75" customWidth="1"/>
    <col min="5643" max="5888" width="8.7265625" style="75"/>
    <col min="5889" max="5889" width="45.81640625" style="75" customWidth="1"/>
    <col min="5890" max="5896" width="14.81640625" style="75" customWidth="1"/>
    <col min="5897" max="5898" width="9.26953125" style="75" customWidth="1"/>
    <col min="5899" max="6144" width="8.7265625" style="75"/>
    <col min="6145" max="6145" width="45.81640625" style="75" customWidth="1"/>
    <col min="6146" max="6152" width="14.81640625" style="75" customWidth="1"/>
    <col min="6153" max="6154" width="9.26953125" style="75" customWidth="1"/>
    <col min="6155" max="6400" width="8.7265625" style="75"/>
    <col min="6401" max="6401" width="45.81640625" style="75" customWidth="1"/>
    <col min="6402" max="6408" width="14.81640625" style="75" customWidth="1"/>
    <col min="6409" max="6410" width="9.26953125" style="75" customWidth="1"/>
    <col min="6411" max="6656" width="8.7265625" style="75"/>
    <col min="6657" max="6657" width="45.81640625" style="75" customWidth="1"/>
    <col min="6658" max="6664" width="14.81640625" style="75" customWidth="1"/>
    <col min="6665" max="6666" width="9.26953125" style="75" customWidth="1"/>
    <col min="6667" max="6912" width="8.7265625" style="75"/>
    <col min="6913" max="6913" width="45.81640625" style="75" customWidth="1"/>
    <col min="6914" max="6920" width="14.81640625" style="75" customWidth="1"/>
    <col min="6921" max="6922" width="9.26953125" style="75" customWidth="1"/>
    <col min="6923" max="7168" width="8.7265625" style="75"/>
    <col min="7169" max="7169" width="45.81640625" style="75" customWidth="1"/>
    <col min="7170" max="7176" width="14.81640625" style="75" customWidth="1"/>
    <col min="7177" max="7178" width="9.26953125" style="75" customWidth="1"/>
    <col min="7179" max="7424" width="8.7265625" style="75"/>
    <col min="7425" max="7425" width="45.81640625" style="75" customWidth="1"/>
    <col min="7426" max="7432" width="14.81640625" style="75" customWidth="1"/>
    <col min="7433" max="7434" width="9.26953125" style="75" customWidth="1"/>
    <col min="7435" max="7680" width="8.7265625" style="75"/>
    <col min="7681" max="7681" width="45.81640625" style="75" customWidth="1"/>
    <col min="7682" max="7688" width="14.81640625" style="75" customWidth="1"/>
    <col min="7689" max="7690" width="9.26953125" style="75" customWidth="1"/>
    <col min="7691" max="7936" width="8.7265625" style="75"/>
    <col min="7937" max="7937" width="45.81640625" style="75" customWidth="1"/>
    <col min="7938" max="7944" width="14.81640625" style="75" customWidth="1"/>
    <col min="7945" max="7946" width="9.26953125" style="75" customWidth="1"/>
    <col min="7947" max="8192" width="8.7265625" style="75"/>
    <col min="8193" max="8193" width="45.81640625" style="75" customWidth="1"/>
    <col min="8194" max="8200" width="14.81640625" style="75" customWidth="1"/>
    <col min="8201" max="8202" width="9.26953125" style="75" customWidth="1"/>
    <col min="8203" max="8448" width="8.7265625" style="75"/>
    <col min="8449" max="8449" width="45.81640625" style="75" customWidth="1"/>
    <col min="8450" max="8456" width="14.81640625" style="75" customWidth="1"/>
    <col min="8457" max="8458" width="9.26953125" style="75" customWidth="1"/>
    <col min="8459" max="8704" width="8.7265625" style="75"/>
    <col min="8705" max="8705" width="45.81640625" style="75" customWidth="1"/>
    <col min="8706" max="8712" width="14.81640625" style="75" customWidth="1"/>
    <col min="8713" max="8714" width="9.26953125" style="75" customWidth="1"/>
    <col min="8715" max="8960" width="8.7265625" style="75"/>
    <col min="8961" max="8961" width="45.81640625" style="75" customWidth="1"/>
    <col min="8962" max="8968" width="14.81640625" style="75" customWidth="1"/>
    <col min="8969" max="8970" width="9.26953125" style="75" customWidth="1"/>
    <col min="8971" max="9216" width="8.7265625" style="75"/>
    <col min="9217" max="9217" width="45.81640625" style="75" customWidth="1"/>
    <col min="9218" max="9224" width="14.81640625" style="75" customWidth="1"/>
    <col min="9225" max="9226" width="9.26953125" style="75" customWidth="1"/>
    <col min="9227" max="9472" width="8.7265625" style="75"/>
    <col min="9473" max="9473" width="45.81640625" style="75" customWidth="1"/>
    <col min="9474" max="9480" width="14.81640625" style="75" customWidth="1"/>
    <col min="9481" max="9482" width="9.26953125" style="75" customWidth="1"/>
    <col min="9483" max="9728" width="8.7265625" style="75"/>
    <col min="9729" max="9729" width="45.81640625" style="75" customWidth="1"/>
    <col min="9730" max="9736" width="14.81640625" style="75" customWidth="1"/>
    <col min="9737" max="9738" width="9.26953125" style="75" customWidth="1"/>
    <col min="9739" max="9984" width="8.7265625" style="75"/>
    <col min="9985" max="9985" width="45.81640625" style="75" customWidth="1"/>
    <col min="9986" max="9992" width="14.81640625" style="75" customWidth="1"/>
    <col min="9993" max="9994" width="9.26953125" style="75" customWidth="1"/>
    <col min="9995" max="10240" width="8.7265625" style="75"/>
    <col min="10241" max="10241" width="45.81640625" style="75" customWidth="1"/>
    <col min="10242" max="10248" width="14.81640625" style="75" customWidth="1"/>
    <col min="10249" max="10250" width="9.26953125" style="75" customWidth="1"/>
    <col min="10251" max="10496" width="8.7265625" style="75"/>
    <col min="10497" max="10497" width="45.81640625" style="75" customWidth="1"/>
    <col min="10498" max="10504" width="14.81640625" style="75" customWidth="1"/>
    <col min="10505" max="10506" width="9.26953125" style="75" customWidth="1"/>
    <col min="10507" max="10752" width="8.7265625" style="75"/>
    <col min="10753" max="10753" width="45.81640625" style="75" customWidth="1"/>
    <col min="10754" max="10760" width="14.81640625" style="75" customWidth="1"/>
    <col min="10761" max="10762" width="9.26953125" style="75" customWidth="1"/>
    <col min="10763" max="11008" width="8.7265625" style="75"/>
    <col min="11009" max="11009" width="45.81640625" style="75" customWidth="1"/>
    <col min="11010" max="11016" width="14.81640625" style="75" customWidth="1"/>
    <col min="11017" max="11018" width="9.26953125" style="75" customWidth="1"/>
    <col min="11019" max="11264" width="8.7265625" style="75"/>
    <col min="11265" max="11265" width="45.81640625" style="75" customWidth="1"/>
    <col min="11266" max="11272" width="14.81640625" style="75" customWidth="1"/>
    <col min="11273" max="11274" width="9.26953125" style="75" customWidth="1"/>
    <col min="11275" max="11520" width="8.7265625" style="75"/>
    <col min="11521" max="11521" width="45.81640625" style="75" customWidth="1"/>
    <col min="11522" max="11528" width="14.81640625" style="75" customWidth="1"/>
    <col min="11529" max="11530" width="9.26953125" style="75" customWidth="1"/>
    <col min="11531" max="11776" width="8.7265625" style="75"/>
    <col min="11777" max="11777" width="45.81640625" style="75" customWidth="1"/>
    <col min="11778" max="11784" width="14.81640625" style="75" customWidth="1"/>
    <col min="11785" max="11786" width="9.26953125" style="75" customWidth="1"/>
    <col min="11787" max="12032" width="8.7265625" style="75"/>
    <col min="12033" max="12033" width="45.81640625" style="75" customWidth="1"/>
    <col min="12034" max="12040" width="14.81640625" style="75" customWidth="1"/>
    <col min="12041" max="12042" width="9.26953125" style="75" customWidth="1"/>
    <col min="12043" max="12288" width="8.7265625" style="75"/>
    <col min="12289" max="12289" width="45.81640625" style="75" customWidth="1"/>
    <col min="12290" max="12296" width="14.81640625" style="75" customWidth="1"/>
    <col min="12297" max="12298" width="9.26953125" style="75" customWidth="1"/>
    <col min="12299" max="12544" width="8.7265625" style="75"/>
    <col min="12545" max="12545" width="45.81640625" style="75" customWidth="1"/>
    <col min="12546" max="12552" width="14.81640625" style="75" customWidth="1"/>
    <col min="12553" max="12554" width="9.26953125" style="75" customWidth="1"/>
    <col min="12555" max="12800" width="8.7265625" style="75"/>
    <col min="12801" max="12801" width="45.81640625" style="75" customWidth="1"/>
    <col min="12802" max="12808" width="14.81640625" style="75" customWidth="1"/>
    <col min="12809" max="12810" width="9.26953125" style="75" customWidth="1"/>
    <col min="12811" max="13056" width="8.7265625" style="75"/>
    <col min="13057" max="13057" width="45.81640625" style="75" customWidth="1"/>
    <col min="13058" max="13064" width="14.81640625" style="75" customWidth="1"/>
    <col min="13065" max="13066" width="9.26953125" style="75" customWidth="1"/>
    <col min="13067" max="13312" width="8.7265625" style="75"/>
    <col min="13313" max="13313" width="45.81640625" style="75" customWidth="1"/>
    <col min="13314" max="13320" width="14.81640625" style="75" customWidth="1"/>
    <col min="13321" max="13322" width="9.26953125" style="75" customWidth="1"/>
    <col min="13323" max="13568" width="8.7265625" style="75"/>
    <col min="13569" max="13569" width="45.81640625" style="75" customWidth="1"/>
    <col min="13570" max="13576" width="14.81640625" style="75" customWidth="1"/>
    <col min="13577" max="13578" width="9.26953125" style="75" customWidth="1"/>
    <col min="13579" max="13824" width="8.7265625" style="75"/>
    <col min="13825" max="13825" width="45.81640625" style="75" customWidth="1"/>
    <col min="13826" max="13832" width="14.81640625" style="75" customWidth="1"/>
    <col min="13833" max="13834" width="9.26953125" style="75" customWidth="1"/>
    <col min="13835" max="14080" width="8.7265625" style="75"/>
    <col min="14081" max="14081" width="45.81640625" style="75" customWidth="1"/>
    <col min="14082" max="14088" width="14.81640625" style="75" customWidth="1"/>
    <col min="14089" max="14090" width="9.26953125" style="75" customWidth="1"/>
    <col min="14091" max="14336" width="8.7265625" style="75"/>
    <col min="14337" max="14337" width="45.81640625" style="75" customWidth="1"/>
    <col min="14338" max="14344" width="14.81640625" style="75" customWidth="1"/>
    <col min="14345" max="14346" width="9.26953125" style="75" customWidth="1"/>
    <col min="14347" max="14592" width="8.7265625" style="75"/>
    <col min="14593" max="14593" width="45.81640625" style="75" customWidth="1"/>
    <col min="14594" max="14600" width="14.81640625" style="75" customWidth="1"/>
    <col min="14601" max="14602" width="9.26953125" style="75" customWidth="1"/>
    <col min="14603" max="14848" width="8.7265625" style="75"/>
    <col min="14849" max="14849" width="45.81640625" style="75" customWidth="1"/>
    <col min="14850" max="14856" width="14.81640625" style="75" customWidth="1"/>
    <col min="14857" max="14858" width="9.26953125" style="75" customWidth="1"/>
    <col min="14859" max="15104" width="8.7265625" style="75"/>
    <col min="15105" max="15105" width="45.81640625" style="75" customWidth="1"/>
    <col min="15106" max="15112" width="14.81640625" style="75" customWidth="1"/>
    <col min="15113" max="15114" width="9.26953125" style="75" customWidth="1"/>
    <col min="15115" max="15360" width="8.7265625" style="75"/>
    <col min="15361" max="15361" width="45.81640625" style="75" customWidth="1"/>
    <col min="15362" max="15368" width="14.81640625" style="75" customWidth="1"/>
    <col min="15369" max="15370" width="9.26953125" style="75" customWidth="1"/>
    <col min="15371" max="15616" width="8.7265625" style="75"/>
    <col min="15617" max="15617" width="45.81640625" style="75" customWidth="1"/>
    <col min="15618" max="15624" width="14.81640625" style="75" customWidth="1"/>
    <col min="15625" max="15626" width="9.26953125" style="75" customWidth="1"/>
    <col min="15627" max="15872" width="8.7265625" style="75"/>
    <col min="15873" max="15873" width="45.81640625" style="75" customWidth="1"/>
    <col min="15874" max="15880" width="14.81640625" style="75" customWidth="1"/>
    <col min="15881" max="15882" width="9.26953125" style="75" customWidth="1"/>
    <col min="15883" max="16128" width="8.7265625" style="75"/>
    <col min="16129" max="16129" width="45.81640625" style="75" customWidth="1"/>
    <col min="16130" max="16136" width="14.81640625" style="75" customWidth="1"/>
    <col min="16137" max="16138" width="9.26953125" style="75" customWidth="1"/>
    <col min="16139" max="16384" width="8.7265625" style="75"/>
  </cols>
  <sheetData>
    <row r="5" spans="1:255" ht="17" x14ac:dyDescent="0.35">
      <c r="A5" s="74" t="s">
        <v>244</v>
      </c>
    </row>
    <row r="7" spans="1:255" ht="10.5" x14ac:dyDescent="0.25">
      <c r="A7" s="76" t="s">
        <v>245</v>
      </c>
      <c r="B7" s="77" t="s">
        <v>246</v>
      </c>
      <c r="C7" s="75" t="s">
        <v>247</v>
      </c>
      <c r="D7" s="78" t="s">
        <v>177</v>
      </c>
      <c r="E7" s="77" t="s">
        <v>248</v>
      </c>
      <c r="F7" s="75" t="s">
        <v>249</v>
      </c>
    </row>
    <row r="8" spans="1:255" ht="10.5" x14ac:dyDescent="0.25">
      <c r="A8" s="78"/>
      <c r="B8" s="77" t="s">
        <v>250</v>
      </c>
      <c r="C8" s="75" t="s">
        <v>251</v>
      </c>
      <c r="D8" s="78" t="s">
        <v>177</v>
      </c>
      <c r="E8" s="77" t="s">
        <v>180</v>
      </c>
      <c r="F8" s="75" t="s">
        <v>181</v>
      </c>
    </row>
    <row r="9" spans="1:255" ht="10.5" x14ac:dyDescent="0.25">
      <c r="A9" s="78"/>
      <c r="B9" s="77" t="s">
        <v>175</v>
      </c>
      <c r="C9" s="75" t="s">
        <v>252</v>
      </c>
      <c r="D9" s="78" t="s">
        <v>177</v>
      </c>
      <c r="E9" s="77" t="s">
        <v>178</v>
      </c>
      <c r="F9" s="75" t="s">
        <v>179</v>
      </c>
    </row>
    <row r="10" spans="1:255" ht="10.5" x14ac:dyDescent="0.25">
      <c r="A10" s="78"/>
      <c r="B10" s="77" t="s">
        <v>182</v>
      </c>
      <c r="C10" s="75" t="s">
        <v>183</v>
      </c>
      <c r="D10" s="78" t="s">
        <v>177</v>
      </c>
      <c r="E10" s="77" t="s">
        <v>184</v>
      </c>
      <c r="F10" s="79" t="s">
        <v>185</v>
      </c>
    </row>
    <row r="11" spans="1:255" ht="10.5" x14ac:dyDescent="0.25">
      <c r="A11" s="78"/>
      <c r="B11" s="77" t="s">
        <v>253</v>
      </c>
      <c r="C11" s="75" t="s">
        <v>254</v>
      </c>
      <c r="D11" s="78" t="s">
        <v>177</v>
      </c>
      <c r="E11" s="101"/>
      <c r="F11" s="101"/>
    </row>
    <row r="14" spans="1:255" x14ac:dyDescent="0.2">
      <c r="A14" s="80" t="s">
        <v>25</v>
      </c>
      <c r="B14" s="80"/>
      <c r="C14" s="80"/>
      <c r="D14" s="80"/>
      <c r="E14" s="80"/>
      <c r="F14" s="80"/>
      <c r="G14" s="80"/>
      <c r="H14" s="80"/>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c r="IU14" s="81"/>
    </row>
    <row r="15" spans="1:255" ht="42" x14ac:dyDescent="0.25">
      <c r="A15" s="82" t="s">
        <v>0</v>
      </c>
      <c r="B15" s="83" t="s">
        <v>1</v>
      </c>
      <c r="C15" s="83" t="s">
        <v>2</v>
      </c>
      <c r="D15" s="83" t="s">
        <v>3</v>
      </c>
      <c r="E15" s="83" t="s">
        <v>4</v>
      </c>
      <c r="F15" s="102" t="s">
        <v>5</v>
      </c>
      <c r="G15" s="83" t="s">
        <v>5</v>
      </c>
      <c r="H15" s="83" t="s">
        <v>7</v>
      </c>
    </row>
    <row r="16" spans="1:255" x14ac:dyDescent="0.2">
      <c r="A16" s="84" t="s">
        <v>26</v>
      </c>
      <c r="B16" s="85" t="s">
        <v>27</v>
      </c>
      <c r="C16" s="85" t="s">
        <v>27</v>
      </c>
      <c r="D16" s="85" t="s">
        <v>27</v>
      </c>
      <c r="E16" s="85" t="s">
        <v>27</v>
      </c>
      <c r="F16" s="103" t="s">
        <v>27</v>
      </c>
      <c r="G16" s="85" t="s">
        <v>27</v>
      </c>
      <c r="H16" s="85" t="s">
        <v>27</v>
      </c>
    </row>
    <row r="17" spans="1:8" ht="10.5" x14ac:dyDescent="0.2">
      <c r="A17" s="86" t="s">
        <v>28</v>
      </c>
      <c r="B17" s="78"/>
      <c r="C17" s="78"/>
      <c r="D17" s="78"/>
      <c r="E17" s="78"/>
      <c r="F17" s="78"/>
      <c r="G17" s="78"/>
      <c r="H17" s="78"/>
    </row>
    <row r="18" spans="1:8" x14ac:dyDescent="0.2">
      <c r="A18" s="78" t="s">
        <v>6</v>
      </c>
      <c r="B18" s="94">
        <v>23.478000000000002</v>
      </c>
      <c r="C18" s="94">
        <v>33.061999999999998</v>
      </c>
      <c r="D18" s="94">
        <v>49.201999999999998</v>
      </c>
      <c r="E18" s="94">
        <v>50.463000000000001</v>
      </c>
      <c r="F18" s="104">
        <v>165.69800000000001</v>
      </c>
      <c r="G18" s="94">
        <v>165.69800000000001</v>
      </c>
      <c r="H18" s="94">
        <v>201.98099999999999</v>
      </c>
    </row>
    <row r="19" spans="1:8" x14ac:dyDescent="0.2">
      <c r="A19" s="78" t="s">
        <v>29</v>
      </c>
      <c r="B19" s="94" t="s">
        <v>30</v>
      </c>
      <c r="C19" s="94" t="s">
        <v>30</v>
      </c>
      <c r="D19" s="94" t="s">
        <v>30</v>
      </c>
      <c r="E19" s="94" t="s">
        <v>30</v>
      </c>
      <c r="F19" s="105" t="s">
        <v>30</v>
      </c>
      <c r="G19" s="94" t="s">
        <v>30</v>
      </c>
      <c r="H19" s="94" t="s">
        <v>30</v>
      </c>
    </row>
    <row r="20" spans="1:8" ht="10.5" x14ac:dyDescent="0.2">
      <c r="A20" s="86" t="s">
        <v>31</v>
      </c>
      <c r="B20" s="106">
        <v>23.478000000000002</v>
      </c>
      <c r="C20" s="106">
        <v>33.061999999999998</v>
      </c>
      <c r="D20" s="106">
        <v>49.201999999999998</v>
      </c>
      <c r="E20" s="106">
        <v>50.463000000000001</v>
      </c>
      <c r="F20" s="107">
        <v>165.69800000000001</v>
      </c>
      <c r="G20" s="106">
        <v>165.69800000000001</v>
      </c>
      <c r="H20" s="106">
        <v>201.98099999999999</v>
      </c>
    </row>
    <row r="21" spans="1:8" x14ac:dyDescent="0.2">
      <c r="A21" s="78"/>
      <c r="B21" s="78"/>
      <c r="C21" s="78"/>
      <c r="D21" s="78"/>
      <c r="E21" s="78"/>
      <c r="F21" s="78"/>
      <c r="G21" s="78"/>
      <c r="H21" s="78"/>
    </row>
    <row r="22" spans="1:8" x14ac:dyDescent="0.2">
      <c r="A22" s="78" t="s">
        <v>32</v>
      </c>
      <c r="B22" s="94" t="s">
        <v>30</v>
      </c>
      <c r="C22" s="94" t="s">
        <v>30</v>
      </c>
      <c r="D22" s="94" t="s">
        <v>30</v>
      </c>
      <c r="E22" s="94" t="s">
        <v>30</v>
      </c>
      <c r="F22" s="105" t="s">
        <v>30</v>
      </c>
      <c r="G22" s="94" t="s">
        <v>30</v>
      </c>
      <c r="H22" s="94" t="s">
        <v>30</v>
      </c>
    </row>
    <row r="23" spans="1:8" ht="10.5" x14ac:dyDescent="0.2">
      <c r="A23" s="86" t="s">
        <v>33</v>
      </c>
      <c r="B23" s="106">
        <v>23.478000000000002</v>
      </c>
      <c r="C23" s="106">
        <v>33.061999999999998</v>
      </c>
      <c r="D23" s="106">
        <v>49.201999999999998</v>
      </c>
      <c r="E23" s="106">
        <v>50.463000000000001</v>
      </c>
      <c r="F23" s="107">
        <v>165.69800000000001</v>
      </c>
      <c r="G23" s="106">
        <v>165.69800000000001</v>
      </c>
      <c r="H23" s="106">
        <v>201.98099999999999</v>
      </c>
    </row>
    <row r="24" spans="1:8" x14ac:dyDescent="0.2">
      <c r="A24" s="78"/>
      <c r="B24" s="78"/>
      <c r="C24" s="78"/>
      <c r="D24" s="78"/>
      <c r="E24" s="78"/>
      <c r="F24" s="78"/>
      <c r="G24" s="78"/>
      <c r="H24" s="78"/>
    </row>
    <row r="25" spans="1:8" x14ac:dyDescent="0.2">
      <c r="A25" s="78" t="s">
        <v>17</v>
      </c>
      <c r="B25" s="94">
        <v>10.923999999999999</v>
      </c>
      <c r="C25" s="94">
        <v>11.19</v>
      </c>
      <c r="D25" s="94">
        <v>15.664</v>
      </c>
      <c r="E25" s="94">
        <v>23.738</v>
      </c>
      <c r="F25" s="104">
        <v>126.249</v>
      </c>
      <c r="G25" s="94">
        <v>126.249</v>
      </c>
      <c r="H25" s="94">
        <v>153.78899999999999</v>
      </c>
    </row>
    <row r="26" spans="1:8" x14ac:dyDescent="0.2">
      <c r="A26" s="78" t="s">
        <v>18</v>
      </c>
      <c r="B26" s="94">
        <v>5.782</v>
      </c>
      <c r="C26" s="94">
        <v>6.8769999999999998</v>
      </c>
      <c r="D26" s="94">
        <v>7.452</v>
      </c>
      <c r="E26" s="94">
        <v>9.4280000000000008</v>
      </c>
      <c r="F26" s="104">
        <v>10.278</v>
      </c>
      <c r="G26" s="94">
        <v>10.278</v>
      </c>
      <c r="H26" s="94">
        <v>12.257</v>
      </c>
    </row>
    <row r="27" spans="1:8" x14ac:dyDescent="0.2">
      <c r="A27" s="78" t="s">
        <v>19</v>
      </c>
      <c r="B27" s="94">
        <v>7.7590000000000003</v>
      </c>
      <c r="C27" s="94">
        <v>9.6850000000000005</v>
      </c>
      <c r="D27" s="94">
        <v>11.657</v>
      </c>
      <c r="E27" s="94">
        <v>14.613</v>
      </c>
      <c r="F27" s="104">
        <v>35.610999999999997</v>
      </c>
      <c r="G27" s="94">
        <v>35.610999999999997</v>
      </c>
      <c r="H27" s="94">
        <v>45.256</v>
      </c>
    </row>
    <row r="28" spans="1:8" x14ac:dyDescent="0.2">
      <c r="A28" s="78" t="s">
        <v>34</v>
      </c>
      <c r="B28" s="94" t="s">
        <v>30</v>
      </c>
      <c r="C28" s="94" t="s">
        <v>30</v>
      </c>
      <c r="D28" s="94" t="s">
        <v>30</v>
      </c>
      <c r="E28" s="94" t="s">
        <v>30</v>
      </c>
      <c r="F28" s="105" t="s">
        <v>30</v>
      </c>
      <c r="G28" s="94" t="s">
        <v>30</v>
      </c>
      <c r="H28" s="94" t="s">
        <v>30</v>
      </c>
    </row>
    <row r="29" spans="1:8" x14ac:dyDescent="0.2">
      <c r="A29" s="78"/>
      <c r="B29" s="78"/>
      <c r="C29" s="78"/>
      <c r="D29" s="78"/>
      <c r="E29" s="78"/>
      <c r="F29" s="78"/>
      <c r="G29" s="78"/>
      <c r="H29" s="78"/>
    </row>
    <row r="30" spans="1:8" ht="10.5" x14ac:dyDescent="0.2">
      <c r="A30" s="86" t="s">
        <v>35</v>
      </c>
      <c r="B30" s="106">
        <v>24.465</v>
      </c>
      <c r="C30" s="106">
        <v>27.751999999999999</v>
      </c>
      <c r="D30" s="106">
        <v>34.773000000000003</v>
      </c>
      <c r="E30" s="106">
        <v>47.779000000000003</v>
      </c>
      <c r="F30" s="107">
        <v>172.13800000000001</v>
      </c>
      <c r="G30" s="106">
        <v>172.13800000000001</v>
      </c>
      <c r="H30" s="106">
        <v>211.30199999999999</v>
      </c>
    </row>
    <row r="31" spans="1:8" x14ac:dyDescent="0.2">
      <c r="A31" s="78"/>
      <c r="B31" s="78"/>
      <c r="C31" s="78"/>
      <c r="D31" s="78"/>
      <c r="E31" s="78"/>
      <c r="F31" s="78"/>
      <c r="G31" s="78"/>
      <c r="H31" s="78"/>
    </row>
    <row r="32" spans="1:8" ht="10.5" x14ac:dyDescent="0.2">
      <c r="A32" s="86" t="s">
        <v>36</v>
      </c>
      <c r="B32" s="87">
        <v>-1</v>
      </c>
      <c r="C32" s="87">
        <v>5.31</v>
      </c>
      <c r="D32" s="87">
        <v>14.429</v>
      </c>
      <c r="E32" s="87">
        <v>2.6840000000000002</v>
      </c>
      <c r="F32" s="108">
        <v>-6.4</v>
      </c>
      <c r="G32" s="87">
        <v>-6.4</v>
      </c>
      <c r="H32" s="87">
        <v>-9.3000000000000007</v>
      </c>
    </row>
    <row r="33" spans="1:8" x14ac:dyDescent="0.2">
      <c r="A33" s="78"/>
      <c r="B33" s="78"/>
      <c r="C33" s="78"/>
      <c r="D33" s="78"/>
      <c r="E33" s="78"/>
      <c r="F33" s="78"/>
      <c r="G33" s="78"/>
      <c r="H33" s="78"/>
    </row>
    <row r="34" spans="1:8" x14ac:dyDescent="0.2">
      <c r="A34" s="78" t="s">
        <v>37</v>
      </c>
      <c r="B34" s="94">
        <v>-2.2999999999999998</v>
      </c>
      <c r="C34" s="94">
        <v>-4.2</v>
      </c>
      <c r="D34" s="94">
        <v>-4.8</v>
      </c>
      <c r="E34" s="94">
        <v>-5.6</v>
      </c>
      <c r="F34" s="109">
        <v>-15.1</v>
      </c>
      <c r="G34" s="94">
        <v>-12.2</v>
      </c>
      <c r="H34" s="94">
        <v>-15.4</v>
      </c>
    </row>
    <row r="35" spans="1:8" x14ac:dyDescent="0.2">
      <c r="A35" s="78" t="s">
        <v>38</v>
      </c>
      <c r="B35" s="94" t="s">
        <v>30</v>
      </c>
      <c r="C35" s="94" t="s">
        <v>30</v>
      </c>
      <c r="D35" s="94">
        <v>2.1000000000000001E-2</v>
      </c>
      <c r="E35" s="94" t="s">
        <v>30</v>
      </c>
      <c r="F35" s="105" t="s">
        <v>30</v>
      </c>
      <c r="G35" s="94" t="s">
        <v>30</v>
      </c>
      <c r="H35" s="94" t="s">
        <v>30</v>
      </c>
    </row>
    <row r="36" spans="1:8" ht="10.5" x14ac:dyDescent="0.2">
      <c r="A36" s="86" t="s">
        <v>39</v>
      </c>
      <c r="B36" s="106">
        <v>-2.2999999999999998</v>
      </c>
      <c r="C36" s="106">
        <v>-4.2</v>
      </c>
      <c r="D36" s="106">
        <v>-4.8</v>
      </c>
      <c r="E36" s="106">
        <v>-5.6</v>
      </c>
      <c r="F36" s="110">
        <v>-15.1</v>
      </c>
      <c r="G36" s="106">
        <v>-12.2</v>
      </c>
      <c r="H36" s="106">
        <v>-15.4</v>
      </c>
    </row>
    <row r="37" spans="1:8" x14ac:dyDescent="0.2">
      <c r="A37" s="78"/>
      <c r="B37" s="78"/>
      <c r="C37" s="78"/>
      <c r="D37" s="78"/>
      <c r="E37" s="78"/>
      <c r="F37" s="78"/>
      <c r="G37" s="78"/>
      <c r="H37" s="78"/>
    </row>
    <row r="38" spans="1:8" x14ac:dyDescent="0.2">
      <c r="A38" s="78" t="s">
        <v>40</v>
      </c>
      <c r="B38" s="94">
        <v>-1.9</v>
      </c>
      <c r="C38" s="94">
        <v>-3.9</v>
      </c>
      <c r="D38" s="94">
        <v>1.393</v>
      </c>
      <c r="E38" s="94">
        <v>12.446</v>
      </c>
      <c r="F38" s="104">
        <v>22.11</v>
      </c>
      <c r="G38" s="94">
        <v>22.11</v>
      </c>
      <c r="H38" s="94">
        <v>26.611999999999998</v>
      </c>
    </row>
    <row r="39" spans="1:8" x14ac:dyDescent="0.2">
      <c r="A39" s="78" t="s">
        <v>41</v>
      </c>
      <c r="B39" s="94">
        <v>-0.1</v>
      </c>
      <c r="C39" s="94">
        <v>5.2999999999999999E-2</v>
      </c>
      <c r="D39" s="94">
        <v>-0.2</v>
      </c>
      <c r="E39" s="94">
        <v>-0.6</v>
      </c>
      <c r="F39" s="105" t="s">
        <v>30</v>
      </c>
      <c r="G39" s="94">
        <v>-1.8</v>
      </c>
      <c r="H39" s="94">
        <v>-1.8</v>
      </c>
    </row>
    <row r="40" spans="1:8" x14ac:dyDescent="0.2">
      <c r="A40" s="78" t="s">
        <v>42</v>
      </c>
      <c r="B40" s="94">
        <v>-0.1</v>
      </c>
      <c r="C40" s="94">
        <v>0</v>
      </c>
      <c r="D40" s="94">
        <v>-2.9</v>
      </c>
      <c r="E40" s="94">
        <v>0</v>
      </c>
      <c r="F40" s="105" t="s">
        <v>30</v>
      </c>
      <c r="G40" s="94">
        <v>-1</v>
      </c>
      <c r="H40" s="94">
        <v>-1</v>
      </c>
    </row>
    <row r="41" spans="1:8" ht="10.5" x14ac:dyDescent="0.2">
      <c r="A41" s="86" t="s">
        <v>43</v>
      </c>
      <c r="B41" s="106">
        <v>-5.4</v>
      </c>
      <c r="C41" s="106">
        <v>-2.7</v>
      </c>
      <c r="D41" s="106">
        <v>7.9569999999999999</v>
      </c>
      <c r="E41" s="106">
        <v>8.8179999999999996</v>
      </c>
      <c r="F41" s="107">
        <v>0.56499999999999995</v>
      </c>
      <c r="G41" s="106">
        <v>0.56499999999999995</v>
      </c>
      <c r="H41" s="106">
        <v>-1</v>
      </c>
    </row>
    <row r="42" spans="1:8" x14ac:dyDescent="0.2">
      <c r="A42" s="78"/>
      <c r="B42" s="78"/>
      <c r="C42" s="78"/>
      <c r="D42" s="78"/>
      <c r="E42" s="78"/>
      <c r="F42" s="78"/>
      <c r="G42" s="78"/>
      <c r="H42" s="78"/>
    </row>
    <row r="43" spans="1:8" x14ac:dyDescent="0.2">
      <c r="A43" s="78" t="s">
        <v>44</v>
      </c>
      <c r="B43" s="94" t="s">
        <v>30</v>
      </c>
      <c r="C43" s="94" t="s">
        <v>30</v>
      </c>
      <c r="D43" s="94" t="s">
        <v>30</v>
      </c>
      <c r="E43" s="94">
        <v>-3.8</v>
      </c>
      <c r="F43" s="109">
        <v>-18</v>
      </c>
      <c r="G43" s="94">
        <v>-18</v>
      </c>
      <c r="H43" s="94">
        <v>-15.8</v>
      </c>
    </row>
    <row r="44" spans="1:8" x14ac:dyDescent="0.2">
      <c r="A44" s="78" t="s">
        <v>45</v>
      </c>
      <c r="B44" s="94" t="s">
        <v>30</v>
      </c>
      <c r="C44" s="94" t="s">
        <v>30</v>
      </c>
      <c r="D44" s="94" t="s">
        <v>30</v>
      </c>
      <c r="E44" s="94" t="s">
        <v>30</v>
      </c>
      <c r="F44" s="105" t="s">
        <v>30</v>
      </c>
      <c r="G44" s="94" t="s">
        <v>30</v>
      </c>
      <c r="H44" s="94" t="s">
        <v>30</v>
      </c>
    </row>
    <row r="45" spans="1:8" x14ac:dyDescent="0.2">
      <c r="A45" s="78" t="s">
        <v>46</v>
      </c>
      <c r="B45" s="94" t="s">
        <v>30</v>
      </c>
      <c r="C45" s="94" t="s">
        <v>30</v>
      </c>
      <c r="D45" s="94" t="s">
        <v>30</v>
      </c>
      <c r="E45" s="94" t="s">
        <v>30</v>
      </c>
      <c r="F45" s="105" t="s">
        <v>30</v>
      </c>
      <c r="G45" s="94" t="s">
        <v>30</v>
      </c>
      <c r="H45" s="94" t="s">
        <v>30</v>
      </c>
    </row>
    <row r="46" spans="1:8" ht="10.5" x14ac:dyDescent="0.2">
      <c r="A46" s="86" t="s">
        <v>47</v>
      </c>
      <c r="B46" s="106">
        <v>-5.4</v>
      </c>
      <c r="C46" s="106">
        <v>-2.7</v>
      </c>
      <c r="D46" s="106">
        <v>7.9569999999999999</v>
      </c>
      <c r="E46" s="106">
        <v>4.9770000000000003</v>
      </c>
      <c r="F46" s="110">
        <v>-17.399999999999999</v>
      </c>
      <c r="G46" s="106">
        <v>-17.399999999999999</v>
      </c>
      <c r="H46" s="106">
        <v>-16.7</v>
      </c>
    </row>
    <row r="47" spans="1:8" x14ac:dyDescent="0.2">
      <c r="A47" s="78"/>
      <c r="B47" s="78"/>
      <c r="C47" s="78"/>
      <c r="D47" s="78"/>
      <c r="E47" s="78"/>
      <c r="F47" s="78"/>
      <c r="G47" s="78"/>
      <c r="H47" s="78"/>
    </row>
    <row r="48" spans="1:8" x14ac:dyDescent="0.2">
      <c r="A48" s="78" t="s">
        <v>48</v>
      </c>
      <c r="B48" s="94">
        <v>0.58599999999999997</v>
      </c>
      <c r="C48" s="94">
        <v>1.2430000000000001</v>
      </c>
      <c r="D48" s="94">
        <v>1.4430000000000001</v>
      </c>
      <c r="E48" s="94">
        <v>0.32500000000000001</v>
      </c>
      <c r="F48" s="104">
        <v>1.546</v>
      </c>
      <c r="G48" s="94">
        <v>1.546</v>
      </c>
      <c r="H48" s="94">
        <v>2.2290000000000001</v>
      </c>
    </row>
    <row r="49" spans="1:8" ht="10.5" x14ac:dyDescent="0.2">
      <c r="A49" s="86" t="s">
        <v>49</v>
      </c>
      <c r="B49" s="106">
        <v>-6</v>
      </c>
      <c r="C49" s="106">
        <v>-4</v>
      </c>
      <c r="D49" s="106">
        <v>6.5140000000000002</v>
      </c>
      <c r="E49" s="106">
        <v>4.6520000000000001</v>
      </c>
      <c r="F49" s="110">
        <v>-19</v>
      </c>
      <c r="G49" s="106">
        <v>-19</v>
      </c>
      <c r="H49" s="106">
        <v>-19</v>
      </c>
    </row>
    <row r="50" spans="1:8" x14ac:dyDescent="0.2">
      <c r="A50" s="78"/>
      <c r="B50" s="78"/>
      <c r="C50" s="78"/>
      <c r="D50" s="78"/>
      <c r="E50" s="78"/>
      <c r="F50" s="78"/>
      <c r="G50" s="78"/>
      <c r="H50" s="78"/>
    </row>
    <row r="51" spans="1:8" x14ac:dyDescent="0.2">
      <c r="A51" s="78" t="s">
        <v>50</v>
      </c>
      <c r="B51" s="94" t="s">
        <v>30</v>
      </c>
      <c r="C51" s="94" t="s">
        <v>30</v>
      </c>
      <c r="D51" s="94" t="s">
        <v>30</v>
      </c>
      <c r="E51" s="94" t="s">
        <v>30</v>
      </c>
      <c r="F51" s="105" t="s">
        <v>30</v>
      </c>
      <c r="G51" s="94" t="s">
        <v>30</v>
      </c>
      <c r="H51" s="94" t="s">
        <v>30</v>
      </c>
    </row>
    <row r="52" spans="1:8" x14ac:dyDescent="0.2">
      <c r="A52" s="78" t="s">
        <v>51</v>
      </c>
      <c r="B52" s="94" t="s">
        <v>30</v>
      </c>
      <c r="C52" s="94" t="s">
        <v>30</v>
      </c>
      <c r="D52" s="94" t="s">
        <v>30</v>
      </c>
      <c r="E52" s="94" t="s">
        <v>30</v>
      </c>
      <c r="F52" s="105" t="s">
        <v>30</v>
      </c>
      <c r="G52" s="94" t="s">
        <v>30</v>
      </c>
      <c r="H52" s="94" t="s">
        <v>30</v>
      </c>
    </row>
    <row r="53" spans="1:8" ht="10.5" x14ac:dyDescent="0.2">
      <c r="A53" s="86" t="s">
        <v>52</v>
      </c>
      <c r="B53" s="106">
        <v>-6</v>
      </c>
      <c r="C53" s="106">
        <v>-4</v>
      </c>
      <c r="D53" s="106">
        <v>6.5140000000000002</v>
      </c>
      <c r="E53" s="106">
        <v>4.6520000000000001</v>
      </c>
      <c r="F53" s="110">
        <v>-19</v>
      </c>
      <c r="G53" s="106">
        <v>-19</v>
      </c>
      <c r="H53" s="106">
        <v>-19</v>
      </c>
    </row>
    <row r="54" spans="1:8" x14ac:dyDescent="0.2">
      <c r="A54" s="78"/>
      <c r="B54" s="78"/>
      <c r="C54" s="78"/>
      <c r="D54" s="78"/>
      <c r="E54" s="78"/>
      <c r="F54" s="78"/>
      <c r="G54" s="78"/>
      <c r="H54" s="78"/>
    </row>
    <row r="55" spans="1:8" x14ac:dyDescent="0.2">
      <c r="A55" s="78" t="s">
        <v>53</v>
      </c>
      <c r="B55" s="94" t="s">
        <v>30</v>
      </c>
      <c r="C55" s="94" t="s">
        <v>30</v>
      </c>
      <c r="D55" s="94" t="s">
        <v>30</v>
      </c>
      <c r="E55" s="94" t="s">
        <v>30</v>
      </c>
      <c r="F55" s="105" t="s">
        <v>30</v>
      </c>
      <c r="G55" s="94" t="s">
        <v>30</v>
      </c>
      <c r="H55" s="94" t="s">
        <v>30</v>
      </c>
    </row>
    <row r="56" spans="1:8" ht="10.5" x14ac:dyDescent="0.2">
      <c r="A56" s="86" t="s">
        <v>54</v>
      </c>
      <c r="B56" s="111">
        <v>-6</v>
      </c>
      <c r="C56" s="111">
        <v>-4</v>
      </c>
      <c r="D56" s="111">
        <v>6.5140000000000002</v>
      </c>
      <c r="E56" s="111">
        <v>4.6520000000000001</v>
      </c>
      <c r="F56" s="112">
        <v>-19</v>
      </c>
      <c r="G56" s="111">
        <v>-19</v>
      </c>
      <c r="H56" s="111">
        <v>-19</v>
      </c>
    </row>
    <row r="57" spans="1:8" x14ac:dyDescent="0.2">
      <c r="A57" s="78"/>
      <c r="B57" s="78"/>
      <c r="C57" s="78"/>
      <c r="D57" s="78"/>
      <c r="E57" s="78"/>
      <c r="F57" s="78"/>
      <c r="G57" s="78"/>
      <c r="H57" s="78"/>
    </row>
    <row r="58" spans="1:8" x14ac:dyDescent="0.2">
      <c r="A58" s="78" t="s">
        <v>255</v>
      </c>
      <c r="B58" s="94" t="s">
        <v>30</v>
      </c>
      <c r="C58" s="94" t="s">
        <v>30</v>
      </c>
      <c r="D58" s="94" t="s">
        <v>30</v>
      </c>
      <c r="E58" s="94" t="s">
        <v>30</v>
      </c>
      <c r="F58" s="105" t="s">
        <v>30</v>
      </c>
      <c r="G58" s="94" t="s">
        <v>30</v>
      </c>
      <c r="H58" s="94" t="s">
        <v>30</v>
      </c>
    </row>
    <row r="59" spans="1:8" x14ac:dyDescent="0.2">
      <c r="A59" s="78"/>
      <c r="B59" s="78"/>
      <c r="C59" s="78"/>
      <c r="D59" s="78"/>
      <c r="E59" s="78"/>
      <c r="F59" s="78"/>
      <c r="G59" s="78"/>
      <c r="H59" s="78"/>
    </row>
    <row r="60" spans="1:8" ht="10.5" x14ac:dyDescent="0.2">
      <c r="A60" s="86" t="s">
        <v>256</v>
      </c>
      <c r="B60" s="87">
        <v>-6</v>
      </c>
      <c r="C60" s="87">
        <v>-4</v>
      </c>
      <c r="D60" s="87">
        <v>6.5140000000000002</v>
      </c>
      <c r="E60" s="87">
        <v>4.6520000000000001</v>
      </c>
      <c r="F60" s="108">
        <v>-19</v>
      </c>
      <c r="G60" s="87">
        <v>-19</v>
      </c>
      <c r="H60" s="87">
        <v>-19</v>
      </c>
    </row>
    <row r="61" spans="1:8" ht="10.5" x14ac:dyDescent="0.2">
      <c r="A61" s="86" t="s">
        <v>257</v>
      </c>
      <c r="B61" s="87">
        <v>-6</v>
      </c>
      <c r="C61" s="87">
        <v>-4</v>
      </c>
      <c r="D61" s="87">
        <v>6.5140000000000002</v>
      </c>
      <c r="E61" s="87">
        <v>4.6520000000000001</v>
      </c>
      <c r="F61" s="108">
        <v>-19</v>
      </c>
      <c r="G61" s="87">
        <v>-19</v>
      </c>
      <c r="H61" s="87">
        <v>-19</v>
      </c>
    </row>
    <row r="62" spans="1:8" x14ac:dyDescent="0.2">
      <c r="A62" s="78"/>
      <c r="B62" s="78"/>
      <c r="C62" s="78"/>
      <c r="D62" s="78"/>
      <c r="E62" s="78"/>
      <c r="F62" s="78"/>
      <c r="G62" s="78"/>
      <c r="H62" s="78"/>
    </row>
    <row r="63" spans="1:8" ht="10.5" x14ac:dyDescent="0.2">
      <c r="A63" s="86" t="s">
        <v>258</v>
      </c>
      <c r="B63" s="78"/>
      <c r="C63" s="78"/>
      <c r="D63" s="78"/>
      <c r="E63" s="78"/>
      <c r="F63" s="78"/>
      <c r="G63" s="78"/>
      <c r="H63" s="78"/>
    </row>
    <row r="64" spans="1:8" x14ac:dyDescent="0.2">
      <c r="A64" s="78" t="s">
        <v>259</v>
      </c>
      <c r="B64" s="96">
        <v>-0.27</v>
      </c>
      <c r="C64" s="96">
        <v>-0.18</v>
      </c>
      <c r="D64" s="96">
        <v>0.28999999999999998</v>
      </c>
      <c r="E64" s="96">
        <v>0.18</v>
      </c>
      <c r="F64" s="113">
        <v>-0.64</v>
      </c>
      <c r="G64" s="96">
        <v>-0.64</v>
      </c>
      <c r="H64" s="96">
        <v>-0.6</v>
      </c>
    </row>
    <row r="65" spans="1:8" x14ac:dyDescent="0.2">
      <c r="A65" s="78" t="s">
        <v>260</v>
      </c>
      <c r="B65" s="114">
        <v>-0.27</v>
      </c>
      <c r="C65" s="114">
        <v>-0.18</v>
      </c>
      <c r="D65" s="114">
        <v>0.29172399999999998</v>
      </c>
      <c r="E65" s="114">
        <v>0.18385599999999999</v>
      </c>
      <c r="F65" s="113">
        <v>-0.64</v>
      </c>
      <c r="G65" s="114">
        <v>-0.64</v>
      </c>
      <c r="H65" s="114">
        <v>-0.6</v>
      </c>
    </row>
    <row r="66" spans="1:8" x14ac:dyDescent="0.2">
      <c r="A66" s="78" t="s">
        <v>261</v>
      </c>
      <c r="B66" s="94">
        <v>21.983757000000001</v>
      </c>
      <c r="C66" s="94">
        <v>21.983757000000001</v>
      </c>
      <c r="D66" s="94">
        <v>22.329281000000002</v>
      </c>
      <c r="E66" s="94">
        <v>25.302350000000001</v>
      </c>
      <c r="F66" s="104">
        <v>29.716280999999999</v>
      </c>
      <c r="G66" s="94">
        <v>29.716280999999999</v>
      </c>
      <c r="H66" s="94">
        <v>31.698304</v>
      </c>
    </row>
    <row r="67" spans="1:8" x14ac:dyDescent="0.2">
      <c r="A67" s="78"/>
      <c r="B67" s="78"/>
      <c r="C67" s="78"/>
      <c r="D67" s="78"/>
      <c r="E67" s="78"/>
      <c r="F67" s="78"/>
      <c r="G67" s="78"/>
      <c r="H67" s="78"/>
    </row>
    <row r="68" spans="1:8" x14ac:dyDescent="0.2">
      <c r="A68" s="78" t="s">
        <v>262</v>
      </c>
      <c r="B68" s="96">
        <v>-0.27</v>
      </c>
      <c r="C68" s="96">
        <v>-0.18</v>
      </c>
      <c r="D68" s="96">
        <v>0.27</v>
      </c>
      <c r="E68" s="96">
        <v>0.17</v>
      </c>
      <c r="F68" s="113">
        <v>-0.64</v>
      </c>
      <c r="G68" s="96">
        <v>-0.64</v>
      </c>
      <c r="H68" s="96">
        <v>-0.61</v>
      </c>
    </row>
    <row r="69" spans="1:8" x14ac:dyDescent="0.2">
      <c r="A69" s="78" t="s">
        <v>263</v>
      </c>
      <c r="B69" s="114">
        <v>-0.27</v>
      </c>
      <c r="C69" s="114">
        <v>-0.18</v>
      </c>
      <c r="D69" s="114">
        <v>0.27</v>
      </c>
      <c r="E69" s="114">
        <v>0.16999900000000001</v>
      </c>
      <c r="F69" s="113">
        <v>-0.64</v>
      </c>
      <c r="G69" s="114">
        <v>-0.64</v>
      </c>
      <c r="H69" s="114">
        <v>-0.61</v>
      </c>
    </row>
    <row r="70" spans="1:8" x14ac:dyDescent="0.2">
      <c r="A70" s="78" t="s">
        <v>264</v>
      </c>
      <c r="B70" s="94">
        <v>21.983757000000001</v>
      </c>
      <c r="C70" s="94">
        <v>21.983757000000001</v>
      </c>
      <c r="D70" s="94">
        <v>23.898477</v>
      </c>
      <c r="E70" s="94">
        <v>26.64012</v>
      </c>
      <c r="F70" s="104">
        <v>29.716280999999999</v>
      </c>
      <c r="G70" s="94">
        <v>29.716280999999999</v>
      </c>
      <c r="H70" s="94">
        <v>31.698304</v>
      </c>
    </row>
    <row r="71" spans="1:8" x14ac:dyDescent="0.2">
      <c r="A71" s="78"/>
      <c r="B71" s="78"/>
      <c r="C71" s="78"/>
      <c r="D71" s="78"/>
      <c r="E71" s="78"/>
      <c r="F71" s="78"/>
      <c r="G71" s="78"/>
      <c r="H71" s="78"/>
    </row>
    <row r="72" spans="1:8" x14ac:dyDescent="0.2">
      <c r="A72" s="78" t="s">
        <v>265</v>
      </c>
      <c r="B72" s="96">
        <v>-0.15</v>
      </c>
      <c r="C72" s="96">
        <v>-0.08</v>
      </c>
      <c r="D72" s="96">
        <v>0.22</v>
      </c>
      <c r="E72" s="96">
        <v>0.22</v>
      </c>
      <c r="F72" s="113">
        <v>0.01</v>
      </c>
      <c r="G72" s="96">
        <v>0.01</v>
      </c>
      <c r="H72" s="96">
        <v>-0.02</v>
      </c>
    </row>
    <row r="73" spans="1:8" x14ac:dyDescent="0.2">
      <c r="A73" s="78" t="s">
        <v>266</v>
      </c>
      <c r="B73" s="114">
        <v>-0.15</v>
      </c>
      <c r="C73" s="114">
        <v>-0.08</v>
      </c>
      <c r="D73" s="114">
        <v>0.208093</v>
      </c>
      <c r="E73" s="114">
        <v>0.20687700000000001</v>
      </c>
      <c r="F73" s="115">
        <v>1.1882999999999999E-2</v>
      </c>
      <c r="G73" s="114">
        <v>1.1882999999999999E-2</v>
      </c>
      <c r="H73" s="114">
        <v>-0.02</v>
      </c>
    </row>
    <row r="74" spans="1:8" x14ac:dyDescent="0.2">
      <c r="A74" s="78"/>
      <c r="B74" s="78"/>
      <c r="C74" s="78"/>
      <c r="D74" s="78"/>
      <c r="E74" s="78"/>
      <c r="F74" s="78"/>
      <c r="G74" s="78"/>
      <c r="H74" s="78"/>
    </row>
    <row r="75" spans="1:8" x14ac:dyDescent="0.2">
      <c r="A75" s="78" t="s">
        <v>267</v>
      </c>
      <c r="B75" s="114" t="s">
        <v>113</v>
      </c>
      <c r="C75" s="114" t="s">
        <v>113</v>
      </c>
      <c r="D75" s="114" t="s">
        <v>113</v>
      </c>
      <c r="E75" s="114" t="s">
        <v>113</v>
      </c>
      <c r="F75" s="105" t="s">
        <v>113</v>
      </c>
      <c r="G75" s="114" t="s">
        <v>113</v>
      </c>
      <c r="H75" s="114" t="s">
        <v>113</v>
      </c>
    </row>
    <row r="76" spans="1:8" x14ac:dyDescent="0.2">
      <c r="A76" s="78"/>
      <c r="B76" s="78"/>
      <c r="C76" s="78"/>
      <c r="D76" s="78"/>
      <c r="E76" s="78"/>
      <c r="F76" s="78"/>
      <c r="G76" s="78"/>
      <c r="H76" s="78"/>
    </row>
    <row r="77" spans="1:8" ht="10.5" x14ac:dyDescent="0.2">
      <c r="A77" s="86" t="s">
        <v>111</v>
      </c>
      <c r="B77" s="78"/>
      <c r="C77" s="78"/>
      <c r="D77" s="78"/>
      <c r="E77" s="78"/>
      <c r="F77" s="78"/>
      <c r="G77" s="78"/>
      <c r="H77" s="78"/>
    </row>
    <row r="78" spans="1:8" x14ac:dyDescent="0.2">
      <c r="A78" s="78" t="s">
        <v>200</v>
      </c>
      <c r="B78" s="94">
        <v>6.7720000000000002</v>
      </c>
      <c r="C78" s="94">
        <v>14.994999999999999</v>
      </c>
      <c r="D78" s="94">
        <v>26.085999999999999</v>
      </c>
      <c r="E78" s="94">
        <v>17.297000000000001</v>
      </c>
      <c r="F78" s="104">
        <v>6.6260000000000003</v>
      </c>
      <c r="G78" s="94">
        <v>5.1829999999999998</v>
      </c>
      <c r="H78" s="94">
        <v>12.24775</v>
      </c>
    </row>
    <row r="79" spans="1:8" x14ac:dyDescent="0.2">
      <c r="A79" s="78" t="s">
        <v>268</v>
      </c>
      <c r="B79" s="94">
        <v>-1</v>
      </c>
      <c r="C79" s="94">
        <v>5.31</v>
      </c>
      <c r="D79" s="94">
        <v>14.429</v>
      </c>
      <c r="E79" s="94">
        <v>2.6840000000000002</v>
      </c>
      <c r="F79" s="109">
        <v>-6.4</v>
      </c>
      <c r="G79" s="94">
        <v>4.0949999999999998</v>
      </c>
      <c r="H79" s="94">
        <v>-9.3000000000000007</v>
      </c>
    </row>
    <row r="80" spans="1:8" x14ac:dyDescent="0.2">
      <c r="A80" s="78" t="s">
        <v>201</v>
      </c>
      <c r="B80" s="94">
        <v>-1</v>
      </c>
      <c r="C80" s="94">
        <v>5.31</v>
      </c>
      <c r="D80" s="94">
        <v>14.429</v>
      </c>
      <c r="E80" s="94">
        <v>2.6840000000000002</v>
      </c>
      <c r="F80" s="109">
        <v>-6.4</v>
      </c>
      <c r="G80" s="94">
        <v>-6.4</v>
      </c>
      <c r="H80" s="94">
        <v>-9.3000000000000007</v>
      </c>
    </row>
    <row r="81" spans="1:8" x14ac:dyDescent="0.2">
      <c r="A81" s="78" t="s">
        <v>269</v>
      </c>
      <c r="B81" s="94">
        <v>7.8079999999999998</v>
      </c>
      <c r="C81" s="94">
        <v>15.090999999999999</v>
      </c>
      <c r="D81" s="94">
        <v>26.414000000000001</v>
      </c>
      <c r="E81" s="94">
        <v>17.751000000000001</v>
      </c>
      <c r="F81" s="105" t="s">
        <v>113</v>
      </c>
      <c r="G81" s="94">
        <v>6.2679999999999998</v>
      </c>
      <c r="H81" s="94" t="s">
        <v>113</v>
      </c>
    </row>
    <row r="82" spans="1:8" x14ac:dyDescent="0.2">
      <c r="A82" s="78" t="s">
        <v>270</v>
      </c>
      <c r="B82" s="116" t="s">
        <v>205</v>
      </c>
      <c r="C82" s="116" t="s">
        <v>205</v>
      </c>
      <c r="D82" s="116">
        <v>0.18134900000000001</v>
      </c>
      <c r="E82" s="116">
        <v>6.5299999999999997E-2</v>
      </c>
      <c r="F82" s="117">
        <v>-8.8752999999999999E-2</v>
      </c>
      <c r="G82" s="116" t="s">
        <v>205</v>
      </c>
      <c r="H82" s="116" t="s">
        <v>205</v>
      </c>
    </row>
    <row r="83" spans="1:8" x14ac:dyDescent="0.2">
      <c r="A83" s="78" t="s">
        <v>271</v>
      </c>
      <c r="B83" s="94">
        <v>0.55200000000000005</v>
      </c>
      <c r="C83" s="94">
        <v>0.83599999999999997</v>
      </c>
      <c r="D83" s="94">
        <v>1.224</v>
      </c>
      <c r="E83" s="94">
        <v>2.121</v>
      </c>
      <c r="F83" s="105" t="s">
        <v>30</v>
      </c>
      <c r="G83" s="94">
        <v>3.5550000000000002</v>
      </c>
      <c r="H83" s="94">
        <v>3.5550000000000002</v>
      </c>
    </row>
    <row r="84" spans="1:8" x14ac:dyDescent="0.2">
      <c r="A84" s="78" t="s">
        <v>272</v>
      </c>
      <c r="B84" s="94">
        <v>1.4E-2</v>
      </c>
      <c r="C84" s="94">
        <v>6.0000000000000001E-3</v>
      </c>
      <c r="D84" s="94">
        <v>8.1000000000000003E-2</v>
      </c>
      <c r="E84" s="94">
        <v>-1.6</v>
      </c>
      <c r="F84" s="105" t="s">
        <v>30</v>
      </c>
      <c r="G84" s="94">
        <v>-2</v>
      </c>
      <c r="H84" s="94">
        <v>-2</v>
      </c>
    </row>
    <row r="85" spans="1:8" x14ac:dyDescent="0.2">
      <c r="A85" s="78"/>
      <c r="B85" s="78"/>
      <c r="C85" s="78"/>
      <c r="D85" s="78"/>
      <c r="E85" s="78"/>
      <c r="F85" s="78"/>
      <c r="G85" s="78"/>
      <c r="H85" s="78"/>
    </row>
    <row r="86" spans="1:8" x14ac:dyDescent="0.2">
      <c r="A86" s="78" t="s">
        <v>273</v>
      </c>
      <c r="B86" s="94">
        <v>-3.4</v>
      </c>
      <c r="C86" s="94">
        <v>-1.7</v>
      </c>
      <c r="D86" s="94">
        <v>4.9731249999999996</v>
      </c>
      <c r="E86" s="94">
        <v>5.5112500000000004</v>
      </c>
      <c r="F86" s="104">
        <v>0.35312500000000002</v>
      </c>
      <c r="G86" s="94">
        <v>0.35312500000000002</v>
      </c>
      <c r="H86" s="94">
        <v>-0.6</v>
      </c>
    </row>
    <row r="87" spans="1:8" x14ac:dyDescent="0.2">
      <c r="A87" s="78" t="s">
        <v>274</v>
      </c>
      <c r="B87" s="94">
        <v>2.3090000000000002</v>
      </c>
      <c r="C87" s="94">
        <v>4.1580000000000004</v>
      </c>
      <c r="D87" s="94">
        <v>4.8040000000000003</v>
      </c>
      <c r="E87" s="94">
        <v>5.5970000000000004</v>
      </c>
      <c r="F87" s="105" t="s">
        <v>113</v>
      </c>
      <c r="G87" s="94">
        <v>3.407</v>
      </c>
      <c r="H87" s="94" t="s">
        <v>113</v>
      </c>
    </row>
    <row r="88" spans="1:8" x14ac:dyDescent="0.2">
      <c r="A88" s="78" t="s">
        <v>127</v>
      </c>
      <c r="B88" s="118">
        <v>44302</v>
      </c>
      <c r="C88" s="118">
        <v>44665</v>
      </c>
      <c r="D88" s="118">
        <v>45044</v>
      </c>
      <c r="E88" s="118">
        <v>45044</v>
      </c>
      <c r="F88" s="119">
        <v>44991</v>
      </c>
      <c r="G88" s="118">
        <v>45044</v>
      </c>
      <c r="H88" s="118">
        <v>45056</v>
      </c>
    </row>
    <row r="89" spans="1:8" x14ac:dyDescent="0.2">
      <c r="A89" s="78" t="s">
        <v>128</v>
      </c>
      <c r="B89" s="93" t="s">
        <v>129</v>
      </c>
      <c r="C89" s="93" t="s">
        <v>129</v>
      </c>
      <c r="D89" s="93" t="s">
        <v>129</v>
      </c>
      <c r="E89" s="93" t="s">
        <v>129</v>
      </c>
      <c r="F89" s="105" t="s">
        <v>130</v>
      </c>
      <c r="G89" s="93" t="s">
        <v>131</v>
      </c>
      <c r="H89" s="93" t="s">
        <v>130</v>
      </c>
    </row>
    <row r="90" spans="1:8" x14ac:dyDescent="0.2">
      <c r="A90" s="78" t="s">
        <v>132</v>
      </c>
      <c r="B90" s="93" t="s">
        <v>134</v>
      </c>
      <c r="C90" s="93" t="s">
        <v>134</v>
      </c>
      <c r="D90" s="93" t="s">
        <v>134</v>
      </c>
      <c r="E90" s="93" t="s">
        <v>134</v>
      </c>
      <c r="F90" s="105" t="s">
        <v>134</v>
      </c>
      <c r="G90" s="93" t="s">
        <v>134</v>
      </c>
      <c r="H90" s="93" t="s">
        <v>275</v>
      </c>
    </row>
    <row r="91" spans="1:8" x14ac:dyDescent="0.2">
      <c r="A91" s="78"/>
      <c r="B91" s="78"/>
      <c r="C91" s="78"/>
      <c r="D91" s="78"/>
      <c r="E91" s="78"/>
      <c r="F91" s="78"/>
      <c r="G91" s="78"/>
      <c r="H91" s="78"/>
    </row>
    <row r="92" spans="1:8" ht="10.5" x14ac:dyDescent="0.2">
      <c r="A92" s="86" t="s">
        <v>276</v>
      </c>
      <c r="B92" s="78"/>
      <c r="C92" s="78"/>
      <c r="D92" s="78"/>
      <c r="E92" s="78"/>
      <c r="F92" s="78"/>
      <c r="G92" s="78"/>
      <c r="H92" s="78"/>
    </row>
    <row r="93" spans="1:8" x14ac:dyDescent="0.2">
      <c r="A93" s="78" t="s">
        <v>277</v>
      </c>
      <c r="B93" s="94">
        <v>5.976</v>
      </c>
      <c r="C93" s="94">
        <v>6.2329999999999997</v>
      </c>
      <c r="D93" s="94">
        <v>8.1679999999999993</v>
      </c>
      <c r="E93" s="94">
        <v>11.438000000000001</v>
      </c>
      <c r="F93" s="104">
        <v>102.943</v>
      </c>
      <c r="G93" s="94">
        <v>102.943</v>
      </c>
      <c r="H93" s="94">
        <v>126.779</v>
      </c>
    </row>
    <row r="94" spans="1:8" x14ac:dyDescent="0.2">
      <c r="A94" s="78" t="s">
        <v>278</v>
      </c>
      <c r="B94" s="94">
        <v>3.9119999999999999</v>
      </c>
      <c r="C94" s="94">
        <v>4.8609999999999998</v>
      </c>
      <c r="D94" s="94">
        <v>7.1680000000000001</v>
      </c>
      <c r="E94" s="94">
        <v>11.846</v>
      </c>
      <c r="F94" s="104">
        <v>23.306000000000001</v>
      </c>
      <c r="G94" s="94">
        <v>22.221</v>
      </c>
      <c r="H94" s="94">
        <v>25.925000000000001</v>
      </c>
    </row>
    <row r="95" spans="1:8" x14ac:dyDescent="0.2">
      <c r="A95" s="78" t="s">
        <v>279</v>
      </c>
      <c r="B95" s="94">
        <v>5.782</v>
      </c>
      <c r="C95" s="94">
        <v>6.8769999999999998</v>
      </c>
      <c r="D95" s="94">
        <v>7.452</v>
      </c>
      <c r="E95" s="94">
        <v>9.4280000000000008</v>
      </c>
      <c r="F95" s="104">
        <v>10.278</v>
      </c>
      <c r="G95" s="94">
        <v>33.316000000000003</v>
      </c>
      <c r="H95" s="94">
        <v>35.295000000000002</v>
      </c>
    </row>
    <row r="96" spans="1:8" x14ac:dyDescent="0.2">
      <c r="A96" s="78" t="s">
        <v>280</v>
      </c>
      <c r="B96" s="94">
        <v>1.036</v>
      </c>
      <c r="C96" s="94">
        <v>9.6000000000000002E-2</v>
      </c>
      <c r="D96" s="94">
        <v>0.32800000000000001</v>
      </c>
      <c r="E96" s="94">
        <v>0.45400000000000001</v>
      </c>
      <c r="F96" s="105" t="s">
        <v>113</v>
      </c>
      <c r="G96" s="94">
        <v>1.085</v>
      </c>
      <c r="H96" s="94" t="s">
        <v>113</v>
      </c>
    </row>
    <row r="97" spans="1:8" x14ac:dyDescent="0.2">
      <c r="A97" s="78" t="s">
        <v>281</v>
      </c>
      <c r="B97" s="94" t="s">
        <v>30</v>
      </c>
      <c r="C97" s="94">
        <v>0.122034</v>
      </c>
      <c r="D97" s="94">
        <v>0.37101499999999998</v>
      </c>
      <c r="E97" s="94">
        <v>0.56006900000000004</v>
      </c>
      <c r="F97" s="105" t="s">
        <v>30</v>
      </c>
      <c r="G97" s="94">
        <v>0.82911400000000002</v>
      </c>
      <c r="H97" s="94" t="s">
        <v>30</v>
      </c>
    </row>
    <row r="98" spans="1:8" x14ac:dyDescent="0.2">
      <c r="A98" s="78" t="s">
        <v>282</v>
      </c>
      <c r="B98" s="94" t="s">
        <v>30</v>
      </c>
      <c r="C98" s="94">
        <v>0</v>
      </c>
      <c r="D98" s="94">
        <v>0</v>
      </c>
      <c r="E98" s="94">
        <v>-0.1</v>
      </c>
      <c r="F98" s="105" t="s">
        <v>30</v>
      </c>
      <c r="G98" s="94">
        <v>0.255886</v>
      </c>
      <c r="H98" s="94" t="s">
        <v>30</v>
      </c>
    </row>
    <row r="99" spans="1:8" x14ac:dyDescent="0.2">
      <c r="A99" s="78"/>
      <c r="B99" s="78"/>
      <c r="C99" s="78"/>
      <c r="D99" s="78"/>
      <c r="E99" s="78"/>
      <c r="F99" s="78"/>
      <c r="G99" s="78"/>
      <c r="H99" s="78"/>
    </row>
    <row r="100" spans="1:8" x14ac:dyDescent="0.2">
      <c r="A100" s="78" t="s">
        <v>283</v>
      </c>
      <c r="B100" s="94" t="s">
        <v>30</v>
      </c>
      <c r="C100" s="94">
        <v>0.61499999999999999</v>
      </c>
      <c r="D100" s="94">
        <v>0.96899999999999997</v>
      </c>
      <c r="E100" s="94">
        <v>3.448</v>
      </c>
      <c r="F100" s="104">
        <v>2.9940000000000002</v>
      </c>
      <c r="G100" s="94">
        <v>2.9940000000000002</v>
      </c>
      <c r="H100" s="94">
        <v>3.3740000000000001</v>
      </c>
    </row>
    <row r="101" spans="1:8" ht="10.5" x14ac:dyDescent="0.2">
      <c r="A101" s="86" t="s">
        <v>284</v>
      </c>
      <c r="B101" s="87" t="s">
        <v>30</v>
      </c>
      <c r="C101" s="87">
        <v>0.61499999999999999</v>
      </c>
      <c r="D101" s="87">
        <v>0.96899999999999997</v>
      </c>
      <c r="E101" s="87">
        <v>3.448</v>
      </c>
      <c r="F101" s="120">
        <v>2.9940000000000002</v>
      </c>
      <c r="G101" s="87">
        <v>2.9940000000000002</v>
      </c>
      <c r="H101" s="87">
        <v>3.3740000000000001</v>
      </c>
    </row>
    <row r="102" spans="1:8" x14ac:dyDescent="0.2">
      <c r="A102" s="78"/>
      <c r="B102" s="78"/>
      <c r="C102" s="78"/>
      <c r="D102" s="78"/>
      <c r="E102" s="78"/>
      <c r="F102" s="78"/>
      <c r="G102" s="78"/>
      <c r="H102" s="78"/>
    </row>
    <row r="103" spans="1:8" x14ac:dyDescent="0.2">
      <c r="A103" s="95"/>
      <c r="B103" s="95"/>
      <c r="C103" s="95"/>
      <c r="D103" s="95"/>
      <c r="E103" s="95"/>
      <c r="F103" s="95"/>
      <c r="G103" s="95"/>
      <c r="H103" s="95"/>
    </row>
    <row r="104" spans="1:8" x14ac:dyDescent="0.2">
      <c r="A104" s="75" t="s">
        <v>285</v>
      </c>
    </row>
    <row r="105" spans="1:8" x14ac:dyDescent="0.2">
      <c r="A105" s="121" t="s">
        <v>286</v>
      </c>
    </row>
    <row r="106" spans="1:8" x14ac:dyDescent="0.2">
      <c r="A106" s="100" t="s">
        <v>243</v>
      </c>
    </row>
  </sheetData>
  <pageMargins left="0.2" right="0.2" top="0.5" bottom="0.5" header="0.5" footer="0.5"/>
  <pageSetup fitToWidth="0" fitToHeight="0" orientation="landscape" horizontalDpi="0" verticalDpi="0"/>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6C26-3C12-47F3-B6DB-24C4AB06F725}">
  <sheetPr>
    <outlinePr summaryBelow="0" summaryRight="0"/>
    <pageSetUpPr autoPageBreaks="0"/>
  </sheetPr>
  <dimension ref="A5:IU88"/>
  <sheetViews>
    <sheetView workbookViewId="0">
      <selection activeCell="A68" sqref="A68"/>
    </sheetView>
  </sheetViews>
  <sheetFormatPr defaultRowHeight="10" x14ac:dyDescent="0.2"/>
  <cols>
    <col min="1" max="1" width="45.81640625" style="75" customWidth="1"/>
    <col min="2" max="5" width="14.81640625" style="75" customWidth="1"/>
    <col min="6" max="6" width="14.81640625" style="75" hidden="1" customWidth="1"/>
    <col min="7" max="7" width="14.81640625" style="75" customWidth="1"/>
    <col min="8" max="8" width="14.81640625" style="75" hidden="1" customWidth="1"/>
    <col min="9" max="10" width="9.26953125" style="75" customWidth="1"/>
    <col min="11" max="256" width="8.7265625" style="75"/>
    <col min="257" max="257" width="45.81640625" style="75" customWidth="1"/>
    <col min="258" max="261" width="14.81640625" style="75" customWidth="1"/>
    <col min="262" max="262" width="0" style="75" hidden="1" customWidth="1"/>
    <col min="263" max="263" width="14.81640625" style="75" customWidth="1"/>
    <col min="264" max="264" width="0" style="75" hidden="1" customWidth="1"/>
    <col min="265" max="266" width="9.26953125" style="75" customWidth="1"/>
    <col min="267" max="512" width="8.7265625" style="75"/>
    <col min="513" max="513" width="45.81640625" style="75" customWidth="1"/>
    <col min="514" max="517" width="14.81640625" style="75" customWidth="1"/>
    <col min="518" max="518" width="0" style="75" hidden="1" customWidth="1"/>
    <col min="519" max="519" width="14.81640625" style="75" customWidth="1"/>
    <col min="520" max="520" width="0" style="75" hidden="1" customWidth="1"/>
    <col min="521" max="522" width="9.26953125" style="75" customWidth="1"/>
    <col min="523" max="768" width="8.7265625" style="75"/>
    <col min="769" max="769" width="45.81640625" style="75" customWidth="1"/>
    <col min="770" max="773" width="14.81640625" style="75" customWidth="1"/>
    <col min="774" max="774" width="0" style="75" hidden="1" customWidth="1"/>
    <col min="775" max="775" width="14.81640625" style="75" customWidth="1"/>
    <col min="776" max="776" width="0" style="75" hidden="1" customWidth="1"/>
    <col min="777" max="778" width="9.26953125" style="75" customWidth="1"/>
    <col min="779" max="1024" width="8.7265625" style="75"/>
    <col min="1025" max="1025" width="45.81640625" style="75" customWidth="1"/>
    <col min="1026" max="1029" width="14.81640625" style="75" customWidth="1"/>
    <col min="1030" max="1030" width="0" style="75" hidden="1" customWidth="1"/>
    <col min="1031" max="1031" width="14.81640625" style="75" customWidth="1"/>
    <col min="1032" max="1032" width="0" style="75" hidden="1" customWidth="1"/>
    <col min="1033" max="1034" width="9.26953125" style="75" customWidth="1"/>
    <col min="1035" max="1280" width="8.7265625" style="75"/>
    <col min="1281" max="1281" width="45.81640625" style="75" customWidth="1"/>
    <col min="1282" max="1285" width="14.81640625" style="75" customWidth="1"/>
    <col min="1286" max="1286" width="0" style="75" hidden="1" customWidth="1"/>
    <col min="1287" max="1287" width="14.81640625" style="75" customWidth="1"/>
    <col min="1288" max="1288" width="0" style="75" hidden="1" customWidth="1"/>
    <col min="1289" max="1290" width="9.26953125" style="75" customWidth="1"/>
    <col min="1291" max="1536" width="8.7265625" style="75"/>
    <col min="1537" max="1537" width="45.81640625" style="75" customWidth="1"/>
    <col min="1538" max="1541" width="14.81640625" style="75" customWidth="1"/>
    <col min="1542" max="1542" width="0" style="75" hidden="1" customWidth="1"/>
    <col min="1543" max="1543" width="14.81640625" style="75" customWidth="1"/>
    <col min="1544" max="1544" width="0" style="75" hidden="1" customWidth="1"/>
    <col min="1545" max="1546" width="9.26953125" style="75" customWidth="1"/>
    <col min="1547" max="1792" width="8.7265625" style="75"/>
    <col min="1793" max="1793" width="45.81640625" style="75" customWidth="1"/>
    <col min="1794" max="1797" width="14.81640625" style="75" customWidth="1"/>
    <col min="1798" max="1798" width="0" style="75" hidden="1" customWidth="1"/>
    <col min="1799" max="1799" width="14.81640625" style="75" customWidth="1"/>
    <col min="1800" max="1800" width="0" style="75" hidden="1" customWidth="1"/>
    <col min="1801" max="1802" width="9.26953125" style="75" customWidth="1"/>
    <col min="1803" max="2048" width="8.7265625" style="75"/>
    <col min="2049" max="2049" width="45.81640625" style="75" customWidth="1"/>
    <col min="2050" max="2053" width="14.81640625" style="75" customWidth="1"/>
    <col min="2054" max="2054" width="0" style="75" hidden="1" customWidth="1"/>
    <col min="2055" max="2055" width="14.81640625" style="75" customWidth="1"/>
    <col min="2056" max="2056" width="0" style="75" hidden="1" customWidth="1"/>
    <col min="2057" max="2058" width="9.26953125" style="75" customWidth="1"/>
    <col min="2059" max="2304" width="8.7265625" style="75"/>
    <col min="2305" max="2305" width="45.81640625" style="75" customWidth="1"/>
    <col min="2306" max="2309" width="14.81640625" style="75" customWidth="1"/>
    <col min="2310" max="2310" width="0" style="75" hidden="1" customWidth="1"/>
    <col min="2311" max="2311" width="14.81640625" style="75" customWidth="1"/>
    <col min="2312" max="2312" width="0" style="75" hidden="1" customWidth="1"/>
    <col min="2313" max="2314" width="9.26953125" style="75" customWidth="1"/>
    <col min="2315" max="2560" width="8.7265625" style="75"/>
    <col min="2561" max="2561" width="45.81640625" style="75" customWidth="1"/>
    <col min="2562" max="2565" width="14.81640625" style="75" customWidth="1"/>
    <col min="2566" max="2566" width="0" style="75" hidden="1" customWidth="1"/>
    <col min="2567" max="2567" width="14.81640625" style="75" customWidth="1"/>
    <col min="2568" max="2568" width="0" style="75" hidden="1" customWidth="1"/>
    <col min="2569" max="2570" width="9.26953125" style="75" customWidth="1"/>
    <col min="2571" max="2816" width="8.7265625" style="75"/>
    <col min="2817" max="2817" width="45.81640625" style="75" customWidth="1"/>
    <col min="2818" max="2821" width="14.81640625" style="75" customWidth="1"/>
    <col min="2822" max="2822" width="0" style="75" hidden="1" customWidth="1"/>
    <col min="2823" max="2823" width="14.81640625" style="75" customWidth="1"/>
    <col min="2824" max="2824" width="0" style="75" hidden="1" customWidth="1"/>
    <col min="2825" max="2826" width="9.26953125" style="75" customWidth="1"/>
    <col min="2827" max="3072" width="8.7265625" style="75"/>
    <col min="3073" max="3073" width="45.81640625" style="75" customWidth="1"/>
    <col min="3074" max="3077" width="14.81640625" style="75" customWidth="1"/>
    <col min="3078" max="3078" width="0" style="75" hidden="1" customWidth="1"/>
    <col min="3079" max="3079" width="14.81640625" style="75" customWidth="1"/>
    <col min="3080" max="3080" width="0" style="75" hidden="1" customWidth="1"/>
    <col min="3081" max="3082" width="9.26953125" style="75" customWidth="1"/>
    <col min="3083" max="3328" width="8.7265625" style="75"/>
    <col min="3329" max="3329" width="45.81640625" style="75" customWidth="1"/>
    <col min="3330" max="3333" width="14.81640625" style="75" customWidth="1"/>
    <col min="3334" max="3334" width="0" style="75" hidden="1" customWidth="1"/>
    <col min="3335" max="3335" width="14.81640625" style="75" customWidth="1"/>
    <col min="3336" max="3336" width="0" style="75" hidden="1" customWidth="1"/>
    <col min="3337" max="3338" width="9.26953125" style="75" customWidth="1"/>
    <col min="3339" max="3584" width="8.7265625" style="75"/>
    <col min="3585" max="3585" width="45.81640625" style="75" customWidth="1"/>
    <col min="3586" max="3589" width="14.81640625" style="75" customWidth="1"/>
    <col min="3590" max="3590" width="0" style="75" hidden="1" customWidth="1"/>
    <col min="3591" max="3591" width="14.81640625" style="75" customWidth="1"/>
    <col min="3592" max="3592" width="0" style="75" hidden="1" customWidth="1"/>
    <col min="3593" max="3594" width="9.26953125" style="75" customWidth="1"/>
    <col min="3595" max="3840" width="8.7265625" style="75"/>
    <col min="3841" max="3841" width="45.81640625" style="75" customWidth="1"/>
    <col min="3842" max="3845" width="14.81640625" style="75" customWidth="1"/>
    <col min="3846" max="3846" width="0" style="75" hidden="1" customWidth="1"/>
    <col min="3847" max="3847" width="14.81640625" style="75" customWidth="1"/>
    <col min="3848" max="3848" width="0" style="75" hidden="1" customWidth="1"/>
    <col min="3849" max="3850" width="9.26953125" style="75" customWidth="1"/>
    <col min="3851" max="4096" width="8.7265625" style="75"/>
    <col min="4097" max="4097" width="45.81640625" style="75" customWidth="1"/>
    <col min="4098" max="4101" width="14.81640625" style="75" customWidth="1"/>
    <col min="4102" max="4102" width="0" style="75" hidden="1" customWidth="1"/>
    <col min="4103" max="4103" width="14.81640625" style="75" customWidth="1"/>
    <col min="4104" max="4104" width="0" style="75" hidden="1" customWidth="1"/>
    <col min="4105" max="4106" width="9.26953125" style="75" customWidth="1"/>
    <col min="4107" max="4352" width="8.7265625" style="75"/>
    <col min="4353" max="4353" width="45.81640625" style="75" customWidth="1"/>
    <col min="4354" max="4357" width="14.81640625" style="75" customWidth="1"/>
    <col min="4358" max="4358" width="0" style="75" hidden="1" customWidth="1"/>
    <col min="4359" max="4359" width="14.81640625" style="75" customWidth="1"/>
    <col min="4360" max="4360" width="0" style="75" hidden="1" customWidth="1"/>
    <col min="4361" max="4362" width="9.26953125" style="75" customWidth="1"/>
    <col min="4363" max="4608" width="8.7265625" style="75"/>
    <col min="4609" max="4609" width="45.81640625" style="75" customWidth="1"/>
    <col min="4610" max="4613" width="14.81640625" style="75" customWidth="1"/>
    <col min="4614" max="4614" width="0" style="75" hidden="1" customWidth="1"/>
    <col min="4615" max="4615" width="14.81640625" style="75" customWidth="1"/>
    <col min="4616" max="4616" width="0" style="75" hidden="1" customWidth="1"/>
    <col min="4617" max="4618" width="9.26953125" style="75" customWidth="1"/>
    <col min="4619" max="4864" width="8.7265625" style="75"/>
    <col min="4865" max="4865" width="45.81640625" style="75" customWidth="1"/>
    <col min="4866" max="4869" width="14.81640625" style="75" customWidth="1"/>
    <col min="4870" max="4870" width="0" style="75" hidden="1" customWidth="1"/>
    <col min="4871" max="4871" width="14.81640625" style="75" customWidth="1"/>
    <col min="4872" max="4872" width="0" style="75" hidden="1" customWidth="1"/>
    <col min="4873" max="4874" width="9.26953125" style="75" customWidth="1"/>
    <col min="4875" max="5120" width="8.7265625" style="75"/>
    <col min="5121" max="5121" width="45.81640625" style="75" customWidth="1"/>
    <col min="5122" max="5125" width="14.81640625" style="75" customWidth="1"/>
    <col min="5126" max="5126" width="0" style="75" hidden="1" customWidth="1"/>
    <col min="5127" max="5127" width="14.81640625" style="75" customWidth="1"/>
    <col min="5128" max="5128" width="0" style="75" hidden="1" customWidth="1"/>
    <col min="5129" max="5130" width="9.26953125" style="75" customWidth="1"/>
    <col min="5131" max="5376" width="8.7265625" style="75"/>
    <col min="5377" max="5377" width="45.81640625" style="75" customWidth="1"/>
    <col min="5378" max="5381" width="14.81640625" style="75" customWidth="1"/>
    <col min="5382" max="5382" width="0" style="75" hidden="1" customWidth="1"/>
    <col min="5383" max="5383" width="14.81640625" style="75" customWidth="1"/>
    <col min="5384" max="5384" width="0" style="75" hidden="1" customWidth="1"/>
    <col min="5385" max="5386" width="9.26953125" style="75" customWidth="1"/>
    <col min="5387" max="5632" width="8.7265625" style="75"/>
    <col min="5633" max="5633" width="45.81640625" style="75" customWidth="1"/>
    <col min="5634" max="5637" width="14.81640625" style="75" customWidth="1"/>
    <col min="5638" max="5638" width="0" style="75" hidden="1" customWidth="1"/>
    <col min="5639" max="5639" width="14.81640625" style="75" customWidth="1"/>
    <col min="5640" max="5640" width="0" style="75" hidden="1" customWidth="1"/>
    <col min="5641" max="5642" width="9.26953125" style="75" customWidth="1"/>
    <col min="5643" max="5888" width="8.7265625" style="75"/>
    <col min="5889" max="5889" width="45.81640625" style="75" customWidth="1"/>
    <col min="5890" max="5893" width="14.81640625" style="75" customWidth="1"/>
    <col min="5894" max="5894" width="0" style="75" hidden="1" customWidth="1"/>
    <col min="5895" max="5895" width="14.81640625" style="75" customWidth="1"/>
    <col min="5896" max="5896" width="0" style="75" hidden="1" customWidth="1"/>
    <col min="5897" max="5898" width="9.26953125" style="75" customWidth="1"/>
    <col min="5899" max="6144" width="8.7265625" style="75"/>
    <col min="6145" max="6145" width="45.81640625" style="75" customWidth="1"/>
    <col min="6146" max="6149" width="14.81640625" style="75" customWidth="1"/>
    <col min="6150" max="6150" width="0" style="75" hidden="1" customWidth="1"/>
    <col min="6151" max="6151" width="14.81640625" style="75" customWidth="1"/>
    <col min="6152" max="6152" width="0" style="75" hidden="1" customWidth="1"/>
    <col min="6153" max="6154" width="9.26953125" style="75" customWidth="1"/>
    <col min="6155" max="6400" width="8.7265625" style="75"/>
    <col min="6401" max="6401" width="45.81640625" style="75" customWidth="1"/>
    <col min="6402" max="6405" width="14.81640625" style="75" customWidth="1"/>
    <col min="6406" max="6406" width="0" style="75" hidden="1" customWidth="1"/>
    <col min="6407" max="6407" width="14.81640625" style="75" customWidth="1"/>
    <col min="6408" max="6408" width="0" style="75" hidden="1" customWidth="1"/>
    <col min="6409" max="6410" width="9.26953125" style="75" customWidth="1"/>
    <col min="6411" max="6656" width="8.7265625" style="75"/>
    <col min="6657" max="6657" width="45.81640625" style="75" customWidth="1"/>
    <col min="6658" max="6661" width="14.81640625" style="75" customWidth="1"/>
    <col min="6662" max="6662" width="0" style="75" hidden="1" customWidth="1"/>
    <col min="6663" max="6663" width="14.81640625" style="75" customWidth="1"/>
    <col min="6664" max="6664" width="0" style="75" hidden="1" customWidth="1"/>
    <col min="6665" max="6666" width="9.26953125" style="75" customWidth="1"/>
    <col min="6667" max="6912" width="8.7265625" style="75"/>
    <col min="6913" max="6913" width="45.81640625" style="75" customWidth="1"/>
    <col min="6914" max="6917" width="14.81640625" style="75" customWidth="1"/>
    <col min="6918" max="6918" width="0" style="75" hidden="1" customWidth="1"/>
    <col min="6919" max="6919" width="14.81640625" style="75" customWidth="1"/>
    <col min="6920" max="6920" width="0" style="75" hidden="1" customWidth="1"/>
    <col min="6921" max="6922" width="9.26953125" style="75" customWidth="1"/>
    <col min="6923" max="7168" width="8.7265625" style="75"/>
    <col min="7169" max="7169" width="45.81640625" style="75" customWidth="1"/>
    <col min="7170" max="7173" width="14.81640625" style="75" customWidth="1"/>
    <col min="7174" max="7174" width="0" style="75" hidden="1" customWidth="1"/>
    <col min="7175" max="7175" width="14.81640625" style="75" customWidth="1"/>
    <col min="7176" max="7176" width="0" style="75" hidden="1" customWidth="1"/>
    <col min="7177" max="7178" width="9.26953125" style="75" customWidth="1"/>
    <col min="7179" max="7424" width="8.7265625" style="75"/>
    <col min="7425" max="7425" width="45.81640625" style="75" customWidth="1"/>
    <col min="7426" max="7429" width="14.81640625" style="75" customWidth="1"/>
    <col min="7430" max="7430" width="0" style="75" hidden="1" customWidth="1"/>
    <col min="7431" max="7431" width="14.81640625" style="75" customWidth="1"/>
    <col min="7432" max="7432" width="0" style="75" hidden="1" customWidth="1"/>
    <col min="7433" max="7434" width="9.26953125" style="75" customWidth="1"/>
    <col min="7435" max="7680" width="8.7265625" style="75"/>
    <col min="7681" max="7681" width="45.81640625" style="75" customWidth="1"/>
    <col min="7682" max="7685" width="14.81640625" style="75" customWidth="1"/>
    <col min="7686" max="7686" width="0" style="75" hidden="1" customWidth="1"/>
    <col min="7687" max="7687" width="14.81640625" style="75" customWidth="1"/>
    <col min="7688" max="7688" width="0" style="75" hidden="1" customWidth="1"/>
    <col min="7689" max="7690" width="9.26953125" style="75" customWidth="1"/>
    <col min="7691" max="7936" width="8.7265625" style="75"/>
    <col min="7937" max="7937" width="45.81640625" style="75" customWidth="1"/>
    <col min="7938" max="7941" width="14.81640625" style="75" customWidth="1"/>
    <col min="7942" max="7942" width="0" style="75" hidden="1" customWidth="1"/>
    <col min="7943" max="7943" width="14.81640625" style="75" customWidth="1"/>
    <col min="7944" max="7944" width="0" style="75" hidden="1" customWidth="1"/>
    <col min="7945" max="7946" width="9.26953125" style="75" customWidth="1"/>
    <col min="7947" max="8192" width="8.7265625" style="75"/>
    <col min="8193" max="8193" width="45.81640625" style="75" customWidth="1"/>
    <col min="8194" max="8197" width="14.81640625" style="75" customWidth="1"/>
    <col min="8198" max="8198" width="0" style="75" hidden="1" customWidth="1"/>
    <col min="8199" max="8199" width="14.81640625" style="75" customWidth="1"/>
    <col min="8200" max="8200" width="0" style="75" hidden="1" customWidth="1"/>
    <col min="8201" max="8202" width="9.26953125" style="75" customWidth="1"/>
    <col min="8203" max="8448" width="8.7265625" style="75"/>
    <col min="8449" max="8449" width="45.81640625" style="75" customWidth="1"/>
    <col min="8450" max="8453" width="14.81640625" style="75" customWidth="1"/>
    <col min="8454" max="8454" width="0" style="75" hidden="1" customWidth="1"/>
    <col min="8455" max="8455" width="14.81640625" style="75" customWidth="1"/>
    <col min="8456" max="8456" width="0" style="75" hidden="1" customWidth="1"/>
    <col min="8457" max="8458" width="9.26953125" style="75" customWidth="1"/>
    <col min="8459" max="8704" width="8.7265625" style="75"/>
    <col min="8705" max="8705" width="45.81640625" style="75" customWidth="1"/>
    <col min="8706" max="8709" width="14.81640625" style="75" customWidth="1"/>
    <col min="8710" max="8710" width="0" style="75" hidden="1" customWidth="1"/>
    <col min="8711" max="8711" width="14.81640625" style="75" customWidth="1"/>
    <col min="8712" max="8712" width="0" style="75" hidden="1" customWidth="1"/>
    <col min="8713" max="8714" width="9.26953125" style="75" customWidth="1"/>
    <col min="8715" max="8960" width="8.7265625" style="75"/>
    <col min="8961" max="8961" width="45.81640625" style="75" customWidth="1"/>
    <col min="8962" max="8965" width="14.81640625" style="75" customWidth="1"/>
    <col min="8966" max="8966" width="0" style="75" hidden="1" customWidth="1"/>
    <col min="8967" max="8967" width="14.81640625" style="75" customWidth="1"/>
    <col min="8968" max="8968" width="0" style="75" hidden="1" customWidth="1"/>
    <col min="8969" max="8970" width="9.26953125" style="75" customWidth="1"/>
    <col min="8971" max="9216" width="8.7265625" style="75"/>
    <col min="9217" max="9217" width="45.81640625" style="75" customWidth="1"/>
    <col min="9218" max="9221" width="14.81640625" style="75" customWidth="1"/>
    <col min="9222" max="9222" width="0" style="75" hidden="1" customWidth="1"/>
    <col min="9223" max="9223" width="14.81640625" style="75" customWidth="1"/>
    <col min="9224" max="9224" width="0" style="75" hidden="1" customWidth="1"/>
    <col min="9225" max="9226" width="9.26953125" style="75" customWidth="1"/>
    <col min="9227" max="9472" width="8.7265625" style="75"/>
    <col min="9473" max="9473" width="45.81640625" style="75" customWidth="1"/>
    <col min="9474" max="9477" width="14.81640625" style="75" customWidth="1"/>
    <col min="9478" max="9478" width="0" style="75" hidden="1" customWidth="1"/>
    <col min="9479" max="9479" width="14.81640625" style="75" customWidth="1"/>
    <col min="9480" max="9480" width="0" style="75" hidden="1" customWidth="1"/>
    <col min="9481" max="9482" width="9.26953125" style="75" customWidth="1"/>
    <col min="9483" max="9728" width="8.7265625" style="75"/>
    <col min="9729" max="9729" width="45.81640625" style="75" customWidth="1"/>
    <col min="9730" max="9733" width="14.81640625" style="75" customWidth="1"/>
    <col min="9734" max="9734" width="0" style="75" hidden="1" customWidth="1"/>
    <col min="9735" max="9735" width="14.81640625" style="75" customWidth="1"/>
    <col min="9736" max="9736" width="0" style="75" hidden="1" customWidth="1"/>
    <col min="9737" max="9738" width="9.26953125" style="75" customWidth="1"/>
    <col min="9739" max="9984" width="8.7265625" style="75"/>
    <col min="9985" max="9985" width="45.81640625" style="75" customWidth="1"/>
    <col min="9986" max="9989" width="14.81640625" style="75" customWidth="1"/>
    <col min="9990" max="9990" width="0" style="75" hidden="1" customWidth="1"/>
    <col min="9991" max="9991" width="14.81640625" style="75" customWidth="1"/>
    <col min="9992" max="9992" width="0" style="75" hidden="1" customWidth="1"/>
    <col min="9993" max="9994" width="9.26953125" style="75" customWidth="1"/>
    <col min="9995" max="10240" width="8.7265625" style="75"/>
    <col min="10241" max="10241" width="45.81640625" style="75" customWidth="1"/>
    <col min="10242" max="10245" width="14.81640625" style="75" customWidth="1"/>
    <col min="10246" max="10246" width="0" style="75" hidden="1" customWidth="1"/>
    <col min="10247" max="10247" width="14.81640625" style="75" customWidth="1"/>
    <col min="10248" max="10248" width="0" style="75" hidden="1" customWidth="1"/>
    <col min="10249" max="10250" width="9.26953125" style="75" customWidth="1"/>
    <col min="10251" max="10496" width="8.7265625" style="75"/>
    <col min="10497" max="10497" width="45.81640625" style="75" customWidth="1"/>
    <col min="10498" max="10501" width="14.81640625" style="75" customWidth="1"/>
    <col min="10502" max="10502" width="0" style="75" hidden="1" customWidth="1"/>
    <col min="10503" max="10503" width="14.81640625" style="75" customWidth="1"/>
    <col min="10504" max="10504" width="0" style="75" hidden="1" customWidth="1"/>
    <col min="10505" max="10506" width="9.26953125" style="75" customWidth="1"/>
    <col min="10507" max="10752" width="8.7265625" style="75"/>
    <col min="10753" max="10753" width="45.81640625" style="75" customWidth="1"/>
    <col min="10754" max="10757" width="14.81640625" style="75" customWidth="1"/>
    <col min="10758" max="10758" width="0" style="75" hidden="1" customWidth="1"/>
    <col min="10759" max="10759" width="14.81640625" style="75" customWidth="1"/>
    <col min="10760" max="10760" width="0" style="75" hidden="1" customWidth="1"/>
    <col min="10761" max="10762" width="9.26953125" style="75" customWidth="1"/>
    <col min="10763" max="11008" width="8.7265625" style="75"/>
    <col min="11009" max="11009" width="45.81640625" style="75" customWidth="1"/>
    <col min="11010" max="11013" width="14.81640625" style="75" customWidth="1"/>
    <col min="11014" max="11014" width="0" style="75" hidden="1" customWidth="1"/>
    <col min="11015" max="11015" width="14.81640625" style="75" customWidth="1"/>
    <col min="11016" max="11016" width="0" style="75" hidden="1" customWidth="1"/>
    <col min="11017" max="11018" width="9.26953125" style="75" customWidth="1"/>
    <col min="11019" max="11264" width="8.7265625" style="75"/>
    <col min="11265" max="11265" width="45.81640625" style="75" customWidth="1"/>
    <col min="11266" max="11269" width="14.81640625" style="75" customWidth="1"/>
    <col min="11270" max="11270" width="0" style="75" hidden="1" customWidth="1"/>
    <col min="11271" max="11271" width="14.81640625" style="75" customWidth="1"/>
    <col min="11272" max="11272" width="0" style="75" hidden="1" customWidth="1"/>
    <col min="11273" max="11274" width="9.26953125" style="75" customWidth="1"/>
    <col min="11275" max="11520" width="8.7265625" style="75"/>
    <col min="11521" max="11521" width="45.81640625" style="75" customWidth="1"/>
    <col min="11522" max="11525" width="14.81640625" style="75" customWidth="1"/>
    <col min="11526" max="11526" width="0" style="75" hidden="1" customWidth="1"/>
    <col min="11527" max="11527" width="14.81640625" style="75" customWidth="1"/>
    <col min="11528" max="11528" width="0" style="75" hidden="1" customWidth="1"/>
    <col min="11529" max="11530" width="9.26953125" style="75" customWidth="1"/>
    <col min="11531" max="11776" width="8.7265625" style="75"/>
    <col min="11777" max="11777" width="45.81640625" style="75" customWidth="1"/>
    <col min="11778" max="11781" width="14.81640625" style="75" customWidth="1"/>
    <col min="11782" max="11782" width="0" style="75" hidden="1" customWidth="1"/>
    <col min="11783" max="11783" width="14.81640625" style="75" customWidth="1"/>
    <col min="11784" max="11784" width="0" style="75" hidden="1" customWidth="1"/>
    <col min="11785" max="11786" width="9.26953125" style="75" customWidth="1"/>
    <col min="11787" max="12032" width="8.7265625" style="75"/>
    <col min="12033" max="12033" width="45.81640625" style="75" customWidth="1"/>
    <col min="12034" max="12037" width="14.81640625" style="75" customWidth="1"/>
    <col min="12038" max="12038" width="0" style="75" hidden="1" customWidth="1"/>
    <col min="12039" max="12039" width="14.81640625" style="75" customWidth="1"/>
    <col min="12040" max="12040" width="0" style="75" hidden="1" customWidth="1"/>
    <col min="12041" max="12042" width="9.26953125" style="75" customWidth="1"/>
    <col min="12043" max="12288" width="8.7265625" style="75"/>
    <col min="12289" max="12289" width="45.81640625" style="75" customWidth="1"/>
    <col min="12290" max="12293" width="14.81640625" style="75" customWidth="1"/>
    <col min="12294" max="12294" width="0" style="75" hidden="1" customWidth="1"/>
    <col min="12295" max="12295" width="14.81640625" style="75" customWidth="1"/>
    <col min="12296" max="12296" width="0" style="75" hidden="1" customWidth="1"/>
    <col min="12297" max="12298" width="9.26953125" style="75" customWidth="1"/>
    <col min="12299" max="12544" width="8.7265625" style="75"/>
    <col min="12545" max="12545" width="45.81640625" style="75" customWidth="1"/>
    <col min="12546" max="12549" width="14.81640625" style="75" customWidth="1"/>
    <col min="12550" max="12550" width="0" style="75" hidden="1" customWidth="1"/>
    <col min="12551" max="12551" width="14.81640625" style="75" customWidth="1"/>
    <col min="12552" max="12552" width="0" style="75" hidden="1" customWidth="1"/>
    <col min="12553" max="12554" width="9.26953125" style="75" customWidth="1"/>
    <col min="12555" max="12800" width="8.7265625" style="75"/>
    <col min="12801" max="12801" width="45.81640625" style="75" customWidth="1"/>
    <col min="12802" max="12805" width="14.81640625" style="75" customWidth="1"/>
    <col min="12806" max="12806" width="0" style="75" hidden="1" customWidth="1"/>
    <col min="12807" max="12807" width="14.81640625" style="75" customWidth="1"/>
    <col min="12808" max="12808" width="0" style="75" hidden="1" customWidth="1"/>
    <col min="12809" max="12810" width="9.26953125" style="75" customWidth="1"/>
    <col min="12811" max="13056" width="8.7265625" style="75"/>
    <col min="13057" max="13057" width="45.81640625" style="75" customWidth="1"/>
    <col min="13058" max="13061" width="14.81640625" style="75" customWidth="1"/>
    <col min="13062" max="13062" width="0" style="75" hidden="1" customWidth="1"/>
    <col min="13063" max="13063" width="14.81640625" style="75" customWidth="1"/>
    <col min="13064" max="13064" width="0" style="75" hidden="1" customWidth="1"/>
    <col min="13065" max="13066" width="9.26953125" style="75" customWidth="1"/>
    <col min="13067" max="13312" width="8.7265625" style="75"/>
    <col min="13313" max="13313" width="45.81640625" style="75" customWidth="1"/>
    <col min="13314" max="13317" width="14.81640625" style="75" customWidth="1"/>
    <col min="13318" max="13318" width="0" style="75" hidden="1" customWidth="1"/>
    <col min="13319" max="13319" width="14.81640625" style="75" customWidth="1"/>
    <col min="13320" max="13320" width="0" style="75" hidden="1" customWidth="1"/>
    <col min="13321" max="13322" width="9.26953125" style="75" customWidth="1"/>
    <col min="13323" max="13568" width="8.7265625" style="75"/>
    <col min="13569" max="13569" width="45.81640625" style="75" customWidth="1"/>
    <col min="13570" max="13573" width="14.81640625" style="75" customWidth="1"/>
    <col min="13574" max="13574" width="0" style="75" hidden="1" customWidth="1"/>
    <col min="13575" max="13575" width="14.81640625" style="75" customWidth="1"/>
    <col min="13576" max="13576" width="0" style="75" hidden="1" customWidth="1"/>
    <col min="13577" max="13578" width="9.26953125" style="75" customWidth="1"/>
    <col min="13579" max="13824" width="8.7265625" style="75"/>
    <col min="13825" max="13825" width="45.81640625" style="75" customWidth="1"/>
    <col min="13826" max="13829" width="14.81640625" style="75" customWidth="1"/>
    <col min="13830" max="13830" width="0" style="75" hidden="1" customWidth="1"/>
    <col min="13831" max="13831" width="14.81640625" style="75" customWidth="1"/>
    <col min="13832" max="13832" width="0" style="75" hidden="1" customWidth="1"/>
    <col min="13833" max="13834" width="9.26953125" style="75" customWidth="1"/>
    <col min="13835" max="14080" width="8.7265625" style="75"/>
    <col min="14081" max="14081" width="45.81640625" style="75" customWidth="1"/>
    <col min="14082" max="14085" width="14.81640625" style="75" customWidth="1"/>
    <col min="14086" max="14086" width="0" style="75" hidden="1" customWidth="1"/>
    <col min="14087" max="14087" width="14.81640625" style="75" customWidth="1"/>
    <col min="14088" max="14088" width="0" style="75" hidden="1" customWidth="1"/>
    <col min="14089" max="14090" width="9.26953125" style="75" customWidth="1"/>
    <col min="14091" max="14336" width="8.7265625" style="75"/>
    <col min="14337" max="14337" width="45.81640625" style="75" customWidth="1"/>
    <col min="14338" max="14341" width="14.81640625" style="75" customWidth="1"/>
    <col min="14342" max="14342" width="0" style="75" hidden="1" customWidth="1"/>
    <col min="14343" max="14343" width="14.81640625" style="75" customWidth="1"/>
    <col min="14344" max="14344" width="0" style="75" hidden="1" customWidth="1"/>
    <col min="14345" max="14346" width="9.26953125" style="75" customWidth="1"/>
    <col min="14347" max="14592" width="8.7265625" style="75"/>
    <col min="14593" max="14593" width="45.81640625" style="75" customWidth="1"/>
    <col min="14594" max="14597" width="14.81640625" style="75" customWidth="1"/>
    <col min="14598" max="14598" width="0" style="75" hidden="1" customWidth="1"/>
    <col min="14599" max="14599" width="14.81640625" style="75" customWidth="1"/>
    <col min="14600" max="14600" width="0" style="75" hidden="1" customWidth="1"/>
    <col min="14601" max="14602" width="9.26953125" style="75" customWidth="1"/>
    <col min="14603" max="14848" width="8.7265625" style="75"/>
    <col min="14849" max="14849" width="45.81640625" style="75" customWidth="1"/>
    <col min="14850" max="14853" width="14.81640625" style="75" customWidth="1"/>
    <col min="14854" max="14854" width="0" style="75" hidden="1" customWidth="1"/>
    <col min="14855" max="14855" width="14.81640625" style="75" customWidth="1"/>
    <col min="14856" max="14856" width="0" style="75" hidden="1" customWidth="1"/>
    <col min="14857" max="14858" width="9.26953125" style="75" customWidth="1"/>
    <col min="14859" max="15104" width="8.7265625" style="75"/>
    <col min="15105" max="15105" width="45.81640625" style="75" customWidth="1"/>
    <col min="15106" max="15109" width="14.81640625" style="75" customWidth="1"/>
    <col min="15110" max="15110" width="0" style="75" hidden="1" customWidth="1"/>
    <col min="15111" max="15111" width="14.81640625" style="75" customWidth="1"/>
    <col min="15112" max="15112" width="0" style="75" hidden="1" customWidth="1"/>
    <col min="15113" max="15114" width="9.26953125" style="75" customWidth="1"/>
    <col min="15115" max="15360" width="8.7265625" style="75"/>
    <col min="15361" max="15361" width="45.81640625" style="75" customWidth="1"/>
    <col min="15362" max="15365" width="14.81640625" style="75" customWidth="1"/>
    <col min="15366" max="15366" width="0" style="75" hidden="1" customWidth="1"/>
    <col min="15367" max="15367" width="14.81640625" style="75" customWidth="1"/>
    <col min="15368" max="15368" width="0" style="75" hidden="1" customWidth="1"/>
    <col min="15369" max="15370" width="9.26953125" style="75" customWidth="1"/>
    <col min="15371" max="15616" width="8.7265625" style="75"/>
    <col min="15617" max="15617" width="45.81640625" style="75" customWidth="1"/>
    <col min="15618" max="15621" width="14.81640625" style="75" customWidth="1"/>
    <col min="15622" max="15622" width="0" style="75" hidden="1" customWidth="1"/>
    <col min="15623" max="15623" width="14.81640625" style="75" customWidth="1"/>
    <col min="15624" max="15624" width="0" style="75" hidden="1" customWidth="1"/>
    <col min="15625" max="15626" width="9.26953125" style="75" customWidth="1"/>
    <col min="15627" max="15872" width="8.7265625" style="75"/>
    <col min="15873" max="15873" width="45.81640625" style="75" customWidth="1"/>
    <col min="15874" max="15877" width="14.81640625" style="75" customWidth="1"/>
    <col min="15878" max="15878" width="0" style="75" hidden="1" customWidth="1"/>
    <col min="15879" max="15879" width="14.81640625" style="75" customWidth="1"/>
    <col min="15880" max="15880" width="0" style="75" hidden="1" customWidth="1"/>
    <col min="15881" max="15882" width="9.26953125" style="75" customWidth="1"/>
    <col min="15883" max="16128" width="8.7265625" style="75"/>
    <col min="16129" max="16129" width="45.81640625" style="75" customWidth="1"/>
    <col min="16130" max="16133" width="14.81640625" style="75" customWidth="1"/>
    <col min="16134" max="16134" width="0" style="75" hidden="1" customWidth="1"/>
    <col min="16135" max="16135" width="14.81640625" style="75" customWidth="1"/>
    <col min="16136" max="16136" width="0" style="75" hidden="1" customWidth="1"/>
    <col min="16137" max="16138" width="9.26953125" style="75" customWidth="1"/>
    <col min="16139" max="16384" width="8.7265625" style="75"/>
  </cols>
  <sheetData>
    <row r="5" spans="1:255" ht="17" x14ac:dyDescent="0.35">
      <c r="A5" s="74" t="s">
        <v>287</v>
      </c>
    </row>
    <row r="7" spans="1:255" ht="10.5" x14ac:dyDescent="0.25">
      <c r="A7" s="76" t="s">
        <v>245</v>
      </c>
      <c r="B7" s="77" t="s">
        <v>246</v>
      </c>
      <c r="C7" s="75" t="s">
        <v>247</v>
      </c>
      <c r="D7" s="78" t="s">
        <v>177</v>
      </c>
      <c r="E7" s="77" t="s">
        <v>248</v>
      </c>
      <c r="F7" s="75" t="s">
        <v>249</v>
      </c>
    </row>
    <row r="8" spans="1:255" ht="10.5" x14ac:dyDescent="0.25">
      <c r="A8" s="78"/>
      <c r="B8" s="77" t="s">
        <v>250</v>
      </c>
      <c r="C8" s="75" t="s">
        <v>251</v>
      </c>
      <c r="D8" s="78" t="s">
        <v>177</v>
      </c>
      <c r="E8" s="77" t="s">
        <v>180</v>
      </c>
      <c r="F8" s="75" t="s">
        <v>181</v>
      </c>
    </row>
    <row r="9" spans="1:255" ht="10.5" x14ac:dyDescent="0.25">
      <c r="A9" s="78"/>
      <c r="B9" s="77" t="s">
        <v>175</v>
      </c>
      <c r="C9" s="75" t="s">
        <v>252</v>
      </c>
      <c r="D9" s="78" t="s">
        <v>177</v>
      </c>
      <c r="E9" s="77" t="s">
        <v>178</v>
      </c>
      <c r="F9" s="75" t="s">
        <v>179</v>
      </c>
    </row>
    <row r="10" spans="1:255" ht="10.5" x14ac:dyDescent="0.25">
      <c r="A10" s="78"/>
      <c r="B10" s="77" t="s">
        <v>182</v>
      </c>
      <c r="C10" s="75" t="s">
        <v>183</v>
      </c>
      <c r="D10" s="78" t="s">
        <v>177</v>
      </c>
      <c r="E10" s="77" t="s">
        <v>184</v>
      </c>
      <c r="F10" s="79" t="s">
        <v>185</v>
      </c>
    </row>
    <row r="11" spans="1:255" ht="10.5" x14ac:dyDescent="0.25">
      <c r="A11" s="78"/>
      <c r="B11" s="77" t="s">
        <v>253</v>
      </c>
      <c r="C11" s="75" t="s">
        <v>254</v>
      </c>
      <c r="D11" s="78" t="s">
        <v>177</v>
      </c>
      <c r="E11" s="101"/>
      <c r="F11" s="101"/>
    </row>
    <row r="14" spans="1:255" x14ac:dyDescent="0.2">
      <c r="A14" s="80" t="s">
        <v>69</v>
      </c>
      <c r="B14" s="80"/>
      <c r="C14" s="80"/>
      <c r="D14" s="80"/>
      <c r="E14" s="80"/>
      <c r="F14" s="80"/>
      <c r="G14" s="80"/>
      <c r="H14" s="80"/>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c r="IU14" s="81"/>
    </row>
    <row r="15" spans="1:255" ht="21" x14ac:dyDescent="0.25">
      <c r="A15" s="82" t="s">
        <v>70</v>
      </c>
      <c r="B15" s="122">
        <v>43465</v>
      </c>
      <c r="C15" s="122">
        <v>43830</v>
      </c>
      <c r="D15" s="122">
        <v>44196</v>
      </c>
      <c r="E15" s="122">
        <v>44561</v>
      </c>
      <c r="F15" s="123">
        <v>44926</v>
      </c>
      <c r="G15" s="122">
        <v>44926</v>
      </c>
      <c r="H15" s="83" t="s">
        <v>71</v>
      </c>
    </row>
    <row r="16" spans="1:255" x14ac:dyDescent="0.2">
      <c r="A16" s="84" t="s">
        <v>26</v>
      </c>
      <c r="B16" s="85" t="s">
        <v>27</v>
      </c>
      <c r="C16" s="85" t="s">
        <v>27</v>
      </c>
      <c r="D16" s="85" t="s">
        <v>27</v>
      </c>
      <c r="E16" s="85" t="s">
        <v>27</v>
      </c>
      <c r="F16" s="103" t="s">
        <v>27</v>
      </c>
      <c r="G16" s="85" t="s">
        <v>27</v>
      </c>
      <c r="H16" s="85" t="s">
        <v>27</v>
      </c>
    </row>
    <row r="17" spans="1:8" ht="10.5" x14ac:dyDescent="0.2">
      <c r="A17" s="86" t="s">
        <v>72</v>
      </c>
      <c r="B17" s="78"/>
      <c r="C17" s="78"/>
      <c r="D17" s="78"/>
      <c r="E17" s="78"/>
      <c r="F17" s="78"/>
      <c r="G17" s="78"/>
      <c r="H17" s="78"/>
    </row>
    <row r="18" spans="1:8" x14ac:dyDescent="0.2">
      <c r="A18" s="78" t="s">
        <v>73</v>
      </c>
      <c r="B18" s="94">
        <v>3.234</v>
      </c>
      <c r="C18" s="94">
        <v>6.016</v>
      </c>
      <c r="D18" s="94">
        <v>59.767000000000003</v>
      </c>
      <c r="E18" s="94">
        <v>66.081999999999994</v>
      </c>
      <c r="F18" s="104">
        <v>41.179000000000002</v>
      </c>
      <c r="G18" s="94">
        <v>41.179000000000002</v>
      </c>
      <c r="H18" s="94">
        <v>44.366999999999997</v>
      </c>
    </row>
    <row r="19" spans="1:8" ht="10.5" x14ac:dyDescent="0.2">
      <c r="A19" s="86" t="s">
        <v>74</v>
      </c>
      <c r="B19" s="106">
        <v>3.234</v>
      </c>
      <c r="C19" s="106">
        <v>6.016</v>
      </c>
      <c r="D19" s="106">
        <v>59.767000000000003</v>
      </c>
      <c r="E19" s="106">
        <v>66.081999999999994</v>
      </c>
      <c r="F19" s="107">
        <v>41.179000000000002</v>
      </c>
      <c r="G19" s="106">
        <v>41.179000000000002</v>
      </c>
      <c r="H19" s="106">
        <v>44.366999999999997</v>
      </c>
    </row>
    <row r="20" spans="1:8" x14ac:dyDescent="0.2">
      <c r="A20" s="78"/>
      <c r="B20" s="78"/>
      <c r="C20" s="78"/>
      <c r="D20" s="78"/>
      <c r="E20" s="78"/>
      <c r="F20" s="78"/>
      <c r="G20" s="78"/>
      <c r="H20" s="78"/>
    </row>
    <row r="21" spans="1:8" x14ac:dyDescent="0.2">
      <c r="A21" s="78" t="s">
        <v>75</v>
      </c>
      <c r="B21" s="94">
        <v>2.4500000000000002</v>
      </c>
      <c r="C21" s="94">
        <v>3.0329999999999999</v>
      </c>
      <c r="D21" s="94">
        <v>3.7570000000000001</v>
      </c>
      <c r="E21" s="94">
        <v>5.2069999999999999</v>
      </c>
      <c r="F21" s="104">
        <v>38.536999999999999</v>
      </c>
      <c r="G21" s="94">
        <v>38.536999999999999</v>
      </c>
      <c r="H21" s="94">
        <v>42.347000000000001</v>
      </c>
    </row>
    <row r="22" spans="1:8" x14ac:dyDescent="0.2">
      <c r="A22" s="78" t="s">
        <v>76</v>
      </c>
      <c r="B22" s="94">
        <v>0.19</v>
      </c>
      <c r="C22" s="94">
        <v>0.25</v>
      </c>
      <c r="D22" s="94">
        <v>3.1920000000000002</v>
      </c>
      <c r="E22" s="94">
        <v>3.56</v>
      </c>
      <c r="F22" s="104">
        <v>9.1010000000000009</v>
      </c>
      <c r="G22" s="94">
        <v>4.3040000000000003</v>
      </c>
      <c r="H22" s="94">
        <v>4.6109999999999998</v>
      </c>
    </row>
    <row r="23" spans="1:8" ht="10.5" x14ac:dyDescent="0.2">
      <c r="A23" s="86" t="s">
        <v>77</v>
      </c>
      <c r="B23" s="106">
        <v>2.64</v>
      </c>
      <c r="C23" s="106">
        <v>3.2829999999999999</v>
      </c>
      <c r="D23" s="106">
        <v>6.9489999999999998</v>
      </c>
      <c r="E23" s="106">
        <v>8.7669999999999995</v>
      </c>
      <c r="F23" s="107">
        <v>47.637999999999998</v>
      </c>
      <c r="G23" s="106">
        <v>42.841000000000001</v>
      </c>
      <c r="H23" s="106">
        <v>46.957999999999998</v>
      </c>
    </row>
    <row r="24" spans="1:8" x14ac:dyDescent="0.2">
      <c r="A24" s="78"/>
      <c r="B24" s="78"/>
      <c r="C24" s="78"/>
      <c r="D24" s="78"/>
      <c r="E24" s="78"/>
      <c r="F24" s="78"/>
      <c r="G24" s="78"/>
      <c r="H24" s="78"/>
    </row>
    <row r="25" spans="1:8" x14ac:dyDescent="0.2">
      <c r="A25" s="78" t="s">
        <v>78</v>
      </c>
      <c r="B25" s="94">
        <v>0.50800000000000001</v>
      </c>
      <c r="C25" s="94">
        <v>0.90500000000000003</v>
      </c>
      <c r="D25" s="94">
        <v>1.446</v>
      </c>
      <c r="E25" s="94">
        <v>2.661</v>
      </c>
      <c r="F25" s="104">
        <v>5.7889999999999997</v>
      </c>
      <c r="G25" s="94">
        <v>5.7889999999999997</v>
      </c>
      <c r="H25" s="94">
        <v>8.4410000000000007</v>
      </c>
    </row>
    <row r="26" spans="1:8" x14ac:dyDescent="0.2">
      <c r="A26" s="78" t="s">
        <v>79</v>
      </c>
      <c r="B26" s="94" t="s">
        <v>30</v>
      </c>
      <c r="C26" s="94">
        <v>0.13800000000000001</v>
      </c>
      <c r="D26" s="94">
        <v>1.2E-2</v>
      </c>
      <c r="E26" s="94">
        <v>8.9999999999999993E-3</v>
      </c>
      <c r="F26" s="104">
        <v>0.48899999999999999</v>
      </c>
      <c r="G26" s="94">
        <v>0.48899999999999999</v>
      </c>
      <c r="H26" s="94">
        <v>0.5</v>
      </c>
    </row>
    <row r="27" spans="1:8" ht="10.5" x14ac:dyDescent="0.2">
      <c r="A27" s="86" t="s">
        <v>80</v>
      </c>
      <c r="B27" s="106">
        <v>6.3819999999999997</v>
      </c>
      <c r="C27" s="106">
        <v>10.342000000000001</v>
      </c>
      <c r="D27" s="106">
        <v>68.174000000000007</v>
      </c>
      <c r="E27" s="106">
        <v>77.519000000000005</v>
      </c>
      <c r="F27" s="107">
        <v>95.094999999999999</v>
      </c>
      <c r="G27" s="106">
        <v>90.298000000000002</v>
      </c>
      <c r="H27" s="106">
        <v>100.26600000000001</v>
      </c>
    </row>
    <row r="28" spans="1:8" x14ac:dyDescent="0.2">
      <c r="A28" s="78"/>
      <c r="B28" s="78"/>
      <c r="C28" s="78"/>
      <c r="D28" s="78"/>
      <c r="E28" s="78"/>
      <c r="F28" s="78"/>
      <c r="G28" s="78"/>
      <c r="H28" s="78"/>
    </row>
    <row r="29" spans="1:8" x14ac:dyDescent="0.2">
      <c r="A29" s="78" t="s">
        <v>81</v>
      </c>
      <c r="B29" s="94">
        <v>1.8080000000000001</v>
      </c>
      <c r="C29" s="94">
        <v>7.2519999999999998</v>
      </c>
      <c r="D29" s="94">
        <v>6.6189999999999998</v>
      </c>
      <c r="E29" s="94" t="s">
        <v>30</v>
      </c>
      <c r="F29" s="105" t="s">
        <v>30</v>
      </c>
      <c r="G29" s="94">
        <v>15.433999999999999</v>
      </c>
      <c r="H29" s="94" t="s">
        <v>30</v>
      </c>
    </row>
    <row r="30" spans="1:8" x14ac:dyDescent="0.2">
      <c r="A30" s="78" t="s">
        <v>82</v>
      </c>
      <c r="B30" s="94">
        <v>-1.3</v>
      </c>
      <c r="C30" s="94">
        <v>-1.7</v>
      </c>
      <c r="D30" s="94">
        <v>-2.2000000000000002</v>
      </c>
      <c r="E30" s="94" t="s">
        <v>30</v>
      </c>
      <c r="F30" s="105" t="s">
        <v>30</v>
      </c>
      <c r="G30" s="94">
        <v>-3.5</v>
      </c>
      <c r="H30" s="94" t="s">
        <v>30</v>
      </c>
    </row>
    <row r="31" spans="1:8" ht="10.5" x14ac:dyDescent="0.2">
      <c r="A31" s="86" t="s">
        <v>83</v>
      </c>
      <c r="B31" s="106">
        <v>0.52400000000000002</v>
      </c>
      <c r="C31" s="106">
        <v>5.5369999999999999</v>
      </c>
      <c r="D31" s="106">
        <v>4.4279999999999999</v>
      </c>
      <c r="E31" s="106">
        <v>10.041</v>
      </c>
      <c r="F31" s="107">
        <v>11.965</v>
      </c>
      <c r="G31" s="106">
        <v>11.965</v>
      </c>
      <c r="H31" s="106">
        <v>12.223000000000001</v>
      </c>
    </row>
    <row r="32" spans="1:8" x14ac:dyDescent="0.2">
      <c r="A32" s="78"/>
      <c r="B32" s="78"/>
      <c r="C32" s="78"/>
      <c r="D32" s="78"/>
      <c r="E32" s="78"/>
      <c r="F32" s="78"/>
      <c r="G32" s="78"/>
      <c r="H32" s="78"/>
    </row>
    <row r="33" spans="1:8" x14ac:dyDescent="0.2">
      <c r="A33" s="78" t="s">
        <v>84</v>
      </c>
      <c r="B33" s="94">
        <v>0.313</v>
      </c>
      <c r="C33" s="94">
        <v>0.60299999999999998</v>
      </c>
      <c r="D33" s="94" t="s">
        <v>30</v>
      </c>
      <c r="E33" s="94" t="s">
        <v>30</v>
      </c>
      <c r="F33" s="104">
        <v>4.7699999999999996</v>
      </c>
      <c r="G33" s="94">
        <v>4.7699999999999996</v>
      </c>
      <c r="H33" s="94">
        <v>5.2549999999999999</v>
      </c>
    </row>
    <row r="34" spans="1:8" x14ac:dyDescent="0.2">
      <c r="A34" s="78" t="s">
        <v>85</v>
      </c>
      <c r="B34" s="94" t="s">
        <v>30</v>
      </c>
      <c r="C34" s="94" t="s">
        <v>30</v>
      </c>
      <c r="D34" s="94" t="s">
        <v>30</v>
      </c>
      <c r="E34" s="94" t="s">
        <v>30</v>
      </c>
      <c r="F34" s="105" t="s">
        <v>30</v>
      </c>
      <c r="G34" s="94">
        <v>180.86600000000001</v>
      </c>
      <c r="H34" s="94" t="s">
        <v>30</v>
      </c>
    </row>
    <row r="35" spans="1:8" x14ac:dyDescent="0.2">
      <c r="A35" s="78" t="s">
        <v>86</v>
      </c>
      <c r="B35" s="94">
        <v>10.731</v>
      </c>
      <c r="C35" s="94">
        <v>14.413</v>
      </c>
      <c r="D35" s="94">
        <v>17.835000000000001</v>
      </c>
      <c r="E35" s="94">
        <v>22.353999999999999</v>
      </c>
      <c r="F35" s="104">
        <v>339.90800000000002</v>
      </c>
      <c r="G35" s="94">
        <v>166.34700000000001</v>
      </c>
      <c r="H35" s="94">
        <v>350.096</v>
      </c>
    </row>
    <row r="36" spans="1:8" x14ac:dyDescent="0.2">
      <c r="A36" s="78" t="s">
        <v>87</v>
      </c>
      <c r="B36" s="94">
        <v>0.124</v>
      </c>
      <c r="C36" s="94">
        <v>0.13</v>
      </c>
      <c r="D36" s="94">
        <v>0.21099999999999999</v>
      </c>
      <c r="E36" s="94">
        <v>1.839</v>
      </c>
      <c r="F36" s="104">
        <v>2.4510000000000001</v>
      </c>
      <c r="G36" s="94">
        <v>2.4510000000000001</v>
      </c>
      <c r="H36" s="94">
        <v>2.1669999999999998</v>
      </c>
    </row>
    <row r="37" spans="1:8" x14ac:dyDescent="0.2">
      <c r="A37" s="78" t="s">
        <v>88</v>
      </c>
      <c r="B37" s="94">
        <v>1.288</v>
      </c>
      <c r="C37" s="94">
        <v>2.15</v>
      </c>
      <c r="D37" s="94">
        <v>3.9369999999999998</v>
      </c>
      <c r="E37" s="94">
        <v>4.0019999999999998</v>
      </c>
      <c r="F37" s="104">
        <v>4.2469999999999999</v>
      </c>
      <c r="G37" s="94">
        <v>4.2469999999999999</v>
      </c>
      <c r="H37" s="94">
        <v>4.7889999999999997</v>
      </c>
    </row>
    <row r="38" spans="1:8" ht="10.5" x14ac:dyDescent="0.2">
      <c r="A38" s="86" t="s">
        <v>89</v>
      </c>
      <c r="B38" s="111">
        <v>19.361999999999998</v>
      </c>
      <c r="C38" s="111">
        <v>33.174999999999997</v>
      </c>
      <c r="D38" s="111">
        <v>94.584999999999994</v>
      </c>
      <c r="E38" s="111">
        <v>115.755</v>
      </c>
      <c r="F38" s="124">
        <v>458.43599999999998</v>
      </c>
      <c r="G38" s="111">
        <v>460.94400000000002</v>
      </c>
      <c r="H38" s="111">
        <v>474.79599999999999</v>
      </c>
    </row>
    <row r="39" spans="1:8" x14ac:dyDescent="0.2">
      <c r="A39" s="78"/>
      <c r="B39" s="78"/>
      <c r="C39" s="78"/>
      <c r="D39" s="78"/>
      <c r="E39" s="78"/>
      <c r="F39" s="78"/>
      <c r="G39" s="78"/>
      <c r="H39" s="78"/>
    </row>
    <row r="40" spans="1:8" ht="10.5" x14ac:dyDescent="0.2">
      <c r="A40" s="86" t="s">
        <v>90</v>
      </c>
      <c r="B40" s="78"/>
      <c r="C40" s="78"/>
      <c r="D40" s="78"/>
      <c r="E40" s="78"/>
      <c r="F40" s="78"/>
      <c r="G40" s="78"/>
      <c r="H40" s="78"/>
    </row>
    <row r="41" spans="1:8" x14ac:dyDescent="0.2">
      <c r="A41" s="78" t="s">
        <v>91</v>
      </c>
      <c r="B41" s="94">
        <v>0.38700000000000001</v>
      </c>
      <c r="C41" s="94">
        <v>0.56100000000000005</v>
      </c>
      <c r="D41" s="94">
        <v>1.6930000000000001</v>
      </c>
      <c r="E41" s="94">
        <v>1.371</v>
      </c>
      <c r="F41" s="104">
        <v>42.683999999999997</v>
      </c>
      <c r="G41" s="94">
        <v>7.6890000000000001</v>
      </c>
      <c r="H41" s="94">
        <v>20.018999999999998</v>
      </c>
    </row>
    <row r="42" spans="1:8" x14ac:dyDescent="0.2">
      <c r="A42" s="78" t="s">
        <v>92</v>
      </c>
      <c r="B42" s="94">
        <v>2.6320000000000001</v>
      </c>
      <c r="C42" s="94">
        <v>3.8769999999999998</v>
      </c>
      <c r="D42" s="94">
        <v>6.7789999999999999</v>
      </c>
      <c r="E42" s="94">
        <v>9.6419999999999995</v>
      </c>
      <c r="F42" s="104">
        <v>5.5330000000000004</v>
      </c>
      <c r="G42" s="94">
        <v>35.308999999999997</v>
      </c>
      <c r="H42" s="94">
        <v>31.411000000000001</v>
      </c>
    </row>
    <row r="43" spans="1:8" x14ac:dyDescent="0.2">
      <c r="A43" s="78" t="s">
        <v>93</v>
      </c>
      <c r="B43" s="94" t="s">
        <v>30</v>
      </c>
      <c r="C43" s="94">
        <v>14.244999999999999</v>
      </c>
      <c r="D43" s="94">
        <v>1.972</v>
      </c>
      <c r="E43" s="94">
        <v>21.085999999999999</v>
      </c>
      <c r="F43" s="105" t="s">
        <v>30</v>
      </c>
      <c r="G43" s="94" t="s">
        <v>30</v>
      </c>
      <c r="H43" s="94" t="s">
        <v>30</v>
      </c>
    </row>
    <row r="44" spans="1:8" x14ac:dyDescent="0.2">
      <c r="A44" s="78" t="s">
        <v>94</v>
      </c>
      <c r="B44" s="94" t="s">
        <v>30</v>
      </c>
      <c r="C44" s="94">
        <v>1.4550000000000001</v>
      </c>
      <c r="D44" s="94">
        <v>1.651</v>
      </c>
      <c r="E44" s="94">
        <v>0.76900000000000002</v>
      </c>
      <c r="F44" s="104">
        <v>1.1499999999999999</v>
      </c>
      <c r="G44" s="94">
        <v>1.1499999999999999</v>
      </c>
      <c r="H44" s="94">
        <v>1.796</v>
      </c>
    </row>
    <row r="45" spans="1:8" x14ac:dyDescent="0.2">
      <c r="A45" s="78" t="s">
        <v>95</v>
      </c>
      <c r="B45" s="94" t="s">
        <v>30</v>
      </c>
      <c r="C45" s="94" t="s">
        <v>30</v>
      </c>
      <c r="D45" s="94" t="s">
        <v>30</v>
      </c>
      <c r="E45" s="94" t="s">
        <v>30</v>
      </c>
      <c r="F45" s="104">
        <v>10.491</v>
      </c>
      <c r="G45" s="94">
        <v>7.3959999999999999</v>
      </c>
      <c r="H45" s="94">
        <v>7.9169999999999998</v>
      </c>
    </row>
    <row r="46" spans="1:8" x14ac:dyDescent="0.2">
      <c r="A46" s="78" t="s">
        <v>96</v>
      </c>
      <c r="B46" s="94">
        <v>3.3000000000000002E-2</v>
      </c>
      <c r="C46" s="94" t="s">
        <v>30</v>
      </c>
      <c r="D46" s="94" t="s">
        <v>30</v>
      </c>
      <c r="E46" s="94">
        <v>1.258</v>
      </c>
      <c r="F46" s="104">
        <v>24.183</v>
      </c>
      <c r="G46" s="94">
        <v>25.46</v>
      </c>
      <c r="H46" s="94">
        <v>23.045999999999999</v>
      </c>
    </row>
    <row r="47" spans="1:8" ht="10.5" x14ac:dyDescent="0.2">
      <c r="A47" s="86" t="s">
        <v>97</v>
      </c>
      <c r="B47" s="106">
        <v>3.052</v>
      </c>
      <c r="C47" s="106">
        <v>20.138000000000002</v>
      </c>
      <c r="D47" s="106">
        <v>12.095000000000001</v>
      </c>
      <c r="E47" s="106">
        <v>34.125999999999998</v>
      </c>
      <c r="F47" s="107">
        <v>84.040999999999997</v>
      </c>
      <c r="G47" s="106">
        <v>77.004000000000005</v>
      </c>
      <c r="H47" s="106">
        <v>84.188999999999993</v>
      </c>
    </row>
    <row r="48" spans="1:8" x14ac:dyDescent="0.2">
      <c r="A48" s="78"/>
      <c r="B48" s="78"/>
      <c r="C48" s="78"/>
      <c r="D48" s="78"/>
      <c r="E48" s="78"/>
      <c r="F48" s="78"/>
      <c r="G48" s="78"/>
      <c r="H48" s="78"/>
    </row>
    <row r="49" spans="1:8" x14ac:dyDescent="0.2">
      <c r="A49" s="78" t="s">
        <v>98</v>
      </c>
      <c r="B49" s="94">
        <v>18.265999999999998</v>
      </c>
      <c r="C49" s="94">
        <v>14.987</v>
      </c>
      <c r="D49" s="94">
        <v>28.405000000000001</v>
      </c>
      <c r="E49" s="94">
        <v>9.4489999999999998</v>
      </c>
      <c r="F49" s="104">
        <v>209.28700000000001</v>
      </c>
      <c r="G49" s="94">
        <v>209.28700000000001</v>
      </c>
      <c r="H49" s="94">
        <v>213.685</v>
      </c>
    </row>
    <row r="50" spans="1:8" x14ac:dyDescent="0.2">
      <c r="A50" s="78" t="s">
        <v>99</v>
      </c>
      <c r="B50" s="94" t="s">
        <v>30</v>
      </c>
      <c r="C50" s="94">
        <v>3.3820000000000001</v>
      </c>
      <c r="D50" s="94">
        <v>1.855</v>
      </c>
      <c r="E50" s="94">
        <v>7.82</v>
      </c>
      <c r="F50" s="104">
        <v>6.8230000000000004</v>
      </c>
      <c r="G50" s="94">
        <v>6.8230000000000004</v>
      </c>
      <c r="H50" s="94">
        <v>6.4370000000000003</v>
      </c>
    </row>
    <row r="51" spans="1:8" x14ac:dyDescent="0.2">
      <c r="A51" s="78" t="s">
        <v>100</v>
      </c>
      <c r="B51" s="94" t="s">
        <v>30</v>
      </c>
      <c r="C51" s="94" t="s">
        <v>30</v>
      </c>
      <c r="D51" s="94" t="s">
        <v>30</v>
      </c>
      <c r="E51" s="94" t="s">
        <v>30</v>
      </c>
      <c r="F51" s="104">
        <v>15.228999999999999</v>
      </c>
      <c r="G51" s="94">
        <v>17.469000000000001</v>
      </c>
      <c r="H51" s="94">
        <v>16.795999999999999</v>
      </c>
    </row>
    <row r="52" spans="1:8" x14ac:dyDescent="0.2">
      <c r="A52" s="78" t="s">
        <v>101</v>
      </c>
      <c r="B52" s="94">
        <v>0.28899999999999998</v>
      </c>
      <c r="C52" s="94">
        <v>0.27600000000000002</v>
      </c>
      <c r="D52" s="94">
        <v>1.409</v>
      </c>
      <c r="E52" s="94">
        <v>4.5659999999999998</v>
      </c>
      <c r="F52" s="104">
        <v>5.0220000000000002</v>
      </c>
      <c r="G52" s="94">
        <v>5.0220000000000002</v>
      </c>
      <c r="H52" s="94">
        <v>5.149</v>
      </c>
    </row>
    <row r="53" spans="1:8" ht="10.5" x14ac:dyDescent="0.2">
      <c r="A53" s="86" t="s">
        <v>102</v>
      </c>
      <c r="B53" s="106">
        <v>21.606999999999999</v>
      </c>
      <c r="C53" s="106">
        <v>38.783000000000001</v>
      </c>
      <c r="D53" s="106">
        <v>43.764000000000003</v>
      </c>
      <c r="E53" s="106">
        <v>55.960999999999999</v>
      </c>
      <c r="F53" s="107">
        <v>320.40199999999999</v>
      </c>
      <c r="G53" s="106">
        <v>315.60500000000002</v>
      </c>
      <c r="H53" s="106">
        <v>326.25599999999997</v>
      </c>
    </row>
    <row r="54" spans="1:8" x14ac:dyDescent="0.2">
      <c r="A54" s="78"/>
      <c r="B54" s="78"/>
      <c r="C54" s="78"/>
      <c r="D54" s="78"/>
      <c r="E54" s="78"/>
      <c r="F54" s="78"/>
      <c r="G54" s="78"/>
      <c r="H54" s="78"/>
    </row>
    <row r="55" spans="1:8" x14ac:dyDescent="0.2">
      <c r="A55" s="78" t="s">
        <v>103</v>
      </c>
      <c r="B55" s="94">
        <v>2.1000000000000001E-2</v>
      </c>
      <c r="C55" s="94">
        <v>2.1000000000000001E-2</v>
      </c>
      <c r="D55" s="94">
        <v>4.3999999999999997E-2</v>
      </c>
      <c r="E55" s="94">
        <v>4.4999999999999998E-2</v>
      </c>
      <c r="F55" s="104">
        <v>5.8999999999999997E-2</v>
      </c>
      <c r="G55" s="94">
        <v>5.8999999999999997E-2</v>
      </c>
      <c r="H55" s="94">
        <v>5.8999999999999997E-2</v>
      </c>
    </row>
    <row r="56" spans="1:8" x14ac:dyDescent="0.2">
      <c r="A56" s="78" t="s">
        <v>104</v>
      </c>
      <c r="B56" s="94">
        <v>22.788</v>
      </c>
      <c r="C56" s="94">
        <v>22.788</v>
      </c>
      <c r="D56" s="94">
        <v>68.608000000000004</v>
      </c>
      <c r="E56" s="94">
        <v>70.811999999999998</v>
      </c>
      <c r="F56" s="104">
        <v>173.90799999999999</v>
      </c>
      <c r="G56" s="94">
        <v>173.90799999999999</v>
      </c>
      <c r="H56" s="94">
        <v>176.43799999999999</v>
      </c>
    </row>
    <row r="57" spans="1:8" x14ac:dyDescent="0.2">
      <c r="A57" s="78" t="s">
        <v>105</v>
      </c>
      <c r="B57" s="94">
        <v>-35.9</v>
      </c>
      <c r="C57" s="94">
        <v>-39.9</v>
      </c>
      <c r="D57" s="94">
        <v>-33.299999999999997</v>
      </c>
      <c r="E57" s="94">
        <v>-28.7</v>
      </c>
      <c r="F57" s="109">
        <v>-47.7</v>
      </c>
      <c r="G57" s="94">
        <v>-47.7</v>
      </c>
      <c r="H57" s="94">
        <v>-48.5</v>
      </c>
    </row>
    <row r="58" spans="1:8" x14ac:dyDescent="0.2">
      <c r="A58" s="78" t="s">
        <v>106</v>
      </c>
      <c r="B58" s="94" t="s">
        <v>30</v>
      </c>
      <c r="C58" s="94" t="s">
        <v>30</v>
      </c>
      <c r="D58" s="94" t="s">
        <v>30</v>
      </c>
      <c r="E58" s="94" t="s">
        <v>30</v>
      </c>
      <c r="F58" s="105" t="s">
        <v>30</v>
      </c>
      <c r="G58" s="94" t="s">
        <v>30</v>
      </c>
      <c r="H58" s="94" t="s">
        <v>30</v>
      </c>
    </row>
    <row r="59" spans="1:8" x14ac:dyDescent="0.2">
      <c r="A59" s="78" t="s">
        <v>107</v>
      </c>
      <c r="B59" s="94">
        <v>10.824999999999999</v>
      </c>
      <c r="C59" s="94">
        <v>11.44</v>
      </c>
      <c r="D59" s="94">
        <v>15.512</v>
      </c>
      <c r="E59" s="94">
        <v>17.628</v>
      </c>
      <c r="F59" s="104">
        <v>11.724</v>
      </c>
      <c r="G59" s="94">
        <v>19.027999999999999</v>
      </c>
      <c r="H59" s="94">
        <v>20.577000000000002</v>
      </c>
    </row>
    <row r="60" spans="1:8" ht="10.5" x14ac:dyDescent="0.2">
      <c r="A60" s="86" t="s">
        <v>108</v>
      </c>
      <c r="B60" s="106">
        <v>-2.2000000000000002</v>
      </c>
      <c r="C60" s="106">
        <v>-5.6</v>
      </c>
      <c r="D60" s="106">
        <v>50.820999999999998</v>
      </c>
      <c r="E60" s="106">
        <v>59.793999999999997</v>
      </c>
      <c r="F60" s="107">
        <v>138.03399999999999</v>
      </c>
      <c r="G60" s="106">
        <v>145.339</v>
      </c>
      <c r="H60" s="106">
        <v>148.54</v>
      </c>
    </row>
    <row r="61" spans="1:8" x14ac:dyDescent="0.2">
      <c r="A61" s="78"/>
      <c r="B61" s="78"/>
      <c r="C61" s="78"/>
      <c r="D61" s="78"/>
      <c r="E61" s="78"/>
      <c r="F61" s="78"/>
      <c r="G61" s="78"/>
      <c r="H61" s="78"/>
    </row>
    <row r="62" spans="1:8" ht="10.5" x14ac:dyDescent="0.2">
      <c r="A62" s="86" t="s">
        <v>109</v>
      </c>
      <c r="B62" s="125">
        <v>-2.2000000000000002</v>
      </c>
      <c r="C62" s="125">
        <v>-5.6</v>
      </c>
      <c r="D62" s="125">
        <v>50.820999999999998</v>
      </c>
      <c r="E62" s="125">
        <v>59.793999999999997</v>
      </c>
      <c r="F62" s="126">
        <v>138.03399999999999</v>
      </c>
      <c r="G62" s="125">
        <v>145.339</v>
      </c>
      <c r="H62" s="125">
        <v>148.54</v>
      </c>
    </row>
    <row r="63" spans="1:8" x14ac:dyDescent="0.2">
      <c r="A63" s="78"/>
      <c r="B63" s="78"/>
      <c r="C63" s="78"/>
      <c r="D63" s="78"/>
      <c r="E63" s="78"/>
      <c r="F63" s="78"/>
      <c r="G63" s="78"/>
      <c r="H63" s="78"/>
    </row>
    <row r="64" spans="1:8" ht="10.5" x14ac:dyDescent="0.2">
      <c r="A64" s="86" t="s">
        <v>110</v>
      </c>
      <c r="B64" s="127">
        <v>19.361999999999998</v>
      </c>
      <c r="C64" s="127">
        <v>33.174999999999997</v>
      </c>
      <c r="D64" s="127">
        <v>94.584999999999994</v>
      </c>
      <c r="E64" s="127">
        <v>115.755</v>
      </c>
      <c r="F64" s="128">
        <v>458.43599999999998</v>
      </c>
      <c r="G64" s="127">
        <v>460.94400000000002</v>
      </c>
      <c r="H64" s="127">
        <v>474.79599999999999</v>
      </c>
    </row>
    <row r="65" spans="1:8" x14ac:dyDescent="0.2">
      <c r="A65" s="78"/>
      <c r="B65" s="78"/>
      <c r="C65" s="78"/>
      <c r="D65" s="78"/>
      <c r="E65" s="78"/>
      <c r="F65" s="78"/>
      <c r="G65" s="78"/>
      <c r="H65" s="78"/>
    </row>
    <row r="66" spans="1:8" ht="10.5" x14ac:dyDescent="0.2">
      <c r="A66" s="86" t="s">
        <v>111</v>
      </c>
      <c r="B66" s="78"/>
      <c r="C66" s="78"/>
      <c r="D66" s="78"/>
      <c r="E66" s="78"/>
      <c r="F66" s="78"/>
      <c r="G66" s="78"/>
      <c r="H66" s="78"/>
    </row>
    <row r="67" spans="1:8" x14ac:dyDescent="0.2">
      <c r="A67" s="78" t="s">
        <v>112</v>
      </c>
      <c r="B67" s="94">
        <v>21.983757000000001</v>
      </c>
      <c r="C67" s="94">
        <v>21.993027999999999</v>
      </c>
      <c r="D67" s="94">
        <v>24.983854999999998</v>
      </c>
      <c r="E67" s="94">
        <v>25.593433999999998</v>
      </c>
      <c r="F67" s="105" t="s">
        <v>113</v>
      </c>
      <c r="G67" s="94">
        <v>34.142901999999999</v>
      </c>
      <c r="H67" s="94">
        <v>33.521194000000001</v>
      </c>
    </row>
    <row r="68" spans="1:8" x14ac:dyDescent="0.2">
      <c r="A68" s="78" t="s">
        <v>114</v>
      </c>
      <c r="B68" s="94">
        <v>21.983757000000001</v>
      </c>
      <c r="C68" s="94">
        <v>21.993027999999999</v>
      </c>
      <c r="D68" s="94">
        <v>24.983854999999998</v>
      </c>
      <c r="E68" s="94">
        <v>25.565094999999999</v>
      </c>
      <c r="F68" s="105" t="s">
        <v>113</v>
      </c>
      <c r="G68" s="94">
        <v>33.482447000000001</v>
      </c>
      <c r="H68" s="94">
        <v>33.521194000000001</v>
      </c>
    </row>
    <row r="69" spans="1:8" x14ac:dyDescent="0.2">
      <c r="A69" s="78" t="s">
        <v>115</v>
      </c>
      <c r="B69" s="96">
        <v>-0.1</v>
      </c>
      <c r="C69" s="96">
        <v>-0.25</v>
      </c>
      <c r="D69" s="96">
        <v>2.0299999999999998</v>
      </c>
      <c r="E69" s="96">
        <v>2.34</v>
      </c>
      <c r="F69" s="105" t="s">
        <v>113</v>
      </c>
      <c r="G69" s="96">
        <v>4.34</v>
      </c>
      <c r="H69" s="96">
        <v>4.43</v>
      </c>
    </row>
    <row r="70" spans="1:8" x14ac:dyDescent="0.2">
      <c r="A70" s="78" t="s">
        <v>116</v>
      </c>
      <c r="B70" s="94">
        <v>-13</v>
      </c>
      <c r="C70" s="94">
        <v>-20</v>
      </c>
      <c r="D70" s="94">
        <v>32.985999999999997</v>
      </c>
      <c r="E70" s="94">
        <v>37.44</v>
      </c>
      <c r="F70" s="109">
        <v>-201.9</v>
      </c>
      <c r="G70" s="94">
        <v>-201.9</v>
      </c>
      <c r="H70" s="94">
        <v>-201.6</v>
      </c>
    </row>
    <row r="71" spans="1:8" x14ac:dyDescent="0.2">
      <c r="A71" s="78" t="s">
        <v>117</v>
      </c>
      <c r="B71" s="96">
        <v>-0.59</v>
      </c>
      <c r="C71" s="96">
        <v>-0.91</v>
      </c>
      <c r="D71" s="96">
        <v>1.32</v>
      </c>
      <c r="E71" s="96">
        <v>1.46</v>
      </c>
      <c r="F71" s="105" t="s">
        <v>113</v>
      </c>
      <c r="G71" s="96">
        <v>-6.03</v>
      </c>
      <c r="H71" s="96">
        <v>-6.01</v>
      </c>
    </row>
    <row r="72" spans="1:8" x14ac:dyDescent="0.2">
      <c r="A72" s="78" t="s">
        <v>118</v>
      </c>
      <c r="B72" s="94">
        <v>18.265999999999998</v>
      </c>
      <c r="C72" s="94">
        <v>34.069000000000003</v>
      </c>
      <c r="D72" s="94">
        <v>33.883000000000003</v>
      </c>
      <c r="E72" s="94">
        <v>39.124000000000002</v>
      </c>
      <c r="F72" s="104">
        <v>217.26</v>
      </c>
      <c r="G72" s="94">
        <v>217.26</v>
      </c>
      <c r="H72" s="94">
        <v>221.91800000000001</v>
      </c>
    </row>
    <row r="73" spans="1:8" x14ac:dyDescent="0.2">
      <c r="A73" s="78" t="s">
        <v>119</v>
      </c>
      <c r="B73" s="94">
        <v>15.032</v>
      </c>
      <c r="C73" s="94">
        <v>28.053000000000001</v>
      </c>
      <c r="D73" s="94">
        <v>-25.9</v>
      </c>
      <c r="E73" s="94">
        <v>-27</v>
      </c>
      <c r="F73" s="104">
        <v>176.08099999999999</v>
      </c>
      <c r="G73" s="94">
        <v>176.08099999999999</v>
      </c>
      <c r="H73" s="94">
        <v>177.55099999999999</v>
      </c>
    </row>
    <row r="74" spans="1:8" x14ac:dyDescent="0.2">
      <c r="A74" s="78" t="s">
        <v>120</v>
      </c>
      <c r="B74" s="94">
        <v>0.28899999999999998</v>
      </c>
      <c r="C74" s="94">
        <v>0.27600000000000002</v>
      </c>
      <c r="D74" s="94">
        <v>0.38400000000000001</v>
      </c>
      <c r="E74" s="94">
        <v>0.28599999999999998</v>
      </c>
      <c r="F74" s="105" t="s">
        <v>113</v>
      </c>
      <c r="G74" s="94">
        <v>1.0329999999999999</v>
      </c>
      <c r="H74" s="94" t="s">
        <v>113</v>
      </c>
    </row>
    <row r="75" spans="1:8" x14ac:dyDescent="0.2">
      <c r="A75" s="78" t="s">
        <v>121</v>
      </c>
      <c r="B75" s="94">
        <v>8.2880000000000003</v>
      </c>
      <c r="C75" s="94">
        <v>0.76800000000000002</v>
      </c>
      <c r="D75" s="94">
        <v>2.6240000000000001</v>
      </c>
      <c r="E75" s="94">
        <v>3.6320000000000001</v>
      </c>
      <c r="F75" s="105" t="s">
        <v>113</v>
      </c>
      <c r="G75" s="94">
        <v>8.68</v>
      </c>
      <c r="H75" s="94" t="s">
        <v>113</v>
      </c>
    </row>
    <row r="76" spans="1:8" x14ac:dyDescent="0.2">
      <c r="A76" s="78" t="s">
        <v>122</v>
      </c>
      <c r="B76" s="94">
        <v>0.313</v>
      </c>
      <c r="C76" s="94">
        <v>0.60299999999999998</v>
      </c>
      <c r="D76" s="94" t="s">
        <v>113</v>
      </c>
      <c r="E76" s="94" t="s">
        <v>113</v>
      </c>
      <c r="F76" s="104">
        <v>4.7699999999999996</v>
      </c>
      <c r="G76" s="94">
        <v>4.7699999999999996</v>
      </c>
      <c r="H76" s="94">
        <v>5.2549999999999999</v>
      </c>
    </row>
    <row r="77" spans="1:8" x14ac:dyDescent="0.2">
      <c r="A77" s="78" t="s">
        <v>123</v>
      </c>
      <c r="B77" s="93" t="s">
        <v>113</v>
      </c>
      <c r="C77" s="93" t="s">
        <v>113</v>
      </c>
      <c r="D77" s="93" t="s">
        <v>113</v>
      </c>
      <c r="E77" s="93" t="s">
        <v>113</v>
      </c>
      <c r="F77" s="105" t="s">
        <v>113</v>
      </c>
      <c r="G77" s="93" t="s">
        <v>113</v>
      </c>
      <c r="H77" s="93" t="s">
        <v>113</v>
      </c>
    </row>
    <row r="78" spans="1:8" x14ac:dyDescent="0.2">
      <c r="A78" s="78" t="s">
        <v>124</v>
      </c>
      <c r="B78" s="94">
        <v>1.651</v>
      </c>
      <c r="C78" s="94">
        <v>2.3639999999999999</v>
      </c>
      <c r="D78" s="94">
        <v>3.101</v>
      </c>
      <c r="E78" s="94" t="s">
        <v>113</v>
      </c>
      <c r="F78" s="105" t="s">
        <v>113</v>
      </c>
      <c r="G78" s="94">
        <v>5.6260000000000003</v>
      </c>
      <c r="H78" s="94" t="s">
        <v>113</v>
      </c>
    </row>
    <row r="79" spans="1:8" x14ac:dyDescent="0.2">
      <c r="A79" s="78" t="s">
        <v>125</v>
      </c>
      <c r="B79" s="94">
        <v>0.157</v>
      </c>
      <c r="C79" s="94">
        <v>0.2</v>
      </c>
      <c r="D79" s="94">
        <v>0.39100000000000001</v>
      </c>
      <c r="E79" s="94" t="s">
        <v>30</v>
      </c>
      <c r="F79" s="105" t="s">
        <v>30</v>
      </c>
      <c r="G79" s="94">
        <v>1.835</v>
      </c>
      <c r="H79" s="94" t="s">
        <v>30</v>
      </c>
    </row>
    <row r="80" spans="1:8" x14ac:dyDescent="0.2">
      <c r="A80" s="78" t="s">
        <v>126</v>
      </c>
      <c r="B80" s="129" t="s">
        <v>113</v>
      </c>
      <c r="C80" s="129">
        <v>144</v>
      </c>
      <c r="D80" s="129">
        <v>153</v>
      </c>
      <c r="E80" s="129">
        <v>156</v>
      </c>
      <c r="F80" s="105" t="s">
        <v>113</v>
      </c>
      <c r="G80" s="129">
        <v>695</v>
      </c>
      <c r="H80" s="129" t="s">
        <v>113</v>
      </c>
    </row>
    <row r="81" spans="1:8" x14ac:dyDescent="0.2">
      <c r="A81" s="78" t="s">
        <v>127</v>
      </c>
      <c r="B81" s="118">
        <v>44302</v>
      </c>
      <c r="C81" s="118">
        <v>44665</v>
      </c>
      <c r="D81" s="118">
        <v>45044</v>
      </c>
      <c r="E81" s="118">
        <v>45044</v>
      </c>
      <c r="F81" s="119">
        <v>44991</v>
      </c>
      <c r="G81" s="118">
        <v>45044</v>
      </c>
      <c r="H81" s="118">
        <v>45056</v>
      </c>
    </row>
    <row r="82" spans="1:8" x14ac:dyDescent="0.2">
      <c r="A82" s="78" t="s">
        <v>128</v>
      </c>
      <c r="B82" s="93" t="s">
        <v>129</v>
      </c>
      <c r="C82" s="93" t="s">
        <v>129</v>
      </c>
      <c r="D82" s="93" t="s">
        <v>129</v>
      </c>
      <c r="E82" s="93" t="s">
        <v>129</v>
      </c>
      <c r="F82" s="105" t="s">
        <v>130</v>
      </c>
      <c r="G82" s="93" t="s">
        <v>131</v>
      </c>
      <c r="H82" s="93" t="s">
        <v>130</v>
      </c>
    </row>
    <row r="83" spans="1:8" x14ac:dyDescent="0.2">
      <c r="A83" s="78" t="s">
        <v>132</v>
      </c>
      <c r="B83" s="93" t="s">
        <v>133</v>
      </c>
      <c r="C83" s="93" t="s">
        <v>133</v>
      </c>
      <c r="D83" s="93" t="s">
        <v>133</v>
      </c>
      <c r="E83" s="93" t="s">
        <v>134</v>
      </c>
      <c r="F83" s="105" t="s">
        <v>134</v>
      </c>
      <c r="G83" s="93" t="s">
        <v>134</v>
      </c>
      <c r="H83" s="93" t="s">
        <v>134</v>
      </c>
    </row>
    <row r="84" spans="1:8" x14ac:dyDescent="0.2">
      <c r="A84" s="78"/>
      <c r="B84" s="78"/>
      <c r="C84" s="78"/>
      <c r="D84" s="78"/>
      <c r="E84" s="78"/>
      <c r="F84" s="78"/>
      <c r="G84" s="78"/>
      <c r="H84" s="78"/>
    </row>
    <row r="85" spans="1:8" x14ac:dyDescent="0.2">
      <c r="A85" s="95"/>
      <c r="B85" s="95"/>
      <c r="C85" s="95"/>
      <c r="D85" s="95"/>
      <c r="E85" s="95"/>
      <c r="F85" s="95"/>
      <c r="G85" s="95"/>
      <c r="H85" s="95"/>
    </row>
    <row r="86" spans="1:8" x14ac:dyDescent="0.2">
      <c r="A86" s="75" t="s">
        <v>288</v>
      </c>
    </row>
    <row r="87" spans="1:8" x14ac:dyDescent="0.2">
      <c r="A87" s="121" t="s">
        <v>286</v>
      </c>
    </row>
    <row r="88" spans="1:8" x14ac:dyDescent="0.2">
      <c r="A88" s="100" t="s">
        <v>243</v>
      </c>
    </row>
  </sheetData>
  <pageMargins left="0.2" right="0.2" top="0.5" bottom="0.5" header="0.5" footer="0.5"/>
  <pageSetup fitToWidth="0" fitToHeight="0" orientation="landscape" horizontalDpi="0" verticalDpi="0"/>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74E1D-313B-44AB-A6F6-86EEAA9BADFE}">
  <sheetPr>
    <outlinePr summaryBelow="0" summaryRight="0"/>
    <pageSetUpPr autoPageBreaks="0"/>
  </sheetPr>
  <dimension ref="A5:IT72"/>
  <sheetViews>
    <sheetView workbookViewId="0"/>
  </sheetViews>
  <sheetFormatPr defaultRowHeight="10" x14ac:dyDescent="0.2"/>
  <cols>
    <col min="1" max="1" width="45.81640625" style="75" customWidth="1"/>
    <col min="2" max="5" width="14.81640625" style="75" customWidth="1"/>
    <col min="6" max="6" width="14.81640625" style="75" hidden="1" customWidth="1"/>
    <col min="7" max="7" width="14.81640625" style="75" customWidth="1"/>
    <col min="8" max="9" width="9.26953125" style="75" customWidth="1"/>
    <col min="10" max="256" width="8.7265625" style="75"/>
    <col min="257" max="257" width="45.81640625" style="75" customWidth="1"/>
    <col min="258" max="261" width="14.81640625" style="75" customWidth="1"/>
    <col min="262" max="262" width="0" style="75" hidden="1" customWidth="1"/>
    <col min="263" max="263" width="14.81640625" style="75" customWidth="1"/>
    <col min="264" max="265" width="9.26953125" style="75" customWidth="1"/>
    <col min="266" max="512" width="8.7265625" style="75"/>
    <col min="513" max="513" width="45.81640625" style="75" customWidth="1"/>
    <col min="514" max="517" width="14.81640625" style="75" customWidth="1"/>
    <col min="518" max="518" width="0" style="75" hidden="1" customWidth="1"/>
    <col min="519" max="519" width="14.81640625" style="75" customWidth="1"/>
    <col min="520" max="521" width="9.26953125" style="75" customWidth="1"/>
    <col min="522" max="768" width="8.7265625" style="75"/>
    <col min="769" max="769" width="45.81640625" style="75" customWidth="1"/>
    <col min="770" max="773" width="14.81640625" style="75" customWidth="1"/>
    <col min="774" max="774" width="0" style="75" hidden="1" customWidth="1"/>
    <col min="775" max="775" width="14.81640625" style="75" customWidth="1"/>
    <col min="776" max="777" width="9.26953125" style="75" customWidth="1"/>
    <col min="778" max="1024" width="8.7265625" style="75"/>
    <col min="1025" max="1025" width="45.81640625" style="75" customWidth="1"/>
    <col min="1026" max="1029" width="14.81640625" style="75" customWidth="1"/>
    <col min="1030" max="1030" width="0" style="75" hidden="1" customWidth="1"/>
    <col min="1031" max="1031" width="14.81640625" style="75" customWidth="1"/>
    <col min="1032" max="1033" width="9.26953125" style="75" customWidth="1"/>
    <col min="1034" max="1280" width="8.7265625" style="75"/>
    <col min="1281" max="1281" width="45.81640625" style="75" customWidth="1"/>
    <col min="1282" max="1285" width="14.81640625" style="75" customWidth="1"/>
    <col min="1286" max="1286" width="0" style="75" hidden="1" customWidth="1"/>
    <col min="1287" max="1287" width="14.81640625" style="75" customWidth="1"/>
    <col min="1288" max="1289" width="9.26953125" style="75" customWidth="1"/>
    <col min="1290" max="1536" width="8.7265625" style="75"/>
    <col min="1537" max="1537" width="45.81640625" style="75" customWidth="1"/>
    <col min="1538" max="1541" width="14.81640625" style="75" customWidth="1"/>
    <col min="1542" max="1542" width="0" style="75" hidden="1" customWidth="1"/>
    <col min="1543" max="1543" width="14.81640625" style="75" customWidth="1"/>
    <col min="1544" max="1545" width="9.26953125" style="75" customWidth="1"/>
    <col min="1546" max="1792" width="8.7265625" style="75"/>
    <col min="1793" max="1793" width="45.81640625" style="75" customWidth="1"/>
    <col min="1794" max="1797" width="14.81640625" style="75" customWidth="1"/>
    <col min="1798" max="1798" width="0" style="75" hidden="1" customWidth="1"/>
    <col min="1799" max="1799" width="14.81640625" style="75" customWidth="1"/>
    <col min="1800" max="1801" width="9.26953125" style="75" customWidth="1"/>
    <col min="1802" max="2048" width="8.7265625" style="75"/>
    <col min="2049" max="2049" width="45.81640625" style="75" customWidth="1"/>
    <col min="2050" max="2053" width="14.81640625" style="75" customWidth="1"/>
    <col min="2054" max="2054" width="0" style="75" hidden="1" customWidth="1"/>
    <col min="2055" max="2055" width="14.81640625" style="75" customWidth="1"/>
    <col min="2056" max="2057" width="9.26953125" style="75" customWidth="1"/>
    <col min="2058" max="2304" width="8.7265625" style="75"/>
    <col min="2305" max="2305" width="45.81640625" style="75" customWidth="1"/>
    <col min="2306" max="2309" width="14.81640625" style="75" customWidth="1"/>
    <col min="2310" max="2310" width="0" style="75" hidden="1" customWidth="1"/>
    <col min="2311" max="2311" width="14.81640625" style="75" customWidth="1"/>
    <col min="2312" max="2313" width="9.26953125" style="75" customWidth="1"/>
    <col min="2314" max="2560" width="8.7265625" style="75"/>
    <col min="2561" max="2561" width="45.81640625" style="75" customWidth="1"/>
    <col min="2562" max="2565" width="14.81640625" style="75" customWidth="1"/>
    <col min="2566" max="2566" width="0" style="75" hidden="1" customWidth="1"/>
    <col min="2567" max="2567" width="14.81640625" style="75" customWidth="1"/>
    <col min="2568" max="2569" width="9.26953125" style="75" customWidth="1"/>
    <col min="2570" max="2816" width="8.7265625" style="75"/>
    <col min="2817" max="2817" width="45.81640625" style="75" customWidth="1"/>
    <col min="2818" max="2821" width="14.81640625" style="75" customWidth="1"/>
    <col min="2822" max="2822" width="0" style="75" hidden="1" customWidth="1"/>
    <col min="2823" max="2823" width="14.81640625" style="75" customWidth="1"/>
    <col min="2824" max="2825" width="9.26953125" style="75" customWidth="1"/>
    <col min="2826" max="3072" width="8.7265625" style="75"/>
    <col min="3073" max="3073" width="45.81640625" style="75" customWidth="1"/>
    <col min="3074" max="3077" width="14.81640625" style="75" customWidth="1"/>
    <col min="3078" max="3078" width="0" style="75" hidden="1" customWidth="1"/>
    <col min="3079" max="3079" width="14.81640625" style="75" customWidth="1"/>
    <col min="3080" max="3081" width="9.26953125" style="75" customWidth="1"/>
    <col min="3082" max="3328" width="8.7265625" style="75"/>
    <col min="3329" max="3329" width="45.81640625" style="75" customWidth="1"/>
    <col min="3330" max="3333" width="14.81640625" style="75" customWidth="1"/>
    <col min="3334" max="3334" width="0" style="75" hidden="1" customWidth="1"/>
    <col min="3335" max="3335" width="14.81640625" style="75" customWidth="1"/>
    <col min="3336" max="3337" width="9.26953125" style="75" customWidth="1"/>
    <col min="3338" max="3584" width="8.7265625" style="75"/>
    <col min="3585" max="3585" width="45.81640625" style="75" customWidth="1"/>
    <col min="3586" max="3589" width="14.81640625" style="75" customWidth="1"/>
    <col min="3590" max="3590" width="0" style="75" hidden="1" customWidth="1"/>
    <col min="3591" max="3591" width="14.81640625" style="75" customWidth="1"/>
    <col min="3592" max="3593" width="9.26953125" style="75" customWidth="1"/>
    <col min="3594" max="3840" width="8.7265625" style="75"/>
    <col min="3841" max="3841" width="45.81640625" style="75" customWidth="1"/>
    <col min="3842" max="3845" width="14.81640625" style="75" customWidth="1"/>
    <col min="3846" max="3846" width="0" style="75" hidden="1" customWidth="1"/>
    <col min="3847" max="3847" width="14.81640625" style="75" customWidth="1"/>
    <col min="3848" max="3849" width="9.26953125" style="75" customWidth="1"/>
    <col min="3850" max="4096" width="8.7265625" style="75"/>
    <col min="4097" max="4097" width="45.81640625" style="75" customWidth="1"/>
    <col min="4098" max="4101" width="14.81640625" style="75" customWidth="1"/>
    <col min="4102" max="4102" width="0" style="75" hidden="1" customWidth="1"/>
    <col min="4103" max="4103" width="14.81640625" style="75" customWidth="1"/>
    <col min="4104" max="4105" width="9.26953125" style="75" customWidth="1"/>
    <col min="4106" max="4352" width="8.7265625" style="75"/>
    <col min="4353" max="4353" width="45.81640625" style="75" customWidth="1"/>
    <col min="4354" max="4357" width="14.81640625" style="75" customWidth="1"/>
    <col min="4358" max="4358" width="0" style="75" hidden="1" customWidth="1"/>
    <col min="4359" max="4359" width="14.81640625" style="75" customWidth="1"/>
    <col min="4360" max="4361" width="9.26953125" style="75" customWidth="1"/>
    <col min="4362" max="4608" width="8.7265625" style="75"/>
    <col min="4609" max="4609" width="45.81640625" style="75" customWidth="1"/>
    <col min="4610" max="4613" width="14.81640625" style="75" customWidth="1"/>
    <col min="4614" max="4614" width="0" style="75" hidden="1" customWidth="1"/>
    <col min="4615" max="4615" width="14.81640625" style="75" customWidth="1"/>
    <col min="4616" max="4617" width="9.26953125" style="75" customWidth="1"/>
    <col min="4618" max="4864" width="8.7265625" style="75"/>
    <col min="4865" max="4865" width="45.81640625" style="75" customWidth="1"/>
    <col min="4866" max="4869" width="14.81640625" style="75" customWidth="1"/>
    <col min="4870" max="4870" width="0" style="75" hidden="1" customWidth="1"/>
    <col min="4871" max="4871" width="14.81640625" style="75" customWidth="1"/>
    <col min="4872" max="4873" width="9.26953125" style="75" customWidth="1"/>
    <col min="4874" max="5120" width="8.7265625" style="75"/>
    <col min="5121" max="5121" width="45.81640625" style="75" customWidth="1"/>
    <col min="5122" max="5125" width="14.81640625" style="75" customWidth="1"/>
    <col min="5126" max="5126" width="0" style="75" hidden="1" customWidth="1"/>
    <col min="5127" max="5127" width="14.81640625" style="75" customWidth="1"/>
    <col min="5128" max="5129" width="9.26953125" style="75" customWidth="1"/>
    <col min="5130" max="5376" width="8.7265625" style="75"/>
    <col min="5377" max="5377" width="45.81640625" style="75" customWidth="1"/>
    <col min="5378" max="5381" width="14.81640625" style="75" customWidth="1"/>
    <col min="5382" max="5382" width="0" style="75" hidden="1" customWidth="1"/>
    <col min="5383" max="5383" width="14.81640625" style="75" customWidth="1"/>
    <col min="5384" max="5385" width="9.26953125" style="75" customWidth="1"/>
    <col min="5386" max="5632" width="8.7265625" style="75"/>
    <col min="5633" max="5633" width="45.81640625" style="75" customWidth="1"/>
    <col min="5634" max="5637" width="14.81640625" style="75" customWidth="1"/>
    <col min="5638" max="5638" width="0" style="75" hidden="1" customWidth="1"/>
    <col min="5639" max="5639" width="14.81640625" style="75" customWidth="1"/>
    <col min="5640" max="5641" width="9.26953125" style="75" customWidth="1"/>
    <col min="5642" max="5888" width="8.7265625" style="75"/>
    <col min="5889" max="5889" width="45.81640625" style="75" customWidth="1"/>
    <col min="5890" max="5893" width="14.81640625" style="75" customWidth="1"/>
    <col min="5894" max="5894" width="0" style="75" hidden="1" customWidth="1"/>
    <col min="5895" max="5895" width="14.81640625" style="75" customWidth="1"/>
    <col min="5896" max="5897" width="9.26953125" style="75" customWidth="1"/>
    <col min="5898" max="6144" width="8.7265625" style="75"/>
    <col min="6145" max="6145" width="45.81640625" style="75" customWidth="1"/>
    <col min="6146" max="6149" width="14.81640625" style="75" customWidth="1"/>
    <col min="6150" max="6150" width="0" style="75" hidden="1" customWidth="1"/>
    <col min="6151" max="6151" width="14.81640625" style="75" customWidth="1"/>
    <col min="6152" max="6153" width="9.26953125" style="75" customWidth="1"/>
    <col min="6154" max="6400" width="8.7265625" style="75"/>
    <col min="6401" max="6401" width="45.81640625" style="75" customWidth="1"/>
    <col min="6402" max="6405" width="14.81640625" style="75" customWidth="1"/>
    <col min="6406" max="6406" width="0" style="75" hidden="1" customWidth="1"/>
    <col min="6407" max="6407" width="14.81640625" style="75" customWidth="1"/>
    <col min="6408" max="6409" width="9.26953125" style="75" customWidth="1"/>
    <col min="6410" max="6656" width="8.7265625" style="75"/>
    <col min="6657" max="6657" width="45.81640625" style="75" customWidth="1"/>
    <col min="6658" max="6661" width="14.81640625" style="75" customWidth="1"/>
    <col min="6662" max="6662" width="0" style="75" hidden="1" customWidth="1"/>
    <col min="6663" max="6663" width="14.81640625" style="75" customWidth="1"/>
    <col min="6664" max="6665" width="9.26953125" style="75" customWidth="1"/>
    <col min="6666" max="6912" width="8.7265625" style="75"/>
    <col min="6913" max="6913" width="45.81640625" style="75" customWidth="1"/>
    <col min="6914" max="6917" width="14.81640625" style="75" customWidth="1"/>
    <col min="6918" max="6918" width="0" style="75" hidden="1" customWidth="1"/>
    <col min="6919" max="6919" width="14.81640625" style="75" customWidth="1"/>
    <col min="6920" max="6921" width="9.26953125" style="75" customWidth="1"/>
    <col min="6922" max="7168" width="8.7265625" style="75"/>
    <col min="7169" max="7169" width="45.81640625" style="75" customWidth="1"/>
    <col min="7170" max="7173" width="14.81640625" style="75" customWidth="1"/>
    <col min="7174" max="7174" width="0" style="75" hidden="1" customWidth="1"/>
    <col min="7175" max="7175" width="14.81640625" style="75" customWidth="1"/>
    <col min="7176" max="7177" width="9.26953125" style="75" customWidth="1"/>
    <col min="7178" max="7424" width="8.7265625" style="75"/>
    <col min="7425" max="7425" width="45.81640625" style="75" customWidth="1"/>
    <col min="7426" max="7429" width="14.81640625" style="75" customWidth="1"/>
    <col min="7430" max="7430" width="0" style="75" hidden="1" customWidth="1"/>
    <col min="7431" max="7431" width="14.81640625" style="75" customWidth="1"/>
    <col min="7432" max="7433" width="9.26953125" style="75" customWidth="1"/>
    <col min="7434" max="7680" width="8.7265625" style="75"/>
    <col min="7681" max="7681" width="45.81640625" style="75" customWidth="1"/>
    <col min="7682" max="7685" width="14.81640625" style="75" customWidth="1"/>
    <col min="7686" max="7686" width="0" style="75" hidden="1" customWidth="1"/>
    <col min="7687" max="7687" width="14.81640625" style="75" customWidth="1"/>
    <col min="7688" max="7689" width="9.26953125" style="75" customWidth="1"/>
    <col min="7690" max="7936" width="8.7265625" style="75"/>
    <col min="7937" max="7937" width="45.81640625" style="75" customWidth="1"/>
    <col min="7938" max="7941" width="14.81640625" style="75" customWidth="1"/>
    <col min="7942" max="7942" width="0" style="75" hidden="1" customWidth="1"/>
    <col min="7943" max="7943" width="14.81640625" style="75" customWidth="1"/>
    <col min="7944" max="7945" width="9.26953125" style="75" customWidth="1"/>
    <col min="7946" max="8192" width="8.7265625" style="75"/>
    <col min="8193" max="8193" width="45.81640625" style="75" customWidth="1"/>
    <col min="8194" max="8197" width="14.81640625" style="75" customWidth="1"/>
    <col min="8198" max="8198" width="0" style="75" hidden="1" customWidth="1"/>
    <col min="8199" max="8199" width="14.81640625" style="75" customWidth="1"/>
    <col min="8200" max="8201" width="9.26953125" style="75" customWidth="1"/>
    <col min="8202" max="8448" width="8.7265625" style="75"/>
    <col min="8449" max="8449" width="45.81640625" style="75" customWidth="1"/>
    <col min="8450" max="8453" width="14.81640625" style="75" customWidth="1"/>
    <col min="8454" max="8454" width="0" style="75" hidden="1" customWidth="1"/>
    <col min="8455" max="8455" width="14.81640625" style="75" customWidth="1"/>
    <col min="8456" max="8457" width="9.26953125" style="75" customWidth="1"/>
    <col min="8458" max="8704" width="8.7265625" style="75"/>
    <col min="8705" max="8705" width="45.81640625" style="75" customWidth="1"/>
    <col min="8706" max="8709" width="14.81640625" style="75" customWidth="1"/>
    <col min="8710" max="8710" width="0" style="75" hidden="1" customWidth="1"/>
    <col min="8711" max="8711" width="14.81640625" style="75" customWidth="1"/>
    <col min="8712" max="8713" width="9.26953125" style="75" customWidth="1"/>
    <col min="8714" max="8960" width="8.7265625" style="75"/>
    <col min="8961" max="8961" width="45.81640625" style="75" customWidth="1"/>
    <col min="8962" max="8965" width="14.81640625" style="75" customWidth="1"/>
    <col min="8966" max="8966" width="0" style="75" hidden="1" customWidth="1"/>
    <col min="8967" max="8967" width="14.81640625" style="75" customWidth="1"/>
    <col min="8968" max="8969" width="9.26953125" style="75" customWidth="1"/>
    <col min="8970" max="9216" width="8.7265625" style="75"/>
    <col min="9217" max="9217" width="45.81640625" style="75" customWidth="1"/>
    <col min="9218" max="9221" width="14.81640625" style="75" customWidth="1"/>
    <col min="9222" max="9222" width="0" style="75" hidden="1" customWidth="1"/>
    <col min="9223" max="9223" width="14.81640625" style="75" customWidth="1"/>
    <col min="9224" max="9225" width="9.26953125" style="75" customWidth="1"/>
    <col min="9226" max="9472" width="8.7265625" style="75"/>
    <col min="9473" max="9473" width="45.81640625" style="75" customWidth="1"/>
    <col min="9474" max="9477" width="14.81640625" style="75" customWidth="1"/>
    <col min="9478" max="9478" width="0" style="75" hidden="1" customWidth="1"/>
    <col min="9479" max="9479" width="14.81640625" style="75" customWidth="1"/>
    <col min="9480" max="9481" width="9.26953125" style="75" customWidth="1"/>
    <col min="9482" max="9728" width="8.7265625" style="75"/>
    <col min="9729" max="9729" width="45.81640625" style="75" customWidth="1"/>
    <col min="9730" max="9733" width="14.81640625" style="75" customWidth="1"/>
    <col min="9734" max="9734" width="0" style="75" hidden="1" customWidth="1"/>
    <col min="9735" max="9735" width="14.81640625" style="75" customWidth="1"/>
    <col min="9736" max="9737" width="9.26953125" style="75" customWidth="1"/>
    <col min="9738" max="9984" width="8.7265625" style="75"/>
    <col min="9985" max="9985" width="45.81640625" style="75" customWidth="1"/>
    <col min="9986" max="9989" width="14.81640625" style="75" customWidth="1"/>
    <col min="9990" max="9990" width="0" style="75" hidden="1" customWidth="1"/>
    <col min="9991" max="9991" width="14.81640625" style="75" customWidth="1"/>
    <col min="9992" max="9993" width="9.26953125" style="75" customWidth="1"/>
    <col min="9994" max="10240" width="8.7265625" style="75"/>
    <col min="10241" max="10241" width="45.81640625" style="75" customWidth="1"/>
    <col min="10242" max="10245" width="14.81640625" style="75" customWidth="1"/>
    <col min="10246" max="10246" width="0" style="75" hidden="1" customWidth="1"/>
    <col min="10247" max="10247" width="14.81640625" style="75" customWidth="1"/>
    <col min="10248" max="10249" width="9.26953125" style="75" customWidth="1"/>
    <col min="10250" max="10496" width="8.7265625" style="75"/>
    <col min="10497" max="10497" width="45.81640625" style="75" customWidth="1"/>
    <col min="10498" max="10501" width="14.81640625" style="75" customWidth="1"/>
    <col min="10502" max="10502" width="0" style="75" hidden="1" customWidth="1"/>
    <col min="10503" max="10503" width="14.81640625" style="75" customWidth="1"/>
    <col min="10504" max="10505" width="9.26953125" style="75" customWidth="1"/>
    <col min="10506" max="10752" width="8.7265625" style="75"/>
    <col min="10753" max="10753" width="45.81640625" style="75" customWidth="1"/>
    <col min="10754" max="10757" width="14.81640625" style="75" customWidth="1"/>
    <col min="10758" max="10758" width="0" style="75" hidden="1" customWidth="1"/>
    <col min="10759" max="10759" width="14.81640625" style="75" customWidth="1"/>
    <col min="10760" max="10761" width="9.26953125" style="75" customWidth="1"/>
    <col min="10762" max="11008" width="8.7265625" style="75"/>
    <col min="11009" max="11009" width="45.81640625" style="75" customWidth="1"/>
    <col min="11010" max="11013" width="14.81640625" style="75" customWidth="1"/>
    <col min="11014" max="11014" width="0" style="75" hidden="1" customWidth="1"/>
    <col min="11015" max="11015" width="14.81640625" style="75" customWidth="1"/>
    <col min="11016" max="11017" width="9.26953125" style="75" customWidth="1"/>
    <col min="11018" max="11264" width="8.7265625" style="75"/>
    <col min="11265" max="11265" width="45.81640625" style="75" customWidth="1"/>
    <col min="11266" max="11269" width="14.81640625" style="75" customWidth="1"/>
    <col min="11270" max="11270" width="0" style="75" hidden="1" customWidth="1"/>
    <col min="11271" max="11271" width="14.81640625" style="75" customWidth="1"/>
    <col min="11272" max="11273" width="9.26953125" style="75" customWidth="1"/>
    <col min="11274" max="11520" width="8.7265625" style="75"/>
    <col min="11521" max="11521" width="45.81640625" style="75" customWidth="1"/>
    <col min="11522" max="11525" width="14.81640625" style="75" customWidth="1"/>
    <col min="11526" max="11526" width="0" style="75" hidden="1" customWidth="1"/>
    <col min="11527" max="11527" width="14.81640625" style="75" customWidth="1"/>
    <col min="11528" max="11529" width="9.26953125" style="75" customWidth="1"/>
    <col min="11530" max="11776" width="8.7265625" style="75"/>
    <col min="11777" max="11777" width="45.81640625" style="75" customWidth="1"/>
    <col min="11778" max="11781" width="14.81640625" style="75" customWidth="1"/>
    <col min="11782" max="11782" width="0" style="75" hidden="1" customWidth="1"/>
    <col min="11783" max="11783" width="14.81640625" style="75" customWidth="1"/>
    <col min="11784" max="11785" width="9.26953125" style="75" customWidth="1"/>
    <col min="11786" max="12032" width="8.7265625" style="75"/>
    <col min="12033" max="12033" width="45.81640625" style="75" customWidth="1"/>
    <col min="12034" max="12037" width="14.81640625" style="75" customWidth="1"/>
    <col min="12038" max="12038" width="0" style="75" hidden="1" customWidth="1"/>
    <col min="12039" max="12039" width="14.81640625" style="75" customWidth="1"/>
    <col min="12040" max="12041" width="9.26953125" style="75" customWidth="1"/>
    <col min="12042" max="12288" width="8.7265625" style="75"/>
    <col min="12289" max="12289" width="45.81640625" style="75" customWidth="1"/>
    <col min="12290" max="12293" width="14.81640625" style="75" customWidth="1"/>
    <col min="12294" max="12294" width="0" style="75" hidden="1" customWidth="1"/>
    <col min="12295" max="12295" width="14.81640625" style="75" customWidth="1"/>
    <col min="12296" max="12297" width="9.26953125" style="75" customWidth="1"/>
    <col min="12298" max="12544" width="8.7265625" style="75"/>
    <col min="12545" max="12545" width="45.81640625" style="75" customWidth="1"/>
    <col min="12546" max="12549" width="14.81640625" style="75" customWidth="1"/>
    <col min="12550" max="12550" width="0" style="75" hidden="1" customWidth="1"/>
    <col min="12551" max="12551" width="14.81640625" style="75" customWidth="1"/>
    <col min="12552" max="12553" width="9.26953125" style="75" customWidth="1"/>
    <col min="12554" max="12800" width="8.7265625" style="75"/>
    <col min="12801" max="12801" width="45.81640625" style="75" customWidth="1"/>
    <col min="12802" max="12805" width="14.81640625" style="75" customWidth="1"/>
    <col min="12806" max="12806" width="0" style="75" hidden="1" customWidth="1"/>
    <col min="12807" max="12807" width="14.81640625" style="75" customWidth="1"/>
    <col min="12808" max="12809" width="9.26953125" style="75" customWidth="1"/>
    <col min="12810" max="13056" width="8.7265625" style="75"/>
    <col min="13057" max="13057" width="45.81640625" style="75" customWidth="1"/>
    <col min="13058" max="13061" width="14.81640625" style="75" customWidth="1"/>
    <col min="13062" max="13062" width="0" style="75" hidden="1" customWidth="1"/>
    <col min="13063" max="13063" width="14.81640625" style="75" customWidth="1"/>
    <col min="13064" max="13065" width="9.26953125" style="75" customWidth="1"/>
    <col min="13066" max="13312" width="8.7265625" style="75"/>
    <col min="13313" max="13313" width="45.81640625" style="75" customWidth="1"/>
    <col min="13314" max="13317" width="14.81640625" style="75" customWidth="1"/>
    <col min="13318" max="13318" width="0" style="75" hidden="1" customWidth="1"/>
    <col min="13319" max="13319" width="14.81640625" style="75" customWidth="1"/>
    <col min="13320" max="13321" width="9.26953125" style="75" customWidth="1"/>
    <col min="13322" max="13568" width="8.7265625" style="75"/>
    <col min="13569" max="13569" width="45.81640625" style="75" customWidth="1"/>
    <col min="13570" max="13573" width="14.81640625" style="75" customWidth="1"/>
    <col min="13574" max="13574" width="0" style="75" hidden="1" customWidth="1"/>
    <col min="13575" max="13575" width="14.81640625" style="75" customWidth="1"/>
    <col min="13576" max="13577" width="9.26953125" style="75" customWidth="1"/>
    <col min="13578" max="13824" width="8.7265625" style="75"/>
    <col min="13825" max="13825" width="45.81640625" style="75" customWidth="1"/>
    <col min="13826" max="13829" width="14.81640625" style="75" customWidth="1"/>
    <col min="13830" max="13830" width="0" style="75" hidden="1" customWidth="1"/>
    <col min="13831" max="13831" width="14.81640625" style="75" customWidth="1"/>
    <col min="13832" max="13833" width="9.26953125" style="75" customWidth="1"/>
    <col min="13834" max="14080" width="8.7265625" style="75"/>
    <col min="14081" max="14081" width="45.81640625" style="75" customWidth="1"/>
    <col min="14082" max="14085" width="14.81640625" style="75" customWidth="1"/>
    <col min="14086" max="14086" width="0" style="75" hidden="1" customWidth="1"/>
    <col min="14087" max="14087" width="14.81640625" style="75" customWidth="1"/>
    <col min="14088" max="14089" width="9.26953125" style="75" customWidth="1"/>
    <col min="14090" max="14336" width="8.7265625" style="75"/>
    <col min="14337" max="14337" width="45.81640625" style="75" customWidth="1"/>
    <col min="14338" max="14341" width="14.81640625" style="75" customWidth="1"/>
    <col min="14342" max="14342" width="0" style="75" hidden="1" customWidth="1"/>
    <col min="14343" max="14343" width="14.81640625" style="75" customWidth="1"/>
    <col min="14344" max="14345" width="9.26953125" style="75" customWidth="1"/>
    <col min="14346" max="14592" width="8.7265625" style="75"/>
    <col min="14593" max="14593" width="45.81640625" style="75" customWidth="1"/>
    <col min="14594" max="14597" width="14.81640625" style="75" customWidth="1"/>
    <col min="14598" max="14598" width="0" style="75" hidden="1" customWidth="1"/>
    <col min="14599" max="14599" width="14.81640625" style="75" customWidth="1"/>
    <col min="14600" max="14601" width="9.26953125" style="75" customWidth="1"/>
    <col min="14602" max="14848" width="8.7265625" style="75"/>
    <col min="14849" max="14849" width="45.81640625" style="75" customWidth="1"/>
    <col min="14850" max="14853" width="14.81640625" style="75" customWidth="1"/>
    <col min="14854" max="14854" width="0" style="75" hidden="1" customWidth="1"/>
    <col min="14855" max="14855" width="14.81640625" style="75" customWidth="1"/>
    <col min="14856" max="14857" width="9.26953125" style="75" customWidth="1"/>
    <col min="14858" max="15104" width="8.7265625" style="75"/>
    <col min="15105" max="15105" width="45.81640625" style="75" customWidth="1"/>
    <col min="15106" max="15109" width="14.81640625" style="75" customWidth="1"/>
    <col min="15110" max="15110" width="0" style="75" hidden="1" customWidth="1"/>
    <col min="15111" max="15111" width="14.81640625" style="75" customWidth="1"/>
    <col min="15112" max="15113" width="9.26953125" style="75" customWidth="1"/>
    <col min="15114" max="15360" width="8.7265625" style="75"/>
    <col min="15361" max="15361" width="45.81640625" style="75" customWidth="1"/>
    <col min="15362" max="15365" width="14.81640625" style="75" customWidth="1"/>
    <col min="15366" max="15366" width="0" style="75" hidden="1" customWidth="1"/>
    <col min="15367" max="15367" width="14.81640625" style="75" customWidth="1"/>
    <col min="15368" max="15369" width="9.26953125" style="75" customWidth="1"/>
    <col min="15370" max="15616" width="8.7265625" style="75"/>
    <col min="15617" max="15617" width="45.81640625" style="75" customWidth="1"/>
    <col min="15618" max="15621" width="14.81640625" style="75" customWidth="1"/>
    <col min="15622" max="15622" width="0" style="75" hidden="1" customWidth="1"/>
    <col min="15623" max="15623" width="14.81640625" style="75" customWidth="1"/>
    <col min="15624" max="15625" width="9.26953125" style="75" customWidth="1"/>
    <col min="15626" max="15872" width="8.7265625" style="75"/>
    <col min="15873" max="15873" width="45.81640625" style="75" customWidth="1"/>
    <col min="15874" max="15877" width="14.81640625" style="75" customWidth="1"/>
    <col min="15878" max="15878" width="0" style="75" hidden="1" customWidth="1"/>
    <col min="15879" max="15879" width="14.81640625" style="75" customWidth="1"/>
    <col min="15880" max="15881" width="9.26953125" style="75" customWidth="1"/>
    <col min="15882" max="16128" width="8.7265625" style="75"/>
    <col min="16129" max="16129" width="45.81640625" style="75" customWidth="1"/>
    <col min="16130" max="16133" width="14.81640625" style="75" customWidth="1"/>
    <col min="16134" max="16134" width="0" style="75" hidden="1" customWidth="1"/>
    <col min="16135" max="16135" width="14.81640625" style="75" customWidth="1"/>
    <col min="16136" max="16137" width="9.26953125" style="75" customWidth="1"/>
    <col min="16138" max="16384" width="8.7265625" style="75"/>
  </cols>
  <sheetData>
    <row r="5" spans="1:254" ht="17" x14ac:dyDescent="0.35">
      <c r="A5" s="74" t="s">
        <v>289</v>
      </c>
    </row>
    <row r="7" spans="1:254" ht="10.5" x14ac:dyDescent="0.25">
      <c r="A7" s="76" t="s">
        <v>245</v>
      </c>
      <c r="B7" s="77" t="s">
        <v>246</v>
      </c>
      <c r="C7" s="75" t="s">
        <v>247</v>
      </c>
      <c r="D7" s="78" t="s">
        <v>177</v>
      </c>
      <c r="E7" s="77" t="s">
        <v>248</v>
      </c>
      <c r="F7" s="75" t="s">
        <v>249</v>
      </c>
    </row>
    <row r="8" spans="1:254" ht="10.5" x14ac:dyDescent="0.25">
      <c r="A8" s="78"/>
      <c r="B8" s="77" t="s">
        <v>250</v>
      </c>
      <c r="C8" s="75" t="s">
        <v>251</v>
      </c>
      <c r="D8" s="78" t="s">
        <v>177</v>
      </c>
      <c r="E8" s="77" t="s">
        <v>180</v>
      </c>
      <c r="F8" s="75" t="s">
        <v>181</v>
      </c>
    </row>
    <row r="9" spans="1:254" ht="10.5" x14ac:dyDescent="0.25">
      <c r="A9" s="78"/>
      <c r="B9" s="77" t="s">
        <v>175</v>
      </c>
      <c r="C9" s="75" t="s">
        <v>252</v>
      </c>
      <c r="D9" s="78" t="s">
        <v>177</v>
      </c>
      <c r="E9" s="77" t="s">
        <v>178</v>
      </c>
      <c r="F9" s="75" t="s">
        <v>179</v>
      </c>
    </row>
    <row r="10" spans="1:254" ht="10.5" x14ac:dyDescent="0.25">
      <c r="A10" s="78"/>
      <c r="B10" s="77" t="s">
        <v>182</v>
      </c>
      <c r="C10" s="75" t="s">
        <v>183</v>
      </c>
      <c r="D10" s="78" t="s">
        <v>177</v>
      </c>
      <c r="E10" s="77" t="s">
        <v>184</v>
      </c>
      <c r="F10" s="79" t="s">
        <v>185</v>
      </c>
    </row>
    <row r="11" spans="1:254" ht="10.5" x14ac:dyDescent="0.25">
      <c r="A11" s="78"/>
      <c r="B11" s="77" t="s">
        <v>253</v>
      </c>
      <c r="C11" s="75" t="s">
        <v>254</v>
      </c>
      <c r="D11" s="78" t="s">
        <v>177</v>
      </c>
      <c r="E11" s="101"/>
      <c r="F11" s="101"/>
    </row>
    <row r="14" spans="1:254" x14ac:dyDescent="0.2">
      <c r="A14" s="80" t="s">
        <v>290</v>
      </c>
      <c r="B14" s="80"/>
      <c r="C14" s="80"/>
      <c r="D14" s="80"/>
      <c r="E14" s="80"/>
      <c r="F14" s="80"/>
      <c r="G14" s="80"/>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row>
    <row r="15" spans="1:254" ht="31.5" x14ac:dyDescent="0.25">
      <c r="A15" s="82" t="s">
        <v>0</v>
      </c>
      <c r="B15" s="83" t="s">
        <v>1</v>
      </c>
      <c r="C15" s="83" t="s">
        <v>291</v>
      </c>
      <c r="D15" s="83" t="s">
        <v>292</v>
      </c>
      <c r="E15" s="83" t="s">
        <v>293</v>
      </c>
      <c r="F15" s="102" t="s">
        <v>5</v>
      </c>
      <c r="G15" s="83" t="s">
        <v>5</v>
      </c>
    </row>
    <row r="16" spans="1:254" x14ac:dyDescent="0.2">
      <c r="A16" s="84" t="s">
        <v>26</v>
      </c>
      <c r="B16" s="85" t="s">
        <v>27</v>
      </c>
      <c r="C16" s="85" t="s">
        <v>27</v>
      </c>
      <c r="D16" s="85" t="s">
        <v>27</v>
      </c>
      <c r="E16" s="85" t="s">
        <v>27</v>
      </c>
      <c r="F16" s="103" t="s">
        <v>27</v>
      </c>
      <c r="G16" s="85" t="s">
        <v>27</v>
      </c>
    </row>
    <row r="17" spans="1:7" ht="10.5" x14ac:dyDescent="0.2">
      <c r="A17" s="86" t="s">
        <v>28</v>
      </c>
      <c r="B17" s="78"/>
      <c r="C17" s="78"/>
      <c r="D17" s="78"/>
      <c r="E17" s="78"/>
      <c r="F17" s="78"/>
      <c r="G17" s="78"/>
    </row>
    <row r="18" spans="1:7" ht="10.5" x14ac:dyDescent="0.2">
      <c r="A18" s="86" t="s">
        <v>203</v>
      </c>
      <c r="B18" s="87">
        <v>-6</v>
      </c>
      <c r="C18" s="87">
        <v>-4</v>
      </c>
      <c r="D18" s="87">
        <v>6.5140000000000002</v>
      </c>
      <c r="E18" s="87">
        <v>4.6520000000000001</v>
      </c>
      <c r="F18" s="130" t="s">
        <v>30</v>
      </c>
      <c r="G18" s="87">
        <v>-19</v>
      </c>
    </row>
    <row r="19" spans="1:7" x14ac:dyDescent="0.2">
      <c r="A19" s="78" t="s">
        <v>19</v>
      </c>
      <c r="B19" s="94">
        <v>7.7590000000000003</v>
      </c>
      <c r="C19" s="94">
        <v>9.6850000000000005</v>
      </c>
      <c r="D19" s="94">
        <v>11.657</v>
      </c>
      <c r="E19" s="94">
        <v>14.613</v>
      </c>
      <c r="F19" s="105" t="s">
        <v>30</v>
      </c>
      <c r="G19" s="94">
        <v>2.0379999999999998</v>
      </c>
    </row>
    <row r="20" spans="1:7" x14ac:dyDescent="0.2">
      <c r="A20" s="78" t="s">
        <v>294</v>
      </c>
      <c r="B20" s="94" t="s">
        <v>30</v>
      </c>
      <c r="C20" s="94" t="s">
        <v>30</v>
      </c>
      <c r="D20" s="94" t="s">
        <v>30</v>
      </c>
      <c r="E20" s="94" t="s">
        <v>30</v>
      </c>
      <c r="F20" s="105" t="s">
        <v>30</v>
      </c>
      <c r="G20" s="94">
        <v>10.535</v>
      </c>
    </row>
    <row r="21" spans="1:7" ht="10.5" x14ac:dyDescent="0.2">
      <c r="A21" s="86" t="s">
        <v>295</v>
      </c>
      <c r="B21" s="106">
        <v>7.7590000000000003</v>
      </c>
      <c r="C21" s="106">
        <v>9.6850000000000005</v>
      </c>
      <c r="D21" s="106">
        <v>11.657</v>
      </c>
      <c r="E21" s="106">
        <v>14.613</v>
      </c>
      <c r="F21" s="131" t="s">
        <v>30</v>
      </c>
      <c r="G21" s="106">
        <v>12.573</v>
      </c>
    </row>
    <row r="22" spans="1:7" x14ac:dyDescent="0.2">
      <c r="A22" s="78"/>
      <c r="B22" s="78"/>
      <c r="C22" s="78"/>
      <c r="D22" s="78"/>
      <c r="E22" s="78"/>
      <c r="F22" s="78"/>
      <c r="G22" s="78"/>
    </row>
    <row r="23" spans="1:7" x14ac:dyDescent="0.2">
      <c r="A23" s="78" t="s">
        <v>296</v>
      </c>
      <c r="B23" s="94" t="s">
        <v>30</v>
      </c>
      <c r="C23" s="94" t="s">
        <v>30</v>
      </c>
      <c r="D23" s="94">
        <v>2.4300000000000002</v>
      </c>
      <c r="E23" s="94" t="s">
        <v>30</v>
      </c>
      <c r="F23" s="105" t="s">
        <v>30</v>
      </c>
      <c r="G23" s="94">
        <v>23.038</v>
      </c>
    </row>
    <row r="24" spans="1:7" x14ac:dyDescent="0.2">
      <c r="A24" s="78" t="s">
        <v>297</v>
      </c>
      <c r="B24" s="94" t="s">
        <v>30</v>
      </c>
      <c r="C24" s="94" t="s">
        <v>30</v>
      </c>
      <c r="D24" s="94" t="s">
        <v>30</v>
      </c>
      <c r="E24" s="94" t="s">
        <v>30</v>
      </c>
      <c r="F24" s="105" t="s">
        <v>30</v>
      </c>
      <c r="G24" s="94">
        <v>0.113</v>
      </c>
    </row>
    <row r="25" spans="1:7" x14ac:dyDescent="0.2">
      <c r="A25" s="78" t="s">
        <v>298</v>
      </c>
      <c r="B25" s="94">
        <v>1.8979999999999999</v>
      </c>
      <c r="C25" s="94">
        <v>3.9239999999999999</v>
      </c>
      <c r="D25" s="94">
        <v>1.6279999999999999</v>
      </c>
      <c r="E25" s="94">
        <v>-0.2</v>
      </c>
      <c r="F25" s="105" t="s">
        <v>30</v>
      </c>
      <c r="G25" s="94">
        <v>-1</v>
      </c>
    </row>
    <row r="26" spans="1:7" x14ac:dyDescent="0.2">
      <c r="A26" s="78" t="s">
        <v>299</v>
      </c>
      <c r="B26" s="94" t="s">
        <v>30</v>
      </c>
      <c r="C26" s="94">
        <v>0.61499999999999999</v>
      </c>
      <c r="D26" s="94">
        <v>0.96899999999999997</v>
      </c>
      <c r="E26" s="94">
        <v>3.448</v>
      </c>
      <c r="F26" s="105" t="s">
        <v>30</v>
      </c>
      <c r="G26" s="94">
        <v>2.9940000000000002</v>
      </c>
    </row>
    <row r="27" spans="1:7" x14ac:dyDescent="0.2">
      <c r="A27" s="78" t="s">
        <v>300</v>
      </c>
      <c r="B27" s="94">
        <v>2.4980000000000002</v>
      </c>
      <c r="C27" s="94">
        <v>5.4489999999999998</v>
      </c>
      <c r="D27" s="94">
        <v>6.3840000000000003</v>
      </c>
      <c r="E27" s="94">
        <v>8.6869999999999994</v>
      </c>
      <c r="F27" s="105" t="s">
        <v>30</v>
      </c>
      <c r="G27" s="94">
        <v>20.193000000000001</v>
      </c>
    </row>
    <row r="28" spans="1:7" x14ac:dyDescent="0.2">
      <c r="A28" s="78" t="s">
        <v>301</v>
      </c>
      <c r="B28" s="94">
        <v>-1.7</v>
      </c>
      <c r="C28" s="94">
        <v>-0.3</v>
      </c>
      <c r="D28" s="94">
        <v>-1.3</v>
      </c>
      <c r="E28" s="94">
        <v>0.48699999999999999</v>
      </c>
      <c r="F28" s="105" t="s">
        <v>30</v>
      </c>
      <c r="G28" s="94">
        <v>-2.1</v>
      </c>
    </row>
    <row r="29" spans="1:7" x14ac:dyDescent="0.2">
      <c r="A29" s="78" t="s">
        <v>302</v>
      </c>
      <c r="B29" s="94">
        <v>-0.1</v>
      </c>
      <c r="C29" s="94">
        <v>-0.5</v>
      </c>
      <c r="D29" s="94">
        <v>2.0830000000000002</v>
      </c>
      <c r="E29" s="94">
        <v>-1.4</v>
      </c>
      <c r="F29" s="105" t="s">
        <v>30</v>
      </c>
      <c r="G29" s="94">
        <v>-3.4</v>
      </c>
    </row>
    <row r="30" spans="1:7" x14ac:dyDescent="0.2">
      <c r="A30" s="78" t="s">
        <v>303</v>
      </c>
      <c r="B30" s="94">
        <v>0.94899999999999995</v>
      </c>
      <c r="C30" s="94">
        <v>0.109</v>
      </c>
      <c r="D30" s="94">
        <v>-2.2000000000000002</v>
      </c>
      <c r="E30" s="94">
        <v>-2.2999999999999998</v>
      </c>
      <c r="F30" s="105" t="s">
        <v>30</v>
      </c>
      <c r="G30" s="94">
        <v>4.8499999999999996</v>
      </c>
    </row>
    <row r="31" spans="1:7" ht="10.5" x14ac:dyDescent="0.2">
      <c r="A31" s="86" t="s">
        <v>304</v>
      </c>
      <c r="B31" s="106">
        <v>5.3780000000000001</v>
      </c>
      <c r="C31" s="106">
        <v>15.04</v>
      </c>
      <c r="D31" s="106">
        <v>28.222999999999999</v>
      </c>
      <c r="E31" s="106">
        <v>27.997</v>
      </c>
      <c r="F31" s="131" t="s">
        <v>30</v>
      </c>
      <c r="G31" s="106">
        <v>38.348999999999997</v>
      </c>
    </row>
    <row r="32" spans="1:7" x14ac:dyDescent="0.2">
      <c r="A32" s="78"/>
      <c r="B32" s="78"/>
      <c r="C32" s="78"/>
      <c r="D32" s="78"/>
      <c r="E32" s="78"/>
      <c r="F32" s="78"/>
      <c r="G32" s="78"/>
    </row>
    <row r="33" spans="1:7" x14ac:dyDescent="0.2">
      <c r="A33" s="78" t="s">
        <v>305</v>
      </c>
      <c r="B33" s="94">
        <v>-0.4</v>
      </c>
      <c r="C33" s="94">
        <v>-0.8</v>
      </c>
      <c r="D33" s="94">
        <v>-0.9</v>
      </c>
      <c r="E33" s="94">
        <v>-1.5</v>
      </c>
      <c r="F33" s="105" t="s">
        <v>30</v>
      </c>
      <c r="G33" s="94">
        <v>-1.4</v>
      </c>
    </row>
    <row r="34" spans="1:7" x14ac:dyDescent="0.2">
      <c r="A34" s="78" t="s">
        <v>306</v>
      </c>
      <c r="B34" s="94" t="s">
        <v>30</v>
      </c>
      <c r="C34" s="94" t="s">
        <v>30</v>
      </c>
      <c r="D34" s="94" t="s">
        <v>30</v>
      </c>
      <c r="E34" s="94" t="s">
        <v>30</v>
      </c>
      <c r="F34" s="105" t="s">
        <v>30</v>
      </c>
      <c r="G34" s="94">
        <v>-197.7</v>
      </c>
    </row>
    <row r="35" spans="1:7" x14ac:dyDescent="0.2">
      <c r="A35" s="78" t="s">
        <v>307</v>
      </c>
      <c r="B35" s="94" t="s">
        <v>30</v>
      </c>
      <c r="C35" s="94" t="s">
        <v>30</v>
      </c>
      <c r="D35" s="94" t="s">
        <v>30</v>
      </c>
      <c r="E35" s="94" t="s">
        <v>30</v>
      </c>
      <c r="F35" s="105" t="s">
        <v>30</v>
      </c>
      <c r="G35" s="94" t="s">
        <v>30</v>
      </c>
    </row>
    <row r="36" spans="1:7" x14ac:dyDescent="0.2">
      <c r="A36" s="78" t="s">
        <v>308</v>
      </c>
      <c r="B36" s="94">
        <v>-8</v>
      </c>
      <c r="C36" s="94">
        <v>-11.5</v>
      </c>
      <c r="D36" s="94">
        <v>-13.1</v>
      </c>
      <c r="E36" s="94">
        <v>-17</v>
      </c>
      <c r="F36" s="105" t="s">
        <v>30</v>
      </c>
      <c r="G36" s="94">
        <v>-26.5</v>
      </c>
    </row>
    <row r="37" spans="1:7" x14ac:dyDescent="0.2">
      <c r="A37" s="78" t="s">
        <v>309</v>
      </c>
      <c r="B37" s="94">
        <v>-2.1</v>
      </c>
      <c r="C37" s="94">
        <v>-4.2</v>
      </c>
      <c r="D37" s="94" t="s">
        <v>30</v>
      </c>
      <c r="E37" s="94" t="s">
        <v>30</v>
      </c>
      <c r="F37" s="105" t="s">
        <v>30</v>
      </c>
      <c r="G37" s="94">
        <v>0</v>
      </c>
    </row>
    <row r="38" spans="1:7" x14ac:dyDescent="0.2">
      <c r="A38" s="78" t="s">
        <v>310</v>
      </c>
      <c r="B38" s="94" t="s">
        <v>30</v>
      </c>
      <c r="C38" s="94" t="s">
        <v>30</v>
      </c>
      <c r="D38" s="94" t="s">
        <v>30</v>
      </c>
      <c r="E38" s="94" t="s">
        <v>30</v>
      </c>
      <c r="F38" s="105" t="s">
        <v>30</v>
      </c>
      <c r="G38" s="94" t="s">
        <v>30</v>
      </c>
    </row>
    <row r="39" spans="1:7" x14ac:dyDescent="0.2">
      <c r="A39" s="78" t="s">
        <v>311</v>
      </c>
      <c r="B39" s="94">
        <v>-1.1000000000000001</v>
      </c>
      <c r="C39" s="94">
        <v>-1</v>
      </c>
      <c r="D39" s="94">
        <v>-1.7</v>
      </c>
      <c r="E39" s="94">
        <v>-0.1</v>
      </c>
      <c r="F39" s="105" t="s">
        <v>30</v>
      </c>
      <c r="G39" s="94">
        <v>-0.3</v>
      </c>
    </row>
    <row r="40" spans="1:7" ht="10.5" x14ac:dyDescent="0.2">
      <c r="A40" s="86" t="s">
        <v>312</v>
      </c>
      <c r="B40" s="106">
        <v>-11.7</v>
      </c>
      <c r="C40" s="106">
        <v>-17.399999999999999</v>
      </c>
      <c r="D40" s="106">
        <v>-15.7</v>
      </c>
      <c r="E40" s="106">
        <v>-18.5</v>
      </c>
      <c r="F40" s="131" t="s">
        <v>30</v>
      </c>
      <c r="G40" s="106">
        <v>-225.9</v>
      </c>
    </row>
    <row r="41" spans="1:7" x14ac:dyDescent="0.2">
      <c r="A41" s="78"/>
      <c r="B41" s="78"/>
      <c r="C41" s="78"/>
      <c r="D41" s="78"/>
      <c r="E41" s="78"/>
      <c r="F41" s="78"/>
      <c r="G41" s="78"/>
    </row>
    <row r="42" spans="1:7" x14ac:dyDescent="0.2">
      <c r="A42" s="78" t="s">
        <v>313</v>
      </c>
      <c r="B42" s="94" t="s">
        <v>30</v>
      </c>
      <c r="C42" s="94" t="s">
        <v>30</v>
      </c>
      <c r="D42" s="94" t="s">
        <v>30</v>
      </c>
      <c r="E42" s="94" t="s">
        <v>30</v>
      </c>
      <c r="F42" s="105" t="s">
        <v>30</v>
      </c>
      <c r="G42" s="94" t="s">
        <v>30</v>
      </c>
    </row>
    <row r="43" spans="1:7" x14ac:dyDescent="0.2">
      <c r="A43" s="78" t="s">
        <v>314</v>
      </c>
      <c r="B43" s="94">
        <v>6</v>
      </c>
      <c r="C43" s="94">
        <v>6.5</v>
      </c>
      <c r="D43" s="94">
        <v>2.5</v>
      </c>
      <c r="E43" s="94" t="s">
        <v>30</v>
      </c>
      <c r="F43" s="105" t="s">
        <v>30</v>
      </c>
      <c r="G43" s="94">
        <v>204.2</v>
      </c>
    </row>
    <row r="44" spans="1:7" ht="10.5" x14ac:dyDescent="0.2">
      <c r="A44" s="86" t="s">
        <v>315</v>
      </c>
      <c r="B44" s="106">
        <v>6</v>
      </c>
      <c r="C44" s="106">
        <v>6.5</v>
      </c>
      <c r="D44" s="106">
        <v>2.5</v>
      </c>
      <c r="E44" s="106" t="s">
        <v>30</v>
      </c>
      <c r="F44" s="131" t="s">
        <v>30</v>
      </c>
      <c r="G44" s="106">
        <v>204.2</v>
      </c>
    </row>
    <row r="45" spans="1:7" x14ac:dyDescent="0.2">
      <c r="A45" s="78" t="s">
        <v>316</v>
      </c>
      <c r="B45" s="94" t="s">
        <v>30</v>
      </c>
      <c r="C45" s="94" t="s">
        <v>30</v>
      </c>
      <c r="D45" s="94" t="s">
        <v>30</v>
      </c>
      <c r="E45" s="94" t="s">
        <v>30</v>
      </c>
      <c r="F45" s="105" t="s">
        <v>30</v>
      </c>
      <c r="G45" s="94" t="s">
        <v>30</v>
      </c>
    </row>
    <row r="46" spans="1:7" x14ac:dyDescent="0.2">
      <c r="A46" s="78" t="s">
        <v>317</v>
      </c>
      <c r="B46" s="94" t="s">
        <v>30</v>
      </c>
      <c r="C46" s="94">
        <v>-1.3</v>
      </c>
      <c r="D46" s="94">
        <v>-4</v>
      </c>
      <c r="E46" s="94">
        <v>-3.2</v>
      </c>
      <c r="F46" s="105" t="s">
        <v>30</v>
      </c>
      <c r="G46" s="94">
        <v>-33.9</v>
      </c>
    </row>
    <row r="47" spans="1:7" ht="10.5" x14ac:dyDescent="0.2">
      <c r="A47" s="86" t="s">
        <v>318</v>
      </c>
      <c r="B47" s="106" t="s">
        <v>30</v>
      </c>
      <c r="C47" s="106">
        <v>-1.3</v>
      </c>
      <c r="D47" s="106">
        <v>-4</v>
      </c>
      <c r="E47" s="106">
        <v>-3.2</v>
      </c>
      <c r="F47" s="131" t="s">
        <v>30</v>
      </c>
      <c r="G47" s="106">
        <v>-33.9</v>
      </c>
    </row>
    <row r="48" spans="1:7" x14ac:dyDescent="0.2">
      <c r="A48" s="78"/>
      <c r="B48" s="78"/>
      <c r="C48" s="78"/>
      <c r="D48" s="78"/>
      <c r="E48" s="78"/>
      <c r="F48" s="78"/>
      <c r="G48" s="78"/>
    </row>
    <row r="49" spans="1:7" x14ac:dyDescent="0.2">
      <c r="A49" s="78" t="s">
        <v>319</v>
      </c>
      <c r="B49" s="94" t="s">
        <v>30</v>
      </c>
      <c r="C49" s="94" t="s">
        <v>30</v>
      </c>
      <c r="D49" s="94">
        <v>43.384</v>
      </c>
      <c r="E49" s="94">
        <v>0.873</v>
      </c>
      <c r="F49" s="105" t="s">
        <v>30</v>
      </c>
      <c r="G49" s="94">
        <v>0.39</v>
      </c>
    </row>
    <row r="50" spans="1:7" x14ac:dyDescent="0.2">
      <c r="A50" s="78"/>
      <c r="B50" s="78"/>
      <c r="C50" s="78"/>
      <c r="D50" s="78"/>
      <c r="E50" s="78"/>
      <c r="F50" s="78"/>
      <c r="G50" s="78"/>
    </row>
    <row r="51" spans="1:7" ht="10.5" x14ac:dyDescent="0.2">
      <c r="A51" s="86" t="s">
        <v>320</v>
      </c>
      <c r="B51" s="106" t="s">
        <v>30</v>
      </c>
      <c r="C51" s="106" t="s">
        <v>30</v>
      </c>
      <c r="D51" s="106" t="s">
        <v>30</v>
      </c>
      <c r="E51" s="106" t="s">
        <v>30</v>
      </c>
      <c r="F51" s="131" t="s">
        <v>30</v>
      </c>
      <c r="G51" s="106" t="s">
        <v>30</v>
      </c>
    </row>
    <row r="52" spans="1:7" x14ac:dyDescent="0.2">
      <c r="A52" s="78"/>
      <c r="B52" s="78"/>
      <c r="C52" s="78"/>
      <c r="D52" s="78"/>
      <c r="E52" s="78"/>
      <c r="F52" s="78"/>
      <c r="G52" s="78"/>
    </row>
    <row r="53" spans="1:7" x14ac:dyDescent="0.2">
      <c r="A53" s="78" t="s">
        <v>321</v>
      </c>
      <c r="B53" s="94" t="s">
        <v>30</v>
      </c>
      <c r="C53" s="94" t="s">
        <v>30</v>
      </c>
      <c r="D53" s="94" t="s">
        <v>30</v>
      </c>
      <c r="E53" s="94" t="s">
        <v>30</v>
      </c>
      <c r="F53" s="105" t="s">
        <v>30</v>
      </c>
      <c r="G53" s="94" t="s">
        <v>30</v>
      </c>
    </row>
    <row r="54" spans="1:7" x14ac:dyDescent="0.2">
      <c r="A54" s="78" t="s">
        <v>322</v>
      </c>
      <c r="B54" s="94" t="s">
        <v>30</v>
      </c>
      <c r="C54" s="94" t="s">
        <v>30</v>
      </c>
      <c r="D54" s="94">
        <v>-0.7</v>
      </c>
      <c r="E54" s="94">
        <v>-0.8</v>
      </c>
      <c r="F54" s="105" t="s">
        <v>30</v>
      </c>
      <c r="G54" s="94">
        <v>-8.5</v>
      </c>
    </row>
    <row r="55" spans="1:7" ht="10.5" x14ac:dyDescent="0.2">
      <c r="A55" s="86" t="s">
        <v>323</v>
      </c>
      <c r="B55" s="106">
        <v>6</v>
      </c>
      <c r="C55" s="106">
        <v>5.1660000000000004</v>
      </c>
      <c r="D55" s="106">
        <v>41.244999999999997</v>
      </c>
      <c r="E55" s="106">
        <v>-3.1</v>
      </c>
      <c r="F55" s="131" t="s">
        <v>30</v>
      </c>
      <c r="G55" s="106">
        <v>162.15700000000001</v>
      </c>
    </row>
    <row r="56" spans="1:7" x14ac:dyDescent="0.2">
      <c r="A56" s="78"/>
      <c r="B56" s="78"/>
      <c r="C56" s="78"/>
      <c r="D56" s="78"/>
      <c r="E56" s="78"/>
      <c r="F56" s="78"/>
      <c r="G56" s="78"/>
    </row>
    <row r="57" spans="1:7" x14ac:dyDescent="0.2">
      <c r="A57" s="78" t="s">
        <v>324</v>
      </c>
      <c r="B57" s="94" t="s">
        <v>30</v>
      </c>
      <c r="C57" s="94" t="s">
        <v>30</v>
      </c>
      <c r="D57" s="94" t="s">
        <v>30</v>
      </c>
      <c r="E57" s="94" t="s">
        <v>30</v>
      </c>
      <c r="F57" s="105" t="s">
        <v>30</v>
      </c>
      <c r="G57" s="94">
        <v>0.53500000000000003</v>
      </c>
    </row>
    <row r="58" spans="1:7" ht="10.5" x14ac:dyDescent="0.2">
      <c r="A58" s="86" t="s">
        <v>325</v>
      </c>
      <c r="B58" s="111">
        <v>-0.3</v>
      </c>
      <c r="C58" s="111">
        <v>2.782</v>
      </c>
      <c r="D58" s="111">
        <v>53.750999999999998</v>
      </c>
      <c r="E58" s="111">
        <v>6.3150000000000004</v>
      </c>
      <c r="F58" s="132" t="s">
        <v>30</v>
      </c>
      <c r="G58" s="111">
        <v>-24.9</v>
      </c>
    </row>
    <row r="59" spans="1:7" x14ac:dyDescent="0.2">
      <c r="A59" s="78"/>
      <c r="B59" s="78"/>
      <c r="C59" s="78"/>
      <c r="D59" s="78"/>
      <c r="E59" s="78"/>
      <c r="F59" s="78"/>
      <c r="G59" s="78"/>
    </row>
    <row r="60" spans="1:7" ht="10.5" x14ac:dyDescent="0.2">
      <c r="A60" s="86" t="s">
        <v>111</v>
      </c>
      <c r="B60" s="78"/>
      <c r="C60" s="78"/>
      <c r="D60" s="78"/>
      <c r="E60" s="78"/>
      <c r="F60" s="78"/>
      <c r="G60" s="78"/>
    </row>
    <row r="61" spans="1:7" x14ac:dyDescent="0.2">
      <c r="A61" s="78" t="s">
        <v>326</v>
      </c>
      <c r="B61" s="94">
        <v>0.223</v>
      </c>
      <c r="C61" s="94">
        <v>0.64500000000000002</v>
      </c>
      <c r="D61" s="94">
        <v>0.68400000000000005</v>
      </c>
      <c r="E61" s="94">
        <v>0.83499999999999996</v>
      </c>
      <c r="F61" s="105" t="s">
        <v>113</v>
      </c>
      <c r="G61" s="94">
        <v>8.5210000000000008</v>
      </c>
    </row>
    <row r="62" spans="1:7" x14ac:dyDescent="0.2">
      <c r="A62" s="78" t="s">
        <v>327</v>
      </c>
      <c r="B62" s="94">
        <v>0.376</v>
      </c>
      <c r="C62" s="94">
        <v>0.46100000000000002</v>
      </c>
      <c r="D62" s="94">
        <v>0.60599999999999998</v>
      </c>
      <c r="E62" s="94">
        <v>2.23</v>
      </c>
      <c r="F62" s="105" t="s">
        <v>113</v>
      </c>
      <c r="G62" s="94">
        <v>-6.4</v>
      </c>
    </row>
    <row r="63" spans="1:7" x14ac:dyDescent="0.2">
      <c r="A63" s="78" t="s">
        <v>328</v>
      </c>
      <c r="B63" s="94" t="s">
        <v>113</v>
      </c>
      <c r="C63" s="94">
        <v>-1</v>
      </c>
      <c r="D63" s="94">
        <v>6.9686250000000003</v>
      </c>
      <c r="E63" s="94">
        <v>-1.5</v>
      </c>
      <c r="F63" s="105" t="s">
        <v>113</v>
      </c>
      <c r="G63" s="94">
        <v>24.926874999999999</v>
      </c>
    </row>
    <row r="64" spans="1:7" x14ac:dyDescent="0.2">
      <c r="A64" s="78" t="s">
        <v>329</v>
      </c>
      <c r="B64" s="94" t="s">
        <v>113</v>
      </c>
      <c r="C64" s="94">
        <v>1.6167499999999999</v>
      </c>
      <c r="D64" s="94">
        <v>9.9711250000000007</v>
      </c>
      <c r="E64" s="94">
        <v>2.0354999999999999</v>
      </c>
      <c r="F64" s="105" t="s">
        <v>113</v>
      </c>
      <c r="G64" s="94">
        <v>32.58</v>
      </c>
    </row>
    <row r="65" spans="1:7" x14ac:dyDescent="0.2">
      <c r="A65" s="78" t="s">
        <v>330</v>
      </c>
      <c r="B65" s="94" t="s">
        <v>113</v>
      </c>
      <c r="C65" s="94">
        <v>-0.2</v>
      </c>
      <c r="D65" s="94">
        <v>4.7E-2</v>
      </c>
      <c r="E65" s="94">
        <v>-0.8</v>
      </c>
      <c r="F65" s="109">
        <v>-28</v>
      </c>
      <c r="G65" s="94">
        <v>-25.9</v>
      </c>
    </row>
    <row r="66" spans="1:7" x14ac:dyDescent="0.2">
      <c r="A66" s="78" t="s">
        <v>331</v>
      </c>
      <c r="B66" s="94">
        <v>6</v>
      </c>
      <c r="C66" s="94">
        <v>5.1660000000000004</v>
      </c>
      <c r="D66" s="94">
        <v>-1.5</v>
      </c>
      <c r="E66" s="94">
        <v>-3.2</v>
      </c>
      <c r="F66" s="105" t="s">
        <v>113</v>
      </c>
      <c r="G66" s="94">
        <v>170.28800000000001</v>
      </c>
    </row>
    <row r="67" spans="1:7" x14ac:dyDescent="0.2">
      <c r="A67" s="78" t="s">
        <v>127</v>
      </c>
      <c r="B67" s="118">
        <v>44302</v>
      </c>
      <c r="C67" s="118">
        <v>44665</v>
      </c>
      <c r="D67" s="118">
        <v>45044</v>
      </c>
      <c r="E67" s="118">
        <v>45044</v>
      </c>
      <c r="F67" s="119">
        <v>44991</v>
      </c>
      <c r="G67" s="118">
        <v>45044</v>
      </c>
    </row>
    <row r="68" spans="1:7" x14ac:dyDescent="0.2">
      <c r="A68" s="78" t="s">
        <v>128</v>
      </c>
      <c r="B68" s="93" t="s">
        <v>129</v>
      </c>
      <c r="C68" s="93" t="s">
        <v>332</v>
      </c>
      <c r="D68" s="93" t="s">
        <v>332</v>
      </c>
      <c r="E68" s="93" t="s">
        <v>332</v>
      </c>
      <c r="F68" s="105" t="s">
        <v>333</v>
      </c>
      <c r="G68" s="93" t="s">
        <v>131</v>
      </c>
    </row>
    <row r="69" spans="1:7" x14ac:dyDescent="0.2">
      <c r="A69" s="78" t="s">
        <v>132</v>
      </c>
      <c r="B69" s="93" t="s">
        <v>134</v>
      </c>
      <c r="C69" s="93" t="s">
        <v>134</v>
      </c>
      <c r="D69" s="93" t="s">
        <v>134</v>
      </c>
      <c r="E69" s="93" t="s">
        <v>134</v>
      </c>
      <c r="F69" s="105" t="s">
        <v>113</v>
      </c>
      <c r="G69" s="93" t="s">
        <v>134</v>
      </c>
    </row>
    <row r="70" spans="1:7" x14ac:dyDescent="0.2">
      <c r="A70" s="78"/>
      <c r="B70" s="78"/>
      <c r="C70" s="78"/>
      <c r="D70" s="78"/>
      <c r="E70" s="78"/>
      <c r="F70" s="78"/>
      <c r="G70" s="78"/>
    </row>
    <row r="71" spans="1:7" x14ac:dyDescent="0.2">
      <c r="A71" s="133" t="s">
        <v>286</v>
      </c>
      <c r="B71" s="95"/>
      <c r="C71" s="95"/>
      <c r="D71" s="95"/>
      <c r="E71" s="95"/>
      <c r="F71" s="95"/>
      <c r="G71" s="95"/>
    </row>
    <row r="72" spans="1:7" x14ac:dyDescent="0.2">
      <c r="A72" s="100" t="s">
        <v>243</v>
      </c>
    </row>
  </sheetData>
  <pageMargins left="0.2" right="0.2" top="0.5" bottom="0.5" header="0.5" footer="0.5"/>
  <pageSetup fitToWidth="0" fitToHeight="0" orientation="landscape" horizontalDpi="0"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31515-C762-4AEB-9038-D426550407D2}">
  <sheetPr>
    <tabColor theme="4"/>
  </sheetPr>
  <dimension ref="B1:N51"/>
  <sheetViews>
    <sheetView showGridLines="0" topLeftCell="A40" workbookViewId="0">
      <selection activeCell="B4" sqref="B4"/>
    </sheetView>
  </sheetViews>
  <sheetFormatPr defaultRowHeight="14.5" x14ac:dyDescent="0.35"/>
  <cols>
    <col min="2" max="2" width="24" bestFit="1" customWidth="1"/>
    <col min="3" max="6" width="8.7265625" hidden="1" customWidth="1"/>
    <col min="8" max="8" width="9.36328125" bestFit="1" customWidth="1"/>
    <col min="13" max="13" width="9.1796875" bestFit="1" customWidth="1"/>
  </cols>
  <sheetData>
    <row r="1" spans="2:14" x14ac:dyDescent="0.35">
      <c r="G1" s="199" t="s">
        <v>55</v>
      </c>
      <c r="H1" s="199">
        <v>2023</v>
      </c>
      <c r="I1" s="199">
        <v>2024</v>
      </c>
      <c r="J1" s="199">
        <v>2025</v>
      </c>
      <c r="K1" s="199">
        <v>2026</v>
      </c>
      <c r="L1" s="199">
        <v>2027</v>
      </c>
      <c r="M1" s="199">
        <v>2028</v>
      </c>
    </row>
    <row r="2" spans="2:14" x14ac:dyDescent="0.35">
      <c r="G2" s="200" t="s">
        <v>56</v>
      </c>
      <c r="H2" s="201">
        <f>'Revenue '!$D$8</f>
        <v>0.30733823892065409</v>
      </c>
      <c r="I2" s="201">
        <f>'Revenue '!$D$8</f>
        <v>0.30733823892065409</v>
      </c>
      <c r="J2" s="201">
        <f>'Revenue '!$D$8</f>
        <v>0.30733823892065409</v>
      </c>
      <c r="K2" s="201">
        <f>'Revenue '!$D$8</f>
        <v>0.30733823892065409</v>
      </c>
      <c r="L2" s="201">
        <f>'Revenue '!$D$8</f>
        <v>0.30733823892065409</v>
      </c>
      <c r="M2" s="202">
        <v>0.06</v>
      </c>
    </row>
    <row r="3" spans="2:14" x14ac:dyDescent="0.35">
      <c r="G3" s="200" t="s">
        <v>61</v>
      </c>
      <c r="H3" s="203">
        <f>'COST '!$G$11</f>
        <v>0.12442923215929186</v>
      </c>
      <c r="I3" s="203">
        <f>'COST '!$G$11</f>
        <v>0.12442923215929186</v>
      </c>
      <c r="J3" s="203">
        <f>'COST '!$G$11</f>
        <v>0.12442923215929186</v>
      </c>
      <c r="K3" s="203">
        <f>'COST '!$G$11</f>
        <v>0.12442923215929186</v>
      </c>
      <c r="L3" s="203">
        <f>'COST '!$G$11</f>
        <v>0.12442923215929186</v>
      </c>
      <c r="M3" s="204">
        <f>L3</f>
        <v>0.12442923215929186</v>
      </c>
    </row>
    <row r="4" spans="2:14" x14ac:dyDescent="0.35">
      <c r="G4" s="200" t="s">
        <v>57</v>
      </c>
      <c r="H4" s="205">
        <f>'COST '!$E$11</f>
        <v>0.39812669397018985</v>
      </c>
      <c r="I4" s="205">
        <f>'COST '!$E$11</f>
        <v>0.39812669397018985</v>
      </c>
      <c r="J4" s="205">
        <f>'COST '!$E$11</f>
        <v>0.39812669397018985</v>
      </c>
      <c r="K4" s="205">
        <f>'COST '!$E$11</f>
        <v>0.39812669397018985</v>
      </c>
      <c r="L4" s="205">
        <f>'COST '!$E$11</f>
        <v>0.39812669397018985</v>
      </c>
      <c r="M4" s="202">
        <f>L4</f>
        <v>0.39812669397018985</v>
      </c>
    </row>
    <row r="5" spans="2:14" x14ac:dyDescent="0.35">
      <c r="G5" s="200" t="s">
        <v>58</v>
      </c>
      <c r="H5" s="205">
        <v>0.08</v>
      </c>
      <c r="I5" s="205">
        <v>0.08</v>
      </c>
      <c r="J5" s="205">
        <v>0.08</v>
      </c>
      <c r="K5" s="205">
        <v>0.08</v>
      </c>
      <c r="L5" s="205">
        <v>0.08</v>
      </c>
      <c r="M5" s="202">
        <f>L5</f>
        <v>0.08</v>
      </c>
    </row>
    <row r="6" spans="2:14" x14ac:dyDescent="0.35">
      <c r="G6" s="200" t="s">
        <v>161</v>
      </c>
      <c r="H6" s="206">
        <v>474.02384668196879</v>
      </c>
      <c r="I6" s="206">
        <v>557.43350530668408</v>
      </c>
      <c r="J6" s="206">
        <v>665.33504697779711</v>
      </c>
      <c r="K6" s="206">
        <v>805.23558907435313</v>
      </c>
      <c r="L6" s="206">
        <v>986.93806484630863</v>
      </c>
      <c r="M6" s="207">
        <v>992.09713757005579</v>
      </c>
    </row>
    <row r="7" spans="2:14" x14ac:dyDescent="0.35">
      <c r="G7" s="200" t="s">
        <v>67</v>
      </c>
      <c r="H7" s="205">
        <f>'COST '!$I$11</f>
        <v>0.27296578751018774</v>
      </c>
      <c r="I7" s="205">
        <f>'COST '!$I$11</f>
        <v>0.27296578751018774</v>
      </c>
      <c r="J7" s="205">
        <f>'COST '!$I$11</f>
        <v>0.27296578751018774</v>
      </c>
      <c r="K7" s="205">
        <f>'COST '!$I$11</f>
        <v>0.27296578751018774</v>
      </c>
      <c r="L7" s="205">
        <f>'COST '!$I$11</f>
        <v>0.27296578751018774</v>
      </c>
      <c r="M7" s="202">
        <f>L7</f>
        <v>0.27296578751018774</v>
      </c>
    </row>
    <row r="8" spans="2:14" x14ac:dyDescent="0.35">
      <c r="G8" s="200" t="s">
        <v>59</v>
      </c>
      <c r="H8" s="205">
        <v>0.23</v>
      </c>
      <c r="I8" s="205">
        <v>0.23</v>
      </c>
      <c r="J8" s="205">
        <v>0.23</v>
      </c>
      <c r="K8" s="205">
        <v>0.23</v>
      </c>
      <c r="L8" s="205">
        <v>0.23</v>
      </c>
      <c r="M8" s="202">
        <f>L8</f>
        <v>0.23</v>
      </c>
      <c r="N8" s="34" t="s">
        <v>68</v>
      </c>
    </row>
    <row r="9" spans="2:14" x14ac:dyDescent="0.35">
      <c r="B9" s="217" t="s">
        <v>135</v>
      </c>
      <c r="G9" s="200" t="s">
        <v>60</v>
      </c>
      <c r="H9" s="208"/>
      <c r="I9" s="208"/>
      <c r="J9" s="208"/>
      <c r="K9" s="208"/>
      <c r="L9" s="208"/>
      <c r="M9" s="209"/>
    </row>
    <row r="10" spans="2:14" x14ac:dyDescent="0.35">
      <c r="B10" s="218" t="s">
        <v>25</v>
      </c>
      <c r="C10" s="210"/>
      <c r="D10" s="210"/>
      <c r="E10" s="210"/>
      <c r="F10" s="210"/>
      <c r="G10" s="210"/>
    </row>
    <row r="11" spans="2:14" ht="22" x14ac:dyDescent="0.35">
      <c r="B11" s="219" t="s">
        <v>0</v>
      </c>
      <c r="C11" s="220" t="s">
        <v>1</v>
      </c>
      <c r="D11" s="220" t="s">
        <v>2</v>
      </c>
      <c r="E11" s="220" t="s">
        <v>3</v>
      </c>
      <c r="F11" s="220" t="s">
        <v>4</v>
      </c>
      <c r="G11" s="221" t="s">
        <v>12</v>
      </c>
      <c r="H11" s="221" t="s">
        <v>11</v>
      </c>
      <c r="I11" s="221" t="s">
        <v>62</v>
      </c>
      <c r="J11" s="221" t="s">
        <v>63</v>
      </c>
      <c r="K11" s="221" t="s">
        <v>64</v>
      </c>
      <c r="L11" s="221" t="s">
        <v>65</v>
      </c>
      <c r="M11" s="221" t="s">
        <v>66</v>
      </c>
    </row>
    <row r="12" spans="2:14" x14ac:dyDescent="0.35">
      <c r="B12" s="211" t="s">
        <v>28</v>
      </c>
      <c r="C12" s="212"/>
      <c r="D12" s="212"/>
      <c r="E12" s="212"/>
      <c r="F12" s="212"/>
      <c r="G12" s="212"/>
      <c r="M12" s="213"/>
    </row>
    <row r="13" spans="2:14" x14ac:dyDescent="0.35">
      <c r="B13" s="212" t="s">
        <v>6</v>
      </c>
      <c r="C13" s="214">
        <v>23.478000000000002</v>
      </c>
      <c r="D13" s="214">
        <v>33.061999999999998</v>
      </c>
      <c r="E13" s="214">
        <v>49.201999999999998</v>
      </c>
      <c r="F13" s="214">
        <v>50.463000000000001</v>
      </c>
      <c r="G13" s="251">
        <v>165.69800000000001</v>
      </c>
      <c r="H13" s="251">
        <f t="shared" ref="H13:M13" si="0">G13+G13*H2</f>
        <v>216.62333151267455</v>
      </c>
      <c r="I13" s="251">
        <f t="shared" si="0"/>
        <v>283.199964728905</v>
      </c>
      <c r="J13" s="251">
        <f t="shared" si="0"/>
        <v>370.23814315107802</v>
      </c>
      <c r="K13" s="251">
        <f t="shared" si="0"/>
        <v>484.0264820483834</v>
      </c>
      <c r="L13" s="251">
        <f t="shared" si="0"/>
        <v>632.78632863209316</v>
      </c>
      <c r="M13" s="252">
        <f t="shared" si="0"/>
        <v>670.75350835001871</v>
      </c>
    </row>
    <row r="14" spans="2:14" x14ac:dyDescent="0.35">
      <c r="B14" s="212" t="s">
        <v>29</v>
      </c>
      <c r="C14" s="214" t="s">
        <v>30</v>
      </c>
      <c r="D14" s="214" t="s">
        <v>30</v>
      </c>
      <c r="E14" s="214" t="s">
        <v>30</v>
      </c>
      <c r="F14" s="214" t="s">
        <v>30</v>
      </c>
      <c r="G14" s="251" t="s">
        <v>30</v>
      </c>
      <c r="H14" s="251"/>
      <c r="I14" s="251"/>
      <c r="J14" s="251"/>
      <c r="K14" s="251"/>
      <c r="L14" s="251"/>
      <c r="M14" s="252"/>
    </row>
    <row r="15" spans="2:14" x14ac:dyDescent="0.35">
      <c r="B15" s="211" t="s">
        <v>31</v>
      </c>
      <c r="C15" s="215">
        <v>23.478000000000002</v>
      </c>
      <c r="D15" s="215">
        <v>33.061999999999998</v>
      </c>
      <c r="E15" s="215">
        <v>49.201999999999998</v>
      </c>
      <c r="F15" s="215">
        <v>50.463000000000001</v>
      </c>
      <c r="G15" s="253">
        <v>165.69800000000001</v>
      </c>
      <c r="H15" s="253">
        <f>SUM(H13)</f>
        <v>216.62333151267455</v>
      </c>
      <c r="I15" s="253">
        <f t="shared" ref="I15:L15" si="1">SUM(I13)</f>
        <v>283.199964728905</v>
      </c>
      <c r="J15" s="253">
        <f t="shared" si="1"/>
        <v>370.23814315107802</v>
      </c>
      <c r="K15" s="253">
        <f t="shared" si="1"/>
        <v>484.0264820483834</v>
      </c>
      <c r="L15" s="253">
        <f t="shared" si="1"/>
        <v>632.78632863209316</v>
      </c>
      <c r="M15" s="254">
        <f t="shared" ref="M15" si="2">SUM(M13)</f>
        <v>670.75350835001871</v>
      </c>
    </row>
    <row r="16" spans="2:14" x14ac:dyDescent="0.35">
      <c r="B16" s="212"/>
      <c r="C16" s="212"/>
      <c r="D16" s="212"/>
      <c r="E16" s="212"/>
      <c r="F16" s="212"/>
      <c r="G16" s="255"/>
      <c r="H16" s="255"/>
      <c r="I16" s="255"/>
      <c r="J16" s="255"/>
      <c r="K16" s="255"/>
      <c r="L16" s="255"/>
      <c r="M16" s="256"/>
    </row>
    <row r="17" spans="2:13" x14ac:dyDescent="0.35">
      <c r="B17" s="212" t="s">
        <v>32</v>
      </c>
      <c r="C17" s="214" t="s">
        <v>30</v>
      </c>
      <c r="D17" s="214" t="s">
        <v>30</v>
      </c>
      <c r="E17" s="214" t="s">
        <v>30</v>
      </c>
      <c r="F17" s="214" t="s">
        <v>30</v>
      </c>
      <c r="G17" s="251" t="s">
        <v>30</v>
      </c>
      <c r="H17" s="251"/>
      <c r="I17" s="251"/>
      <c r="J17" s="251"/>
      <c r="K17" s="251"/>
      <c r="L17" s="251"/>
      <c r="M17" s="252"/>
    </row>
    <row r="18" spans="2:13" x14ac:dyDescent="0.35">
      <c r="B18" s="211" t="s">
        <v>33</v>
      </c>
      <c r="C18" s="215">
        <v>23.478000000000002</v>
      </c>
      <c r="D18" s="215">
        <v>33.061999999999998</v>
      </c>
      <c r="E18" s="215">
        <v>49.201999999999998</v>
      </c>
      <c r="F18" s="215">
        <v>50.463000000000001</v>
      </c>
      <c r="G18" s="253">
        <v>165.69800000000001</v>
      </c>
      <c r="H18" s="253">
        <f>H15-H17</f>
        <v>216.62333151267455</v>
      </c>
      <c r="I18" s="253">
        <f t="shared" ref="I18:M18" si="3">I15-I17</f>
        <v>283.199964728905</v>
      </c>
      <c r="J18" s="253">
        <f t="shared" si="3"/>
        <v>370.23814315107802</v>
      </c>
      <c r="K18" s="253">
        <f t="shared" si="3"/>
        <v>484.0264820483834</v>
      </c>
      <c r="L18" s="253">
        <f t="shared" si="3"/>
        <v>632.78632863209316</v>
      </c>
      <c r="M18" s="254">
        <f t="shared" si="3"/>
        <v>670.75350835001871</v>
      </c>
    </row>
    <row r="19" spans="2:13" x14ac:dyDescent="0.35">
      <c r="B19" s="212"/>
      <c r="C19" s="212"/>
      <c r="D19" s="212"/>
      <c r="E19" s="212"/>
      <c r="F19" s="212"/>
      <c r="G19" s="255"/>
      <c r="H19" s="255"/>
      <c r="I19" s="255"/>
      <c r="J19" s="255"/>
      <c r="K19" s="255"/>
      <c r="L19" s="255"/>
      <c r="M19" s="256"/>
    </row>
    <row r="20" spans="2:13" x14ac:dyDescent="0.35">
      <c r="B20" s="212" t="s">
        <v>17</v>
      </c>
      <c r="C20" s="214">
        <v>10.923999999999999</v>
      </c>
      <c r="D20" s="214">
        <v>11.19</v>
      </c>
      <c r="E20" s="214">
        <v>15.664</v>
      </c>
      <c r="F20" s="214">
        <v>23.738</v>
      </c>
      <c r="G20" s="251">
        <v>126.249</v>
      </c>
      <c r="H20" s="251">
        <f t="shared" ref="H20:M20" si="4">H4*H13</f>
        <v>86.243530811949569</v>
      </c>
      <c r="I20" s="251">
        <f t="shared" si="4"/>
        <v>112.74946568999331</v>
      </c>
      <c r="J20" s="251">
        <f t="shared" si="4"/>
        <v>147.40168791440058</v>
      </c>
      <c r="K20" s="251">
        <f t="shared" si="4"/>
        <v>192.70386309194433</v>
      </c>
      <c r="L20" s="251">
        <f t="shared" si="4"/>
        <v>251.92912900782935</v>
      </c>
      <c r="M20" s="252">
        <f t="shared" si="4"/>
        <v>267.04487674829909</v>
      </c>
    </row>
    <row r="21" spans="2:13" x14ac:dyDescent="0.35">
      <c r="B21" s="212" t="s">
        <v>18</v>
      </c>
      <c r="C21" s="214">
        <v>5.782</v>
      </c>
      <c r="D21" s="214">
        <v>6.8769999999999998</v>
      </c>
      <c r="E21" s="214">
        <v>7.452</v>
      </c>
      <c r="F21" s="214">
        <v>9.4280000000000008</v>
      </c>
      <c r="G21" s="251">
        <v>10.278</v>
      </c>
      <c r="H21" s="251">
        <f t="shared" ref="H21:M21" si="5">H13*H3</f>
        <v>26.954274807909826</v>
      </c>
      <c r="I21" s="251">
        <f t="shared" si="5"/>
        <v>35.238354158756188</v>
      </c>
      <c r="J21" s="251">
        <f t="shared" si="5"/>
        <v>46.068447868370619</v>
      </c>
      <c r="K21" s="251">
        <f t="shared" si="5"/>
        <v>60.227043506043614</v>
      </c>
      <c r="L21" s="251">
        <f t="shared" si="5"/>
        <v>78.737116992588668</v>
      </c>
      <c r="M21" s="252">
        <f t="shared" si="5"/>
        <v>83.461344012143982</v>
      </c>
    </row>
    <row r="22" spans="2:13" x14ac:dyDescent="0.35">
      <c r="B22" s="212" t="s">
        <v>19</v>
      </c>
      <c r="C22" s="214">
        <v>7.7590000000000003</v>
      </c>
      <c r="D22" s="214">
        <v>9.6850000000000005</v>
      </c>
      <c r="E22" s="214">
        <v>11.657</v>
      </c>
      <c r="F22" s="214">
        <v>14.613</v>
      </c>
      <c r="G22" s="251">
        <v>35.610999999999997</v>
      </c>
      <c r="H22" s="251">
        <f>H7*H13</f>
        <v>59.130758279437678</v>
      </c>
      <c r="I22" s="251">
        <f t="shared" ref="I22:K22" si="6">I7*I13</f>
        <v>77.303901395082946</v>
      </c>
      <c r="J22" s="251">
        <f>J7*J13</f>
        <v>101.06234631154364</v>
      </c>
      <c r="K22" s="251">
        <f t="shared" si="6"/>
        <v>132.12266984812271</v>
      </c>
      <c r="L22" s="251">
        <f>L7*L13</f>
        <v>172.72901852073977</v>
      </c>
      <c r="M22" s="252">
        <f>M7*M13</f>
        <v>183.09275963198414</v>
      </c>
    </row>
    <row r="23" spans="2:13" x14ac:dyDescent="0.35">
      <c r="B23" s="212" t="s">
        <v>34</v>
      </c>
      <c r="C23" s="214" t="s">
        <v>30</v>
      </c>
      <c r="D23" s="214" t="s">
        <v>30</v>
      </c>
      <c r="E23" s="214" t="s">
        <v>30</v>
      </c>
      <c r="F23" s="214" t="s">
        <v>30</v>
      </c>
      <c r="G23" s="251" t="s">
        <v>30</v>
      </c>
      <c r="H23" s="251"/>
      <c r="I23" s="251"/>
      <c r="J23" s="251"/>
      <c r="K23" s="251"/>
      <c r="L23" s="251"/>
      <c r="M23" s="252"/>
    </row>
    <row r="24" spans="2:13" x14ac:dyDescent="0.35">
      <c r="B24" s="212"/>
      <c r="C24" s="212"/>
      <c r="D24" s="212"/>
      <c r="E24" s="212"/>
      <c r="F24" s="212"/>
      <c r="G24" s="255"/>
      <c r="H24" s="255"/>
      <c r="I24" s="255"/>
      <c r="J24" s="255"/>
      <c r="K24" s="255"/>
      <c r="L24" s="255"/>
      <c r="M24" s="256"/>
    </row>
    <row r="25" spans="2:13" x14ac:dyDescent="0.35">
      <c r="B25" s="211" t="s">
        <v>35</v>
      </c>
      <c r="C25" s="215">
        <v>24.465</v>
      </c>
      <c r="D25" s="215">
        <v>27.751999999999999</v>
      </c>
      <c r="E25" s="215">
        <v>34.773000000000003</v>
      </c>
      <c r="F25" s="215">
        <v>47.779000000000003</v>
      </c>
      <c r="G25" s="253">
        <v>172.13800000000001</v>
      </c>
      <c r="H25" s="253">
        <f>SUM(H20:H22)</f>
        <v>172.32856389929708</v>
      </c>
      <c r="I25" s="253">
        <f t="shared" ref="I25:L25" si="7">SUM(I20:I22)</f>
        <v>225.29172124383246</v>
      </c>
      <c r="J25" s="253">
        <f t="shared" si="7"/>
        <v>294.53248209431484</v>
      </c>
      <c r="K25" s="253">
        <f t="shared" si="7"/>
        <v>385.05357644611064</v>
      </c>
      <c r="L25" s="253">
        <f t="shared" si="7"/>
        <v>503.3952645211578</v>
      </c>
      <c r="M25" s="254">
        <f t="shared" ref="M25" si="8">SUM(M20:M22)</f>
        <v>533.59898039242717</v>
      </c>
    </row>
    <row r="26" spans="2:13" x14ac:dyDescent="0.35">
      <c r="B26" s="212"/>
      <c r="C26" s="212"/>
      <c r="D26" s="212"/>
      <c r="E26" s="212"/>
      <c r="F26" s="212"/>
      <c r="G26" s="255"/>
      <c r="H26" s="249"/>
      <c r="I26" s="249"/>
      <c r="J26" s="249"/>
      <c r="K26" s="249"/>
      <c r="L26" s="249"/>
      <c r="M26" s="257"/>
    </row>
    <row r="27" spans="2:13" x14ac:dyDescent="0.35">
      <c r="B27" s="211" t="s">
        <v>36</v>
      </c>
      <c r="C27" s="216">
        <v>-1</v>
      </c>
      <c r="D27" s="216">
        <v>5.31</v>
      </c>
      <c r="E27" s="216">
        <v>14.429</v>
      </c>
      <c r="F27" s="216">
        <v>2.6840000000000002</v>
      </c>
      <c r="G27" s="258">
        <v>-6.4</v>
      </c>
      <c r="H27" s="258">
        <f>H18-H25</f>
        <v>44.294767613377473</v>
      </c>
      <c r="I27" s="258">
        <f t="shared" ref="I27:L27" si="9">I18-I25</f>
        <v>57.908243485072546</v>
      </c>
      <c r="J27" s="258">
        <f t="shared" si="9"/>
        <v>75.705661056763176</v>
      </c>
      <c r="K27" s="258">
        <f t="shared" si="9"/>
        <v>98.97290560227276</v>
      </c>
      <c r="L27" s="258">
        <f t="shared" si="9"/>
        <v>129.39106411093536</v>
      </c>
      <c r="M27" s="259">
        <f t="shared" ref="M27" si="10">M18-M25</f>
        <v>137.15452795759154</v>
      </c>
    </row>
    <row r="28" spans="2:13" x14ac:dyDescent="0.35">
      <c r="B28" s="212"/>
      <c r="C28" s="212"/>
      <c r="D28" s="212"/>
      <c r="E28" s="212"/>
      <c r="F28" s="212"/>
      <c r="G28" s="255"/>
      <c r="H28" s="255"/>
      <c r="I28" s="255"/>
      <c r="J28" s="255"/>
      <c r="K28" s="255"/>
      <c r="L28" s="255"/>
      <c r="M28" s="256"/>
    </row>
    <row r="29" spans="2:13" x14ac:dyDescent="0.35">
      <c r="B29" s="212" t="s">
        <v>37</v>
      </c>
      <c r="C29" s="214">
        <v>-2.2999999999999998</v>
      </c>
      <c r="D29" s="214">
        <v>-4.2</v>
      </c>
      <c r="E29" s="214">
        <v>-4.8</v>
      </c>
      <c r="F29" s="214">
        <v>-5.6</v>
      </c>
      <c r="G29" s="251">
        <v>-12.2</v>
      </c>
      <c r="H29" s="251">
        <f>-H5*H6</f>
        <v>-37.921907734557507</v>
      </c>
      <c r="I29" s="251">
        <f t="shared" ref="I29:M29" si="11">-I5*I6</f>
        <v>-44.594680424534729</v>
      </c>
      <c r="J29" s="251">
        <f t="shared" si="11"/>
        <v>-53.226803758223767</v>
      </c>
      <c r="K29" s="251">
        <f t="shared" si="11"/>
        <v>-64.418847125948247</v>
      </c>
      <c r="L29" s="251">
        <f t="shared" si="11"/>
        <v>-78.955045187704698</v>
      </c>
      <c r="M29" s="252">
        <f t="shared" si="11"/>
        <v>-79.367771005604467</v>
      </c>
    </row>
    <row r="30" spans="2:13" x14ac:dyDescent="0.35">
      <c r="B30" s="212" t="s">
        <v>38</v>
      </c>
      <c r="C30" s="214" t="s">
        <v>30</v>
      </c>
      <c r="D30" s="214" t="s">
        <v>30</v>
      </c>
      <c r="E30" s="214">
        <v>2.1000000000000001E-2</v>
      </c>
      <c r="F30" s="214" t="s">
        <v>30</v>
      </c>
      <c r="G30" s="251" t="s">
        <v>30</v>
      </c>
      <c r="H30" s="251" t="s">
        <v>30</v>
      </c>
      <c r="I30" s="251" t="s">
        <v>30</v>
      </c>
      <c r="J30" s="251" t="s">
        <v>30</v>
      </c>
      <c r="K30" s="251" t="s">
        <v>30</v>
      </c>
      <c r="L30" s="251" t="s">
        <v>30</v>
      </c>
      <c r="M30" s="252" t="s">
        <v>30</v>
      </c>
    </row>
    <row r="31" spans="2:13" x14ac:dyDescent="0.35">
      <c r="B31" s="211" t="s">
        <v>39</v>
      </c>
      <c r="C31" s="215">
        <v>-2.2999999999999998</v>
      </c>
      <c r="D31" s="215">
        <v>-4.2</v>
      </c>
      <c r="E31" s="215">
        <v>-4.8</v>
      </c>
      <c r="F31" s="215">
        <v>-5.6</v>
      </c>
      <c r="G31" s="253">
        <f t="shared" ref="G31:M31" si="12">SUM(G29:G30)</f>
        <v>-12.2</v>
      </c>
      <c r="H31" s="253">
        <f t="shared" si="12"/>
        <v>-37.921907734557507</v>
      </c>
      <c r="I31" s="253">
        <f t="shared" si="12"/>
        <v>-44.594680424534729</v>
      </c>
      <c r="J31" s="253">
        <f t="shared" si="12"/>
        <v>-53.226803758223767</v>
      </c>
      <c r="K31" s="253">
        <f t="shared" si="12"/>
        <v>-64.418847125948247</v>
      </c>
      <c r="L31" s="253">
        <f t="shared" si="12"/>
        <v>-78.955045187704698</v>
      </c>
      <c r="M31" s="254">
        <f t="shared" si="12"/>
        <v>-79.367771005604467</v>
      </c>
    </row>
    <row r="32" spans="2:13" x14ac:dyDescent="0.35">
      <c r="B32" s="212"/>
      <c r="C32" s="212"/>
      <c r="D32" s="212"/>
      <c r="E32" s="212"/>
      <c r="F32" s="212"/>
      <c r="G32" s="255"/>
      <c r="H32" s="255"/>
      <c r="I32" s="255"/>
      <c r="J32" s="255"/>
      <c r="K32" s="255"/>
      <c r="L32" s="255"/>
      <c r="M32" s="256"/>
    </row>
    <row r="33" spans="2:13" x14ac:dyDescent="0.35">
      <c r="B33" s="212" t="s">
        <v>40</v>
      </c>
      <c r="C33" s="214">
        <v>-1.9</v>
      </c>
      <c r="D33" s="214">
        <v>-3.9</v>
      </c>
      <c r="E33" s="214">
        <v>1.393</v>
      </c>
      <c r="F33" s="214">
        <v>12.446</v>
      </c>
      <c r="G33" s="251">
        <v>22.11</v>
      </c>
      <c r="H33" s="251">
        <f>AVERAGE($E$33:$G$33)</f>
        <v>11.982999999999999</v>
      </c>
      <c r="I33" s="251">
        <f t="shared" ref="I33:M33" si="13">AVERAGE($E$33:$G$33)</f>
        <v>11.982999999999999</v>
      </c>
      <c r="J33" s="251">
        <f t="shared" si="13"/>
        <v>11.982999999999999</v>
      </c>
      <c r="K33" s="251">
        <f t="shared" si="13"/>
        <v>11.982999999999999</v>
      </c>
      <c r="L33" s="251">
        <f t="shared" si="13"/>
        <v>11.982999999999999</v>
      </c>
      <c r="M33" s="252">
        <f t="shared" si="13"/>
        <v>11.982999999999999</v>
      </c>
    </row>
    <row r="34" spans="2:13" x14ac:dyDescent="0.35">
      <c r="B34" s="212" t="s">
        <v>41</v>
      </c>
      <c r="C34" s="214">
        <v>-0.1</v>
      </c>
      <c r="D34" s="214">
        <v>5.2999999999999999E-2</v>
      </c>
      <c r="E34" s="214">
        <v>-0.2</v>
      </c>
      <c r="F34" s="214">
        <v>-0.6</v>
      </c>
      <c r="G34" s="251">
        <v>-1.8</v>
      </c>
      <c r="H34" s="251">
        <f>AVERAGE($E$34:$G$34)</f>
        <v>-0.8666666666666667</v>
      </c>
      <c r="I34" s="251">
        <f>AVERAGE($E$34:$G$34)</f>
        <v>-0.8666666666666667</v>
      </c>
      <c r="J34" s="251">
        <f t="shared" ref="J34:M34" si="14">AVERAGE($E$34:$G$34)</f>
        <v>-0.8666666666666667</v>
      </c>
      <c r="K34" s="251">
        <f t="shared" si="14"/>
        <v>-0.8666666666666667</v>
      </c>
      <c r="L34" s="251">
        <f t="shared" si="14"/>
        <v>-0.8666666666666667</v>
      </c>
      <c r="M34" s="252">
        <f t="shared" si="14"/>
        <v>-0.8666666666666667</v>
      </c>
    </row>
    <row r="35" spans="2:13" x14ac:dyDescent="0.35">
      <c r="B35" s="212" t="s">
        <v>42</v>
      </c>
      <c r="C35" s="214">
        <v>-0.1</v>
      </c>
      <c r="D35" s="214">
        <v>0</v>
      </c>
      <c r="E35" s="214">
        <v>-2.9</v>
      </c>
      <c r="F35" s="214">
        <v>0</v>
      </c>
      <c r="G35" s="251">
        <v>-1</v>
      </c>
      <c r="H35" s="251">
        <v>0</v>
      </c>
      <c r="I35" s="251">
        <v>0</v>
      </c>
      <c r="J35" s="251">
        <v>0</v>
      </c>
      <c r="K35" s="251">
        <v>0</v>
      </c>
      <c r="L35" s="251">
        <v>0</v>
      </c>
      <c r="M35" s="252">
        <v>0</v>
      </c>
    </row>
    <row r="36" spans="2:13" x14ac:dyDescent="0.35">
      <c r="B36" s="211" t="s">
        <v>43</v>
      </c>
      <c r="C36" s="215">
        <v>-5.4</v>
      </c>
      <c r="D36" s="215">
        <v>-2.7</v>
      </c>
      <c r="E36" s="215">
        <v>7.9569999999999999</v>
      </c>
      <c r="F36" s="215">
        <v>8.8179999999999996</v>
      </c>
      <c r="G36" s="253">
        <v>0.56499999999999995</v>
      </c>
      <c r="H36" s="253">
        <f>H27+H31+H33+H34+H35</f>
        <v>17.489193212153296</v>
      </c>
      <c r="I36" s="253">
        <f t="shared" ref="I36:M36" si="15">I27+I31+I33+I34+I35</f>
        <v>24.429896393871147</v>
      </c>
      <c r="J36" s="253">
        <f t="shared" si="15"/>
        <v>33.59519063187274</v>
      </c>
      <c r="K36" s="253">
        <f t="shared" si="15"/>
        <v>45.670391809657843</v>
      </c>
      <c r="L36" s="253">
        <f t="shared" si="15"/>
        <v>61.552352256563992</v>
      </c>
      <c r="M36" s="254">
        <f t="shared" si="15"/>
        <v>68.903090285320417</v>
      </c>
    </row>
    <row r="37" spans="2:13" x14ac:dyDescent="0.35">
      <c r="B37" s="212"/>
      <c r="C37" s="212"/>
      <c r="D37" s="212"/>
      <c r="E37" s="212"/>
      <c r="F37" s="212"/>
      <c r="G37" s="255"/>
      <c r="H37" s="255"/>
      <c r="I37" s="255"/>
      <c r="J37" s="255"/>
      <c r="K37" s="255"/>
      <c r="L37" s="255"/>
      <c r="M37" s="256"/>
    </row>
    <row r="38" spans="2:13" x14ac:dyDescent="0.35">
      <c r="B38" s="212" t="s">
        <v>44</v>
      </c>
      <c r="C38" s="214" t="s">
        <v>30</v>
      </c>
      <c r="D38" s="214" t="s">
        <v>30</v>
      </c>
      <c r="E38" s="214" t="s">
        <v>30</v>
      </c>
      <c r="F38" s="214">
        <v>-3.8</v>
      </c>
      <c r="G38" s="251">
        <v>-18</v>
      </c>
      <c r="H38" s="251" t="s">
        <v>30</v>
      </c>
      <c r="I38" s="251" t="s">
        <v>30</v>
      </c>
      <c r="J38" s="251" t="s">
        <v>30</v>
      </c>
      <c r="K38" s="251" t="s">
        <v>30</v>
      </c>
      <c r="L38" s="251" t="s">
        <v>30</v>
      </c>
      <c r="M38" s="252" t="s">
        <v>30</v>
      </c>
    </row>
    <row r="39" spans="2:13" x14ac:dyDescent="0.35">
      <c r="B39" s="212" t="s">
        <v>45</v>
      </c>
      <c r="C39" s="214" t="s">
        <v>30</v>
      </c>
      <c r="D39" s="214" t="s">
        <v>30</v>
      </c>
      <c r="E39" s="214" t="s">
        <v>30</v>
      </c>
      <c r="F39" s="214" t="s">
        <v>30</v>
      </c>
      <c r="G39" s="251" t="s">
        <v>30</v>
      </c>
      <c r="H39" s="251" t="s">
        <v>30</v>
      </c>
      <c r="I39" s="251" t="s">
        <v>30</v>
      </c>
      <c r="J39" s="251" t="s">
        <v>30</v>
      </c>
      <c r="K39" s="251" t="s">
        <v>30</v>
      </c>
      <c r="L39" s="251" t="s">
        <v>30</v>
      </c>
      <c r="M39" s="252" t="s">
        <v>30</v>
      </c>
    </row>
    <row r="40" spans="2:13" x14ac:dyDescent="0.35">
      <c r="B40" s="212" t="s">
        <v>46</v>
      </c>
      <c r="C40" s="214" t="s">
        <v>30</v>
      </c>
      <c r="D40" s="214" t="s">
        <v>30</v>
      </c>
      <c r="E40" s="214" t="s">
        <v>30</v>
      </c>
      <c r="F40" s="214" t="s">
        <v>30</v>
      </c>
      <c r="G40" s="251" t="s">
        <v>30</v>
      </c>
      <c r="H40" s="251" t="s">
        <v>30</v>
      </c>
      <c r="I40" s="251" t="s">
        <v>30</v>
      </c>
      <c r="J40" s="251" t="s">
        <v>30</v>
      </c>
      <c r="K40" s="251" t="s">
        <v>30</v>
      </c>
      <c r="L40" s="251" t="s">
        <v>30</v>
      </c>
      <c r="M40" s="252" t="s">
        <v>30</v>
      </c>
    </row>
    <row r="41" spans="2:13" x14ac:dyDescent="0.35">
      <c r="B41" s="211" t="s">
        <v>47</v>
      </c>
      <c r="C41" s="215">
        <v>-5.4</v>
      </c>
      <c r="D41" s="215">
        <v>-2.7</v>
      </c>
      <c r="E41" s="215">
        <v>7.9569999999999999</v>
      </c>
      <c r="F41" s="215">
        <v>4.9770000000000003</v>
      </c>
      <c r="G41" s="253">
        <v>-17.399999999999999</v>
      </c>
      <c r="H41" s="253">
        <f>SUM(H36:H40)</f>
        <v>17.489193212153296</v>
      </c>
      <c r="I41" s="253">
        <f t="shared" ref="I41:M41" si="16">SUM(I36:I40)</f>
        <v>24.429896393871147</v>
      </c>
      <c r="J41" s="253">
        <f t="shared" si="16"/>
        <v>33.59519063187274</v>
      </c>
      <c r="K41" s="253">
        <f t="shared" si="16"/>
        <v>45.670391809657843</v>
      </c>
      <c r="L41" s="253">
        <f t="shared" si="16"/>
        <v>61.552352256563992</v>
      </c>
      <c r="M41" s="254">
        <f t="shared" si="16"/>
        <v>68.903090285320417</v>
      </c>
    </row>
    <row r="42" spans="2:13" x14ac:dyDescent="0.35">
      <c r="B42" s="212"/>
      <c r="C42" s="212"/>
      <c r="D42" s="212"/>
      <c r="E42" s="212"/>
      <c r="F42" s="212"/>
      <c r="G42" s="255"/>
      <c r="H42" s="255"/>
      <c r="I42" s="255"/>
      <c r="J42" s="255"/>
      <c r="K42" s="255"/>
      <c r="L42" s="255"/>
      <c r="M42" s="256"/>
    </row>
    <row r="43" spans="2:13" x14ac:dyDescent="0.35">
      <c r="B43" s="212" t="s">
        <v>48</v>
      </c>
      <c r="C43" s="214">
        <v>0.58599999999999997</v>
      </c>
      <c r="D43" s="214">
        <v>1.2430000000000001</v>
      </c>
      <c r="E43" s="214">
        <v>1.4430000000000001</v>
      </c>
      <c r="F43" s="214">
        <v>0.32500000000000001</v>
      </c>
      <c r="G43" s="251">
        <v>1.546</v>
      </c>
      <c r="H43" s="251">
        <f>H41*23%</f>
        <v>4.0225144387952581</v>
      </c>
      <c r="I43" s="251">
        <f>I41*23%</f>
        <v>5.6188761705903643</v>
      </c>
      <c r="J43" s="251">
        <f>J41*23%</f>
        <v>7.7268938453307303</v>
      </c>
      <c r="K43" s="251">
        <f t="shared" ref="K43:L43" si="17">K41*23%</f>
        <v>10.504190116221304</v>
      </c>
      <c r="L43" s="251">
        <f t="shared" si="17"/>
        <v>14.15704101900972</v>
      </c>
      <c r="M43" s="252">
        <f t="shared" ref="M43" si="18">M41*23%</f>
        <v>15.847710765623697</v>
      </c>
    </row>
    <row r="44" spans="2:13" x14ac:dyDescent="0.35">
      <c r="B44" s="211" t="s">
        <v>49</v>
      </c>
      <c r="C44" s="215">
        <v>-6</v>
      </c>
      <c r="D44" s="215">
        <v>-4</v>
      </c>
      <c r="E44" s="215">
        <v>6.5140000000000002</v>
      </c>
      <c r="F44" s="215">
        <v>4.6520000000000001</v>
      </c>
      <c r="G44" s="253">
        <v>-19</v>
      </c>
      <c r="H44" s="253">
        <f>H41-H43</f>
        <v>13.466678773358037</v>
      </c>
      <c r="I44" s="253">
        <f t="shared" ref="I44:M44" si="19">I41-I43</f>
        <v>18.811020223280781</v>
      </c>
      <c r="J44" s="253">
        <f t="shared" si="19"/>
        <v>25.868296786542011</v>
      </c>
      <c r="K44" s="253">
        <f t="shared" si="19"/>
        <v>35.166201693436541</v>
      </c>
      <c r="L44" s="253">
        <f t="shared" si="19"/>
        <v>47.395311237554274</v>
      </c>
      <c r="M44" s="254">
        <f t="shared" si="19"/>
        <v>53.055379519696722</v>
      </c>
    </row>
    <row r="45" spans="2:13" x14ac:dyDescent="0.35">
      <c r="B45" s="212"/>
      <c r="C45" s="212"/>
      <c r="D45" s="212"/>
      <c r="E45" s="212"/>
      <c r="F45" s="212"/>
      <c r="G45" s="255"/>
      <c r="H45" s="255"/>
      <c r="I45" s="255"/>
      <c r="J45" s="255"/>
      <c r="K45" s="255"/>
      <c r="L45" s="255"/>
      <c r="M45" s="256"/>
    </row>
    <row r="46" spans="2:13" x14ac:dyDescent="0.35">
      <c r="B46" s="212" t="s">
        <v>50</v>
      </c>
      <c r="C46" s="214" t="s">
        <v>30</v>
      </c>
      <c r="D46" s="214" t="s">
        <v>30</v>
      </c>
      <c r="E46" s="214" t="s">
        <v>30</v>
      </c>
      <c r="F46" s="214" t="s">
        <v>30</v>
      </c>
      <c r="G46" s="251" t="s">
        <v>30</v>
      </c>
      <c r="H46" s="251" t="s">
        <v>30</v>
      </c>
      <c r="I46" s="251" t="s">
        <v>30</v>
      </c>
      <c r="J46" s="251" t="s">
        <v>30</v>
      </c>
      <c r="K46" s="251" t="s">
        <v>30</v>
      </c>
      <c r="L46" s="251" t="s">
        <v>30</v>
      </c>
      <c r="M46" s="252" t="s">
        <v>30</v>
      </c>
    </row>
    <row r="47" spans="2:13" x14ac:dyDescent="0.35">
      <c r="B47" s="212" t="s">
        <v>51</v>
      </c>
      <c r="C47" s="214" t="s">
        <v>30</v>
      </c>
      <c r="D47" s="214" t="s">
        <v>30</v>
      </c>
      <c r="E47" s="214" t="s">
        <v>30</v>
      </c>
      <c r="F47" s="214" t="s">
        <v>30</v>
      </c>
      <c r="G47" s="251" t="s">
        <v>30</v>
      </c>
      <c r="H47" s="251" t="s">
        <v>30</v>
      </c>
      <c r="I47" s="251" t="s">
        <v>30</v>
      </c>
      <c r="J47" s="251" t="s">
        <v>30</v>
      </c>
      <c r="K47" s="251" t="s">
        <v>30</v>
      </c>
      <c r="L47" s="251" t="s">
        <v>30</v>
      </c>
      <c r="M47" s="252" t="s">
        <v>30</v>
      </c>
    </row>
    <row r="48" spans="2:13" x14ac:dyDescent="0.35">
      <c r="B48" s="211" t="s">
        <v>52</v>
      </c>
      <c r="C48" s="215">
        <v>-6</v>
      </c>
      <c r="D48" s="215">
        <v>-4</v>
      </c>
      <c r="E48" s="215">
        <v>6.5140000000000002</v>
      </c>
      <c r="F48" s="215">
        <v>4.6520000000000001</v>
      </c>
      <c r="G48" s="253">
        <v>-19</v>
      </c>
      <c r="H48" s="253">
        <f>H44</f>
        <v>13.466678773358037</v>
      </c>
      <c r="I48" s="253">
        <f t="shared" ref="I48:L48" si="20">I44</f>
        <v>18.811020223280781</v>
      </c>
      <c r="J48" s="253">
        <f t="shared" si="20"/>
        <v>25.868296786542011</v>
      </c>
      <c r="K48" s="253">
        <f t="shared" si="20"/>
        <v>35.166201693436541</v>
      </c>
      <c r="L48" s="253">
        <f t="shared" si="20"/>
        <v>47.395311237554274</v>
      </c>
      <c r="M48" s="254">
        <f t="shared" ref="M48" si="21">M44</f>
        <v>53.055379519696722</v>
      </c>
    </row>
    <row r="49" spans="2:13" x14ac:dyDescent="0.35">
      <c r="B49" s="212"/>
      <c r="C49" s="212"/>
      <c r="D49" s="212"/>
      <c r="E49" s="212"/>
      <c r="F49" s="212"/>
      <c r="G49" s="255"/>
      <c r="H49" s="255"/>
      <c r="I49" s="255"/>
      <c r="J49" s="255"/>
      <c r="K49" s="255"/>
      <c r="L49" s="255"/>
      <c r="M49" s="256"/>
    </row>
    <row r="50" spans="2:13" x14ac:dyDescent="0.35">
      <c r="B50" s="212" t="s">
        <v>53</v>
      </c>
      <c r="C50" s="214" t="s">
        <v>30</v>
      </c>
      <c r="D50" s="214" t="s">
        <v>30</v>
      </c>
      <c r="E50" s="214" t="s">
        <v>30</v>
      </c>
      <c r="F50" s="214" t="s">
        <v>30</v>
      </c>
      <c r="G50" s="251" t="s">
        <v>30</v>
      </c>
      <c r="H50" s="251" t="s">
        <v>30</v>
      </c>
      <c r="I50" s="251" t="s">
        <v>30</v>
      </c>
      <c r="J50" s="251" t="s">
        <v>30</v>
      </c>
      <c r="K50" s="251" t="s">
        <v>30</v>
      </c>
      <c r="L50" s="251" t="s">
        <v>30</v>
      </c>
      <c r="M50" s="252" t="s">
        <v>30</v>
      </c>
    </row>
    <row r="51" spans="2:13" x14ac:dyDescent="0.35">
      <c r="B51" s="232" t="s">
        <v>54</v>
      </c>
      <c r="C51" s="233">
        <v>-6</v>
      </c>
      <c r="D51" s="233">
        <v>-4</v>
      </c>
      <c r="E51" s="233">
        <v>6.5140000000000002</v>
      </c>
      <c r="F51" s="233">
        <v>4.6520000000000001</v>
      </c>
      <c r="G51" s="260">
        <v>-19</v>
      </c>
      <c r="H51" s="260">
        <f>H48</f>
        <v>13.466678773358037</v>
      </c>
      <c r="I51" s="260">
        <f t="shared" ref="I51:L51" si="22">I48</f>
        <v>18.811020223280781</v>
      </c>
      <c r="J51" s="260">
        <f t="shared" si="22"/>
        <v>25.868296786542011</v>
      </c>
      <c r="K51" s="260">
        <f t="shared" si="22"/>
        <v>35.166201693436541</v>
      </c>
      <c r="L51" s="260">
        <f t="shared" si="22"/>
        <v>47.395311237554274</v>
      </c>
      <c r="M51" s="260">
        <f t="shared" ref="M51" si="23">M48</f>
        <v>53.055379519696722</v>
      </c>
    </row>
  </sheetData>
  <phoneticPr fontId="28" type="noConversion"/>
  <hyperlinks>
    <hyperlink ref="N8" r:id="rId1" display="https://investinisrael.gov.il/BusinessInIsrael/Pages/Taxation.aspx" xr:uid="{A88056C7-18EE-4EBC-8378-DCF16A1926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4DA0-C2DC-4F81-875F-5C94E1FB959F}">
  <sheetPr>
    <tabColor theme="4"/>
  </sheetPr>
  <dimension ref="B1:N80"/>
  <sheetViews>
    <sheetView showGridLines="0" topLeftCell="A67" workbookViewId="0">
      <selection activeCell="O13" sqref="O13"/>
    </sheetView>
  </sheetViews>
  <sheetFormatPr defaultRowHeight="14.5" x14ac:dyDescent="0.35"/>
  <cols>
    <col min="2" max="2" width="31.453125" bestFit="1" customWidth="1"/>
    <col min="3" max="6" width="9.36328125" hidden="1" customWidth="1"/>
    <col min="7" max="8" width="8.1796875" bestFit="1" customWidth="1"/>
  </cols>
  <sheetData>
    <row r="1" spans="2:14" x14ac:dyDescent="0.35">
      <c r="G1" s="222" t="s">
        <v>55</v>
      </c>
      <c r="H1" s="222">
        <v>2023</v>
      </c>
      <c r="I1" s="222">
        <v>2024</v>
      </c>
      <c r="J1" s="222">
        <v>2025</v>
      </c>
      <c r="K1" s="222">
        <v>2026</v>
      </c>
      <c r="L1" s="222">
        <v>2027</v>
      </c>
      <c r="M1" s="235">
        <v>2028</v>
      </c>
    </row>
    <row r="2" spans="2:14" x14ac:dyDescent="0.35">
      <c r="G2" s="239" t="s">
        <v>159</v>
      </c>
      <c r="H2" s="223">
        <f>'IS Pro Forma'!H25</f>
        <v>172.32856389929708</v>
      </c>
      <c r="I2" s="223">
        <f>'IS Pro Forma'!I25</f>
        <v>225.29172124383246</v>
      </c>
      <c r="J2" s="223">
        <f>'IS Pro Forma'!J25</f>
        <v>294.53248209431484</v>
      </c>
      <c r="K2" s="223">
        <f>'IS Pro Forma'!K25</f>
        <v>385.05357644611064</v>
      </c>
      <c r="L2" s="223">
        <f>'IS Pro Forma'!L25</f>
        <v>503.3952645211578</v>
      </c>
      <c r="M2" s="236">
        <f>'IS Pro Forma'!M25</f>
        <v>533.59898039242717</v>
      </c>
    </row>
    <row r="3" spans="2:14" x14ac:dyDescent="0.35">
      <c r="G3" s="239" t="s">
        <v>147</v>
      </c>
      <c r="H3" s="223">
        <f>'IS Pro Forma'!H15</f>
        <v>216.62333151267455</v>
      </c>
      <c r="I3" s="223">
        <f>'IS Pro Forma'!I15</f>
        <v>283.199964728905</v>
      </c>
      <c r="J3" s="223">
        <f>'IS Pro Forma'!J15</f>
        <v>370.23814315107802</v>
      </c>
      <c r="K3" s="223">
        <f>'IS Pro Forma'!K15</f>
        <v>484.0264820483834</v>
      </c>
      <c r="L3" s="223">
        <f>'IS Pro Forma'!L15</f>
        <v>632.78632863209316</v>
      </c>
      <c r="M3" s="236">
        <f>'IS Pro Forma'!M15</f>
        <v>670.75350835001871</v>
      </c>
    </row>
    <row r="4" spans="2:14" x14ac:dyDescent="0.35">
      <c r="G4" s="239" t="s">
        <v>56</v>
      </c>
      <c r="H4" s="242">
        <f>'Revenue '!$D$8</f>
        <v>0.30733823892065409</v>
      </c>
      <c r="I4" s="242">
        <f>'Revenue '!$D$8</f>
        <v>0.30733823892065409</v>
      </c>
      <c r="J4" s="242">
        <f>'Revenue '!$D$8</f>
        <v>0.30733823892065409</v>
      </c>
      <c r="K4" s="242">
        <f>'Revenue '!$D$8</f>
        <v>0.30733823892065409</v>
      </c>
      <c r="L4" s="242">
        <f>'Revenue '!$D$8</f>
        <v>0.30733823892065409</v>
      </c>
      <c r="M4" s="243">
        <v>0.06</v>
      </c>
    </row>
    <row r="5" spans="2:14" x14ac:dyDescent="0.35">
      <c r="G5" s="239" t="s">
        <v>61</v>
      </c>
      <c r="H5" s="244">
        <f>'COST '!$G$11</f>
        <v>0.12442923215929186</v>
      </c>
      <c r="I5" s="244">
        <f>'COST '!$G$11</f>
        <v>0.12442923215929186</v>
      </c>
      <c r="J5" s="244">
        <f>'COST '!$G$11</f>
        <v>0.12442923215929186</v>
      </c>
      <c r="K5" s="244">
        <f>'COST '!$G$11</f>
        <v>0.12442923215929186</v>
      </c>
      <c r="L5" s="244">
        <f>'COST '!$G$11</f>
        <v>0.12442923215929186</v>
      </c>
      <c r="M5" s="243">
        <f>'COST '!$G$11</f>
        <v>0.12442923215929186</v>
      </c>
    </row>
    <row r="6" spans="2:14" x14ac:dyDescent="0.35">
      <c r="G6" s="239" t="s">
        <v>57</v>
      </c>
      <c r="H6" s="224">
        <f>'COST '!$E$11</f>
        <v>0.39812669397018985</v>
      </c>
      <c r="I6" s="224">
        <f>'COST '!$E$11</f>
        <v>0.39812669397018985</v>
      </c>
      <c r="J6" s="224">
        <f>'COST '!$E$11</f>
        <v>0.39812669397018985</v>
      </c>
      <c r="K6" s="224">
        <f>'COST '!$E$11</f>
        <v>0.39812669397018985</v>
      </c>
      <c r="L6" s="224">
        <f>'COST '!$E$11</f>
        <v>0.39812669397018985</v>
      </c>
      <c r="M6" s="237">
        <f>'COST '!$E$11</f>
        <v>0.39812669397018985</v>
      </c>
    </row>
    <row r="7" spans="2:14" x14ac:dyDescent="0.35">
      <c r="G7" s="239" t="s">
        <v>58</v>
      </c>
      <c r="H7" s="224">
        <v>0.08</v>
      </c>
      <c r="I7" s="224">
        <v>0.08</v>
      </c>
      <c r="J7" s="224">
        <v>0.08</v>
      </c>
      <c r="K7" s="224">
        <v>0.08</v>
      </c>
      <c r="L7" s="224">
        <v>0.08</v>
      </c>
      <c r="M7" s="237">
        <v>0.08</v>
      </c>
    </row>
    <row r="8" spans="2:14" x14ac:dyDescent="0.35">
      <c r="G8" s="239" t="s">
        <v>162</v>
      </c>
      <c r="H8" s="206">
        <f t="shared" ref="H8:M8" si="0">H$50-H$44-H$47-H$48-H$49</f>
        <v>474.0209395996489</v>
      </c>
      <c r="I8" s="206">
        <f t="shared" si="0"/>
        <v>557.35458780779641</v>
      </c>
      <c r="J8" s="206">
        <f t="shared" si="0"/>
        <v>665.02392196353173</v>
      </c>
      <c r="K8" s="206">
        <f t="shared" si="0"/>
        <v>804.43657153580875</v>
      </c>
      <c r="L8" s="206">
        <f t="shared" si="0"/>
        <v>985.27486826476297</v>
      </c>
      <c r="M8" s="207">
        <f t="shared" si="0"/>
        <v>990.47033136380219</v>
      </c>
    </row>
    <row r="9" spans="2:14" x14ac:dyDescent="0.35">
      <c r="G9" s="239" t="s">
        <v>67</v>
      </c>
      <c r="H9" s="224">
        <f>'COST '!$I$11</f>
        <v>0.27296578751018774</v>
      </c>
      <c r="I9" s="224">
        <f>'COST '!$I$11</f>
        <v>0.27296578751018774</v>
      </c>
      <c r="J9" s="224">
        <f>'COST '!$I$11</f>
        <v>0.27296578751018774</v>
      </c>
      <c r="K9" s="224">
        <f>'COST '!$I$11</f>
        <v>0.27296578751018774</v>
      </c>
      <c r="L9" s="224">
        <f>'COST '!$I$11</f>
        <v>0.27296578751018774</v>
      </c>
      <c r="M9" s="237">
        <f>'COST '!$I$11</f>
        <v>0.27296578751018774</v>
      </c>
    </row>
    <row r="10" spans="2:14" x14ac:dyDescent="0.35">
      <c r="G10" s="239" t="s">
        <v>59</v>
      </c>
      <c r="H10" s="224">
        <v>0.23</v>
      </c>
      <c r="I10" s="224">
        <v>0.23</v>
      </c>
      <c r="J10" s="224">
        <v>0.23</v>
      </c>
      <c r="K10" s="224">
        <v>0.23</v>
      </c>
      <c r="L10" s="224">
        <v>0.23</v>
      </c>
      <c r="M10" s="237">
        <v>0.23</v>
      </c>
      <c r="N10" s="34" t="s">
        <v>68</v>
      </c>
    </row>
    <row r="11" spans="2:14" x14ac:dyDescent="0.35">
      <c r="B11" s="217" t="s">
        <v>135</v>
      </c>
      <c r="G11" s="239" t="s">
        <v>60</v>
      </c>
      <c r="H11" s="240"/>
      <c r="I11" s="240"/>
      <c r="J11" s="240"/>
      <c r="K11" s="240"/>
      <c r="L11" s="240"/>
      <c r="M11" s="241"/>
    </row>
    <row r="12" spans="2:14" x14ac:dyDescent="0.35">
      <c r="B12" s="218" t="s">
        <v>563</v>
      </c>
      <c r="C12" s="210"/>
      <c r="D12" s="210"/>
      <c r="E12" s="210"/>
      <c r="F12" s="210"/>
      <c r="G12" s="210"/>
    </row>
    <row r="13" spans="2:14" ht="21" x14ac:dyDescent="0.35">
      <c r="B13" s="219" t="s">
        <v>0</v>
      </c>
      <c r="C13" s="221" t="s">
        <v>9</v>
      </c>
      <c r="D13" s="221" t="s">
        <v>15</v>
      </c>
      <c r="E13" s="221" t="s">
        <v>10</v>
      </c>
      <c r="F13" s="221" t="s">
        <v>13</v>
      </c>
      <c r="G13" s="221" t="s">
        <v>12</v>
      </c>
      <c r="H13" s="221" t="s">
        <v>11</v>
      </c>
      <c r="I13" s="221" t="s">
        <v>62</v>
      </c>
      <c r="J13" s="221" t="s">
        <v>63</v>
      </c>
      <c r="K13" s="221" t="s">
        <v>64</v>
      </c>
      <c r="L13" s="221" t="s">
        <v>65</v>
      </c>
      <c r="M13" s="238" t="s">
        <v>66</v>
      </c>
    </row>
    <row r="14" spans="2:14" x14ac:dyDescent="0.35">
      <c r="B14" s="211" t="s">
        <v>72</v>
      </c>
      <c r="C14" s="212"/>
      <c r="D14" s="212"/>
      <c r="E14" s="212"/>
      <c r="F14" s="212"/>
      <c r="G14" s="212"/>
      <c r="M14" s="213"/>
    </row>
    <row r="15" spans="2:14" x14ac:dyDescent="0.35">
      <c r="B15" s="212" t="s">
        <v>73</v>
      </c>
      <c r="C15" s="214">
        <v>3.234</v>
      </c>
      <c r="D15" s="214">
        <v>6.016</v>
      </c>
      <c r="E15" s="214">
        <v>59.767000000000003</v>
      </c>
      <c r="F15" s="214">
        <v>66.081999999999994</v>
      </c>
      <c r="G15" s="251">
        <v>41.179000000000002</v>
      </c>
      <c r="H15" s="251"/>
      <c r="I15" s="251"/>
      <c r="J15" s="251"/>
      <c r="K15" s="251"/>
      <c r="L15" s="251"/>
      <c r="M15" s="252"/>
    </row>
    <row r="16" spans="2:14" x14ac:dyDescent="0.35">
      <c r="B16" s="211" t="s">
        <v>74</v>
      </c>
      <c r="C16" s="215">
        <v>3.234</v>
      </c>
      <c r="D16" s="215">
        <v>6.016</v>
      </c>
      <c r="E16" s="215">
        <v>59.767000000000003</v>
      </c>
      <c r="F16" s="215">
        <v>66.081999999999994</v>
      </c>
      <c r="G16" s="253">
        <v>41.179000000000002</v>
      </c>
      <c r="H16" s="253">
        <f>H3*Assets!$F$4</f>
        <v>133.98007797698475</v>
      </c>
      <c r="I16" s="253">
        <f>I3*Assets!$F$4</f>
        <v>175.15727919288318</v>
      </c>
      <c r="J16" s="253">
        <f>J3*Assets!$F$4</f>
        <v>228.98980891415721</v>
      </c>
      <c r="K16" s="253">
        <f>K3*Assets!$F$4</f>
        <v>299.36713351661143</v>
      </c>
      <c r="L16" s="253">
        <f>L3*Assets!$F$4</f>
        <v>391.37410112233107</v>
      </c>
      <c r="M16" s="254">
        <f>M3*Assets!$F$4</f>
        <v>414.85654718967095</v>
      </c>
    </row>
    <row r="17" spans="2:13" x14ac:dyDescent="0.35">
      <c r="B17" s="212"/>
      <c r="C17" s="212"/>
      <c r="D17" s="212"/>
      <c r="E17" s="212"/>
      <c r="F17" s="212"/>
      <c r="G17" s="255"/>
      <c r="H17" s="255"/>
      <c r="I17" s="255"/>
      <c r="J17" s="255"/>
      <c r="K17" s="255"/>
      <c r="L17" s="255"/>
      <c r="M17" s="256"/>
    </row>
    <row r="18" spans="2:13" x14ac:dyDescent="0.35">
      <c r="B18" s="212" t="s">
        <v>75</v>
      </c>
      <c r="C18" s="214">
        <v>2.4500000000000002</v>
      </c>
      <c r="D18" s="214">
        <v>3.0329999999999999</v>
      </c>
      <c r="E18" s="214">
        <v>3.7570000000000001</v>
      </c>
      <c r="F18" s="214">
        <v>5.2069999999999999</v>
      </c>
      <c r="G18" s="251">
        <v>38.536999999999999</v>
      </c>
      <c r="H18" s="251"/>
      <c r="I18" s="251"/>
      <c r="J18" s="251"/>
      <c r="K18" s="251"/>
      <c r="L18" s="251"/>
      <c r="M18" s="252"/>
    </row>
    <row r="19" spans="2:13" x14ac:dyDescent="0.35">
      <c r="B19" s="212" t="s">
        <v>76</v>
      </c>
      <c r="C19" s="214">
        <v>0.19</v>
      </c>
      <c r="D19" s="214">
        <v>0.25</v>
      </c>
      <c r="E19" s="214">
        <v>3.1920000000000002</v>
      </c>
      <c r="F19" s="214">
        <v>3.56</v>
      </c>
      <c r="G19" s="251">
        <v>4.3040000000000003</v>
      </c>
      <c r="H19" s="251"/>
      <c r="I19" s="251"/>
      <c r="J19" s="251"/>
      <c r="K19" s="251"/>
      <c r="L19" s="251"/>
      <c r="M19" s="252"/>
    </row>
    <row r="20" spans="2:13" x14ac:dyDescent="0.35">
      <c r="B20" s="211" t="s">
        <v>77</v>
      </c>
      <c r="C20" s="215">
        <v>2.64</v>
      </c>
      <c r="D20" s="215">
        <v>3.2829999999999999</v>
      </c>
      <c r="E20" s="215">
        <v>6.9489999999999998</v>
      </c>
      <c r="F20" s="215">
        <v>8.7669999999999995</v>
      </c>
      <c r="G20" s="253">
        <v>42.841000000000001</v>
      </c>
      <c r="H20" s="253">
        <f>H3*Assets!$F$22</f>
        <v>34.021041317230001</v>
      </c>
      <c r="I20" s="253">
        <f>I3*Assets!$F$22</f>
        <v>44.477008241914284</v>
      </c>
      <c r="J20" s="253">
        <f>J3*Assets!$F$22</f>
        <v>58.14649362744364</v>
      </c>
      <c r="K20" s="253">
        <f>K3*Assets!$F$22</f>
        <v>76.017134578313204</v>
      </c>
      <c r="L20" s="253">
        <f>L3*Assets!$F$22</f>
        <v>99.380106847406338</v>
      </c>
      <c r="M20" s="254">
        <f>M3*Assets!$F$22</f>
        <v>105.34291325825072</v>
      </c>
    </row>
    <row r="21" spans="2:13" x14ac:dyDescent="0.35">
      <c r="B21" s="212"/>
      <c r="C21" s="212"/>
      <c r="D21" s="212"/>
      <c r="E21" s="212"/>
      <c r="F21" s="212"/>
      <c r="G21" s="255"/>
      <c r="H21" s="255"/>
      <c r="I21" s="255"/>
      <c r="J21" s="255"/>
      <c r="K21" s="255"/>
      <c r="L21" s="255"/>
      <c r="M21" s="256"/>
    </row>
    <row r="22" spans="2:13" x14ac:dyDescent="0.35">
      <c r="B22" s="212" t="s">
        <v>78</v>
      </c>
      <c r="C22" s="214">
        <v>0.50800000000000001</v>
      </c>
      <c r="D22" s="214">
        <v>0.90500000000000003</v>
      </c>
      <c r="E22" s="214">
        <v>1.446</v>
      </c>
      <c r="F22" s="214">
        <v>2.661</v>
      </c>
      <c r="G22" s="251">
        <v>5.7889999999999997</v>
      </c>
      <c r="H22" s="251">
        <f>H3*Assets!C62</f>
        <v>7.1948363495244649</v>
      </c>
      <c r="I22" s="251">
        <f>I3*Assets!D62</f>
        <v>9.406084682509622</v>
      </c>
      <c r="J22" s="251">
        <f>J3*Assets!E62</f>
        <v>12.296934183970668</v>
      </c>
      <c r="K22" s="251">
        <f>K3*Assets!F62</f>
        <v>16.076252280195405</v>
      </c>
      <c r="L22" s="251">
        <f>L3*Assets!G62</f>
        <v>21.017099344434811</v>
      </c>
      <c r="M22" s="252">
        <f>M3*Assets!G62</f>
        <v>22.2781253051009</v>
      </c>
    </row>
    <row r="23" spans="2:13" x14ac:dyDescent="0.35">
      <c r="B23" s="212" t="s">
        <v>79</v>
      </c>
      <c r="C23" s="214" t="s">
        <v>30</v>
      </c>
      <c r="D23" s="214">
        <v>0.13800000000000001</v>
      </c>
      <c r="E23" s="214">
        <v>1.2E-2</v>
      </c>
      <c r="F23" s="214">
        <v>8.9999999999999993E-3</v>
      </c>
      <c r="G23" s="251">
        <v>0.48899999999999999</v>
      </c>
      <c r="H23" s="251">
        <v>0</v>
      </c>
      <c r="I23" s="251">
        <v>0</v>
      </c>
      <c r="J23" s="251">
        <v>0</v>
      </c>
      <c r="K23" s="251">
        <v>0</v>
      </c>
      <c r="L23" s="251">
        <v>0</v>
      </c>
      <c r="M23" s="252">
        <v>0</v>
      </c>
    </row>
    <row r="24" spans="2:13" x14ac:dyDescent="0.35">
      <c r="B24" s="211" t="s">
        <v>80</v>
      </c>
      <c r="C24" s="215">
        <v>6.3819999999999997</v>
      </c>
      <c r="D24" s="215">
        <v>10.342000000000001</v>
      </c>
      <c r="E24" s="215">
        <v>68.174000000000007</v>
      </c>
      <c r="F24" s="215">
        <v>77.519000000000005</v>
      </c>
      <c r="G24" s="253">
        <v>90.298000000000002</v>
      </c>
      <c r="H24" s="253">
        <f>H16+H20+H22</f>
        <v>175.19595564373918</v>
      </c>
      <c r="I24" s="253">
        <f t="shared" ref="I24:L24" si="1">I16+I20+I22</f>
        <v>229.0403721173071</v>
      </c>
      <c r="J24" s="253">
        <f t="shared" si="1"/>
        <v>299.43323672557153</v>
      </c>
      <c r="K24" s="253">
        <f t="shared" si="1"/>
        <v>391.46052037512004</v>
      </c>
      <c r="L24" s="253">
        <f t="shared" si="1"/>
        <v>511.77130731417225</v>
      </c>
      <c r="M24" s="254">
        <f t="shared" ref="M24" si="2">M16+M20+M22</f>
        <v>542.47758575302259</v>
      </c>
    </row>
    <row r="25" spans="2:13" x14ac:dyDescent="0.35">
      <c r="B25" s="212"/>
      <c r="C25" s="212"/>
      <c r="D25" s="212"/>
      <c r="E25" s="212"/>
      <c r="F25" s="212"/>
      <c r="G25" s="255"/>
      <c r="H25" s="255"/>
      <c r="I25" s="255"/>
      <c r="J25" s="255"/>
      <c r="K25" s="255"/>
      <c r="L25" s="255"/>
      <c r="M25" s="256"/>
    </row>
    <row r="26" spans="2:13" x14ac:dyDescent="0.35">
      <c r="B26" s="212" t="s">
        <v>81</v>
      </c>
      <c r="C26" s="214">
        <v>1.8080000000000001</v>
      </c>
      <c r="D26" s="214">
        <v>7.2519999999999998</v>
      </c>
      <c r="E26" s="214">
        <v>6.6189999999999998</v>
      </c>
      <c r="F26" s="214" t="s">
        <v>30</v>
      </c>
      <c r="G26" s="251">
        <v>15.433999999999999</v>
      </c>
      <c r="H26" s="251"/>
      <c r="I26" s="251"/>
      <c r="J26" s="251"/>
      <c r="K26" s="251"/>
      <c r="L26" s="251"/>
      <c r="M26" s="252"/>
    </row>
    <row r="27" spans="2:13" x14ac:dyDescent="0.35">
      <c r="B27" s="212" t="s">
        <v>82</v>
      </c>
      <c r="C27" s="214">
        <v>-1.3</v>
      </c>
      <c r="D27" s="214">
        <v>-1.7</v>
      </c>
      <c r="E27" s="214">
        <v>-2.2000000000000002</v>
      </c>
      <c r="F27" s="214" t="s">
        <v>30</v>
      </c>
      <c r="G27" s="251">
        <v>-3.5</v>
      </c>
      <c r="H27" s="251"/>
      <c r="I27" s="251"/>
      <c r="J27" s="251"/>
      <c r="K27" s="251"/>
      <c r="L27" s="251"/>
      <c r="M27" s="252"/>
    </row>
    <row r="28" spans="2:13" x14ac:dyDescent="0.35">
      <c r="B28" s="211" t="s">
        <v>83</v>
      </c>
      <c r="C28" s="215">
        <v>0.52400000000000002</v>
      </c>
      <c r="D28" s="215">
        <v>5.5369999999999999</v>
      </c>
      <c r="E28" s="215">
        <v>4.4279999999999999</v>
      </c>
      <c r="F28" s="215">
        <v>10.041</v>
      </c>
      <c r="G28" s="253">
        <v>11.965</v>
      </c>
      <c r="H28" s="253">
        <f>H3*Assets!$F$82</f>
        <v>23.870829311950235</v>
      </c>
      <c r="I28" s="253">
        <f>I3*Assets!$F$82</f>
        <v>31.207247954260552</v>
      </c>
      <c r="J28" s="253">
        <f>J3*Assets!$F$82</f>
        <v>40.798428582083176</v>
      </c>
      <c r="K28" s="253">
        <f>K3*Assets!$F$82</f>
        <v>53.337345773230702</v>
      </c>
      <c r="L28" s="253">
        <f>L3*Assets!$F$82</f>
        <v>69.729951691877417</v>
      </c>
      <c r="M28" s="254">
        <f>M3*Assets!$F$82</f>
        <v>73.913748793390056</v>
      </c>
    </row>
    <row r="29" spans="2:13" x14ac:dyDescent="0.35">
      <c r="B29" s="212"/>
      <c r="C29" s="212"/>
      <c r="D29" s="212"/>
      <c r="E29" s="212"/>
      <c r="F29" s="212"/>
      <c r="G29" s="255"/>
      <c r="H29" s="255"/>
      <c r="I29" s="255"/>
      <c r="J29" s="255"/>
      <c r="K29" s="255"/>
      <c r="L29" s="255"/>
      <c r="M29" s="256"/>
    </row>
    <row r="30" spans="2:13" x14ac:dyDescent="0.35">
      <c r="B30" s="212" t="s">
        <v>84</v>
      </c>
      <c r="C30" s="214">
        <v>0.313</v>
      </c>
      <c r="D30" s="214">
        <v>0.60299999999999998</v>
      </c>
      <c r="E30" s="214" t="s">
        <v>30</v>
      </c>
      <c r="F30" s="214" t="s">
        <v>30</v>
      </c>
      <c r="G30" s="251">
        <v>4.7699999999999996</v>
      </c>
      <c r="H30" s="251">
        <v>4.7699999999999996</v>
      </c>
      <c r="I30" s="251">
        <v>4.7699999999999996</v>
      </c>
      <c r="J30" s="251">
        <v>4.7699999999999996</v>
      </c>
      <c r="K30" s="251">
        <v>4.7699999999999996</v>
      </c>
      <c r="L30" s="251">
        <v>4.7699999999999996</v>
      </c>
      <c r="M30" s="252">
        <v>4.7699999999999996</v>
      </c>
    </row>
    <row r="31" spans="2:13" x14ac:dyDescent="0.35">
      <c r="B31" s="212" t="s">
        <v>85</v>
      </c>
      <c r="C31" s="214" t="s">
        <v>30</v>
      </c>
      <c r="D31" s="214" t="s">
        <v>30</v>
      </c>
      <c r="E31" s="214" t="s">
        <v>30</v>
      </c>
      <c r="F31" s="214" t="s">
        <v>30</v>
      </c>
      <c r="G31" s="251">
        <v>180.86600000000001</v>
      </c>
      <c r="H31" s="251">
        <v>180.86600000000001</v>
      </c>
      <c r="I31" s="251">
        <v>180.86600000000001</v>
      </c>
      <c r="J31" s="251">
        <v>180.86600000000001</v>
      </c>
      <c r="K31" s="251">
        <v>180.86600000000001</v>
      </c>
      <c r="L31" s="251">
        <v>180.86600000000001</v>
      </c>
      <c r="M31" s="252">
        <v>180.86600000000001</v>
      </c>
    </row>
    <row r="32" spans="2:13" x14ac:dyDescent="0.35">
      <c r="B32" s="212" t="s">
        <v>86</v>
      </c>
      <c r="C32" s="214">
        <v>10.731</v>
      </c>
      <c r="D32" s="214">
        <v>14.413</v>
      </c>
      <c r="E32" s="214">
        <v>17.835000000000001</v>
      </c>
      <c r="F32" s="214">
        <v>22.353999999999999</v>
      </c>
      <c r="G32" s="251">
        <v>166.34700000000001</v>
      </c>
      <c r="H32" s="251">
        <v>166.34700000000001</v>
      </c>
      <c r="I32" s="251">
        <v>166.34700000000001</v>
      </c>
      <c r="J32" s="251">
        <v>166.34700000000001</v>
      </c>
      <c r="K32" s="251">
        <v>166.34700000000001</v>
      </c>
      <c r="L32" s="251">
        <v>166.34700000000001</v>
      </c>
      <c r="M32" s="252">
        <v>166.34700000000001</v>
      </c>
    </row>
    <row r="33" spans="2:13" x14ac:dyDescent="0.35">
      <c r="B33" s="212" t="s">
        <v>87</v>
      </c>
      <c r="C33" s="214">
        <v>0.124</v>
      </c>
      <c r="D33" s="214">
        <v>0.13</v>
      </c>
      <c r="E33" s="214">
        <v>0.21099999999999999</v>
      </c>
      <c r="F33" s="214">
        <v>1.839</v>
      </c>
      <c r="G33" s="251">
        <v>2.4510000000000001</v>
      </c>
      <c r="H33" s="251">
        <v>2.4510000000000001</v>
      </c>
      <c r="I33" s="251">
        <v>2.4510000000000001</v>
      </c>
      <c r="J33" s="251">
        <v>2.4510000000000001</v>
      </c>
      <c r="K33" s="251">
        <v>2.4510000000000001</v>
      </c>
      <c r="L33" s="251">
        <v>2.4510000000000001</v>
      </c>
      <c r="M33" s="252">
        <v>2.4510000000000001</v>
      </c>
    </row>
    <row r="34" spans="2:13" x14ac:dyDescent="0.35">
      <c r="B34" s="212" t="s">
        <v>88</v>
      </c>
      <c r="C34" s="214">
        <v>1.288</v>
      </c>
      <c r="D34" s="214">
        <v>2.15</v>
      </c>
      <c r="E34" s="214">
        <v>3.9369999999999998</v>
      </c>
      <c r="F34" s="214">
        <v>4.0019999999999998</v>
      </c>
      <c r="G34" s="251">
        <v>4.2469999999999999</v>
      </c>
      <c r="H34" s="251">
        <v>4.2469999999999999</v>
      </c>
      <c r="I34" s="251">
        <v>4.2469999999999999</v>
      </c>
      <c r="J34" s="251">
        <v>4.2469999999999999</v>
      </c>
      <c r="K34" s="251">
        <v>4.2469999999999999</v>
      </c>
      <c r="L34" s="251">
        <v>4.2469999999999999</v>
      </c>
      <c r="M34" s="252">
        <v>4.2469999999999999</v>
      </c>
    </row>
    <row r="35" spans="2:13" x14ac:dyDescent="0.35">
      <c r="B35" s="232" t="s">
        <v>89</v>
      </c>
      <c r="C35" s="233">
        <v>19.361999999999998</v>
      </c>
      <c r="D35" s="233">
        <v>33.174999999999997</v>
      </c>
      <c r="E35" s="233">
        <v>94.584999999999994</v>
      </c>
      <c r="F35" s="233">
        <v>115.755</v>
      </c>
      <c r="G35" s="260">
        <v>460.94400000000002</v>
      </c>
      <c r="H35" s="260">
        <f>SUM(H16,H20,H24,H28,H30:H34)</f>
        <v>725.74890424990406</v>
      </c>
      <c r="I35" s="260">
        <f t="shared" ref="I35:M35" si="3">SUM(I16,I20,I24,I28,I30:I34)</f>
        <v>838.56290750636504</v>
      </c>
      <c r="J35" s="260">
        <f t="shared" si="3"/>
        <v>986.0489678492554</v>
      </c>
      <c r="K35" s="260">
        <f t="shared" si="3"/>
        <v>1178.8631342432755</v>
      </c>
      <c r="L35" s="260">
        <f>SUM(L16,L20,L24,L28,L30:L34)</f>
        <v>1430.9364669757872</v>
      </c>
      <c r="M35" s="261">
        <f t="shared" si="3"/>
        <v>1495.2717949943344</v>
      </c>
    </row>
    <row r="36" spans="2:13" x14ac:dyDescent="0.35">
      <c r="B36" s="212"/>
      <c r="C36" s="212"/>
      <c r="D36" s="212"/>
      <c r="E36" s="212"/>
      <c r="F36" s="212"/>
      <c r="G36" s="255"/>
      <c r="H36" s="255"/>
      <c r="I36" s="255"/>
      <c r="J36" s="255"/>
      <c r="K36" s="255"/>
      <c r="L36" s="255"/>
      <c r="M36" s="256"/>
    </row>
    <row r="37" spans="2:13" x14ac:dyDescent="0.35">
      <c r="B37" s="211" t="s">
        <v>90</v>
      </c>
      <c r="C37" s="212"/>
      <c r="D37" s="212"/>
      <c r="E37" s="212"/>
      <c r="F37" s="212"/>
      <c r="G37" s="255"/>
      <c r="H37" s="255"/>
      <c r="I37" s="255"/>
      <c r="J37" s="255"/>
      <c r="K37" s="255"/>
      <c r="L37" s="255"/>
      <c r="M37" s="256"/>
    </row>
    <row r="38" spans="2:13" x14ac:dyDescent="0.35">
      <c r="B38" s="212" t="s">
        <v>91</v>
      </c>
      <c r="C38" s="214">
        <v>0.38700000000000001</v>
      </c>
      <c r="D38" s="214">
        <v>0.56100000000000005</v>
      </c>
      <c r="E38" s="214">
        <v>1.6930000000000001</v>
      </c>
      <c r="F38" s="214">
        <v>1.371</v>
      </c>
      <c r="G38" s="251">
        <v>7.6890000000000001</v>
      </c>
      <c r="H38" s="251">
        <f>H2*'Liabilities '!$F$5</f>
        <v>5.4484343311026882</v>
      </c>
      <c r="I38" s="251">
        <f>I2*'Liabilities '!$F$5</f>
        <v>7.1229465432986201</v>
      </c>
      <c r="J38" s="251">
        <f>J2*'Liabilities '!$F$5</f>
        <v>9.3121003898419783</v>
      </c>
      <c r="K38" s="251">
        <f>K2*'Liabilities '!$F$5</f>
        <v>12.174064924308349</v>
      </c>
      <c r="L38" s="251">
        <f>L2*'Liabilities '!$F$5</f>
        <v>15.915620598650985</v>
      </c>
      <c r="M38" s="252">
        <f>M2*'Liabilities '!$F$5</f>
        <v>16.87055783457004</v>
      </c>
    </row>
    <row r="39" spans="2:13" x14ac:dyDescent="0.35">
      <c r="B39" s="212" t="s">
        <v>92</v>
      </c>
      <c r="C39" s="214">
        <v>2.6320000000000001</v>
      </c>
      <c r="D39" s="214">
        <v>3.8769999999999998</v>
      </c>
      <c r="E39" s="214">
        <v>6.7789999999999999</v>
      </c>
      <c r="F39" s="214">
        <v>9.6419999999999995</v>
      </c>
      <c r="G39" s="251">
        <v>35.308999999999997</v>
      </c>
      <c r="H39" s="251">
        <f>H2*'Liabilities '!$F$23</f>
        <v>29.266851545794513</v>
      </c>
      <c r="I39" s="251">
        <f>I2*'Liabilities '!$F$23</f>
        <v>38.261674158631223</v>
      </c>
      <c r="J39" s="251">
        <f>J2*'Liabilities '!$F$23</f>
        <v>50.02094971270084</v>
      </c>
      <c r="K39" s="251">
        <f>K2*'Liabilities '!$F$23</f>
        <v>65.394300306540913</v>
      </c>
      <c r="L39" s="251">
        <f>L2*'Liabilities '!$F$23</f>
        <v>85.492469398201607</v>
      </c>
      <c r="M39" s="252">
        <f>M2*'Liabilities '!$F$23</f>
        <v>90.622017562093674</v>
      </c>
    </row>
    <row r="40" spans="2:13" x14ac:dyDescent="0.35">
      <c r="B40" s="212" t="s">
        <v>93</v>
      </c>
      <c r="C40" s="214" t="s">
        <v>30</v>
      </c>
      <c r="D40" s="214">
        <v>14.244999999999999</v>
      </c>
      <c r="E40" s="214">
        <v>1.972</v>
      </c>
      <c r="F40" s="214">
        <v>21.085999999999999</v>
      </c>
      <c r="G40" s="251" t="s">
        <v>30</v>
      </c>
      <c r="H40" s="251">
        <v>12.4</v>
      </c>
      <c r="I40" s="251">
        <v>12.4</v>
      </c>
      <c r="J40" s="251">
        <v>12.4</v>
      </c>
      <c r="K40" s="251">
        <v>12.4</v>
      </c>
      <c r="L40" s="251">
        <v>12.4</v>
      </c>
      <c r="M40" s="252">
        <v>12.4</v>
      </c>
    </row>
    <row r="41" spans="2:13" x14ac:dyDescent="0.35">
      <c r="B41" s="212" t="s">
        <v>94</v>
      </c>
      <c r="C41" s="214" t="s">
        <v>30</v>
      </c>
      <c r="D41" s="214">
        <v>1.4550000000000001</v>
      </c>
      <c r="E41" s="214">
        <v>1.651</v>
      </c>
      <c r="F41" s="214">
        <v>0.76900000000000002</v>
      </c>
      <c r="G41" s="251">
        <v>1.1499999999999999</v>
      </c>
      <c r="H41" s="251">
        <v>1.1499999999999999</v>
      </c>
      <c r="I41" s="251">
        <v>1.1499999999999999</v>
      </c>
      <c r="J41" s="251">
        <v>1.1499999999999999</v>
      </c>
      <c r="K41" s="251">
        <v>1.1499999999999999</v>
      </c>
      <c r="L41" s="251">
        <v>1.1499999999999999</v>
      </c>
      <c r="M41" s="252">
        <v>1.1499999999999999</v>
      </c>
    </row>
    <row r="42" spans="2:13" x14ac:dyDescent="0.35">
      <c r="B42" s="212" t="s">
        <v>95</v>
      </c>
      <c r="C42" s="214" t="s">
        <v>30</v>
      </c>
      <c r="D42" s="214" t="s">
        <v>30</v>
      </c>
      <c r="E42" s="214" t="s">
        <v>30</v>
      </c>
      <c r="F42" s="214" t="s">
        <v>30</v>
      </c>
      <c r="G42" s="251">
        <v>7.3959999999999999</v>
      </c>
      <c r="H42" s="251">
        <v>7.3959999999999999</v>
      </c>
      <c r="I42" s="251">
        <v>7.3959999999999999</v>
      </c>
      <c r="J42" s="251">
        <v>7.3959999999999999</v>
      </c>
      <c r="K42" s="251">
        <v>7.3959999999999999</v>
      </c>
      <c r="L42" s="251">
        <v>7.3959999999999999</v>
      </c>
      <c r="M42" s="252">
        <v>7.3959999999999999</v>
      </c>
    </row>
    <row r="43" spans="2:13" x14ac:dyDescent="0.35">
      <c r="B43" s="212" t="s">
        <v>96</v>
      </c>
      <c r="C43" s="214">
        <v>3.3000000000000002E-2</v>
      </c>
      <c r="D43" s="214" t="s">
        <v>30</v>
      </c>
      <c r="E43" s="214" t="s">
        <v>30</v>
      </c>
      <c r="F43" s="214">
        <v>1.258</v>
      </c>
      <c r="G43" s="251">
        <v>25.46</v>
      </c>
      <c r="H43" s="251">
        <v>25.46</v>
      </c>
      <c r="I43" s="251">
        <v>25.46</v>
      </c>
      <c r="J43" s="251">
        <v>25.46</v>
      </c>
      <c r="K43" s="251">
        <v>25.46</v>
      </c>
      <c r="L43" s="251">
        <v>25.46</v>
      </c>
      <c r="M43" s="252">
        <v>25.46</v>
      </c>
    </row>
    <row r="44" spans="2:13" x14ac:dyDescent="0.35">
      <c r="B44" s="211" t="s">
        <v>97</v>
      </c>
      <c r="C44" s="215">
        <v>3.052</v>
      </c>
      <c r="D44" s="215">
        <v>20.138000000000002</v>
      </c>
      <c r="E44" s="215">
        <v>12.095000000000001</v>
      </c>
      <c r="F44" s="215">
        <v>34.125999999999998</v>
      </c>
      <c r="G44" s="253">
        <v>77.004000000000005</v>
      </c>
      <c r="H44" s="253">
        <f>SUM(H38:H43)</f>
        <v>81.12128587689719</v>
      </c>
      <c r="I44" s="253">
        <f t="shared" ref="I44:M44" si="4">SUM(I38:I43)</f>
        <v>91.790620701929839</v>
      </c>
      <c r="J44" s="253">
        <f t="shared" si="4"/>
        <v>105.73905010254282</v>
      </c>
      <c r="K44" s="253">
        <f t="shared" si="4"/>
        <v>123.97436523084929</v>
      </c>
      <c r="L44" s="253">
        <f>SUM(L38:L43)</f>
        <v>147.8140899968526</v>
      </c>
      <c r="M44" s="254">
        <f t="shared" si="4"/>
        <v>153.89857539666372</v>
      </c>
    </row>
    <row r="45" spans="2:13" x14ac:dyDescent="0.35">
      <c r="B45" s="212"/>
      <c r="C45" s="212"/>
      <c r="D45" s="212"/>
      <c r="E45" s="212"/>
      <c r="F45" s="212"/>
      <c r="G45" s="255"/>
      <c r="H45" s="255"/>
      <c r="I45" s="255"/>
      <c r="J45" s="255"/>
      <c r="K45" s="255"/>
      <c r="L45" s="255"/>
      <c r="M45" s="256"/>
    </row>
    <row r="46" spans="2:13" x14ac:dyDescent="0.35">
      <c r="B46" s="225" t="s">
        <v>98</v>
      </c>
      <c r="C46" s="226">
        <v>18.265999999999998</v>
      </c>
      <c r="D46" s="226">
        <v>14.987</v>
      </c>
      <c r="E46" s="226">
        <v>28.405000000000001</v>
      </c>
      <c r="F46" s="226">
        <v>9.4489999999999998</v>
      </c>
      <c r="G46" s="262">
        <v>209.28700000000001</v>
      </c>
      <c r="H46" s="262">
        <f>H8</f>
        <v>474.0209395996489</v>
      </c>
      <c r="I46" s="262">
        <f t="shared" ref="I46:M46" si="5">I8</f>
        <v>557.35458780779641</v>
      </c>
      <c r="J46" s="262">
        <f>J8</f>
        <v>665.02392196353173</v>
      </c>
      <c r="K46" s="262">
        <f t="shared" si="5"/>
        <v>804.43657153580875</v>
      </c>
      <c r="L46" s="262">
        <f t="shared" si="5"/>
        <v>985.27486826476297</v>
      </c>
      <c r="M46" s="252">
        <f t="shared" si="5"/>
        <v>990.47033136380219</v>
      </c>
    </row>
    <row r="47" spans="2:13" x14ac:dyDescent="0.35">
      <c r="B47" s="212" t="s">
        <v>99</v>
      </c>
      <c r="C47" s="214" t="s">
        <v>30</v>
      </c>
      <c r="D47" s="214">
        <v>3.3820000000000001</v>
      </c>
      <c r="E47" s="214">
        <v>1.855</v>
      </c>
      <c r="F47" s="214">
        <v>7.82</v>
      </c>
      <c r="G47" s="251">
        <v>6.8230000000000004</v>
      </c>
      <c r="H47" s="251">
        <v>6.8230000000000004</v>
      </c>
      <c r="I47" s="251">
        <v>6.8230000000000004</v>
      </c>
      <c r="J47" s="251">
        <v>6.8230000000000004</v>
      </c>
      <c r="K47" s="251">
        <v>6.8230000000000004</v>
      </c>
      <c r="L47" s="251">
        <v>6.8230000000000004</v>
      </c>
      <c r="M47" s="252">
        <v>6.8230000000000004</v>
      </c>
    </row>
    <row r="48" spans="2:13" x14ac:dyDescent="0.35">
      <c r="B48" s="212" t="s">
        <v>100</v>
      </c>
      <c r="C48" s="214" t="s">
        <v>30</v>
      </c>
      <c r="D48" s="214" t="s">
        <v>30</v>
      </c>
      <c r="E48" s="214" t="s">
        <v>30</v>
      </c>
      <c r="F48" s="214" t="s">
        <v>30</v>
      </c>
      <c r="G48" s="251">
        <v>17.469000000000001</v>
      </c>
      <c r="H48" s="251">
        <v>0</v>
      </c>
      <c r="I48" s="251">
        <v>0</v>
      </c>
      <c r="J48" s="251">
        <v>0</v>
      </c>
      <c r="K48" s="251">
        <v>0</v>
      </c>
      <c r="L48" s="251">
        <v>0</v>
      </c>
      <c r="M48" s="252">
        <v>0</v>
      </c>
    </row>
    <row r="49" spans="2:13" x14ac:dyDescent="0.35">
      <c r="B49" s="212" t="s">
        <v>101</v>
      </c>
      <c r="C49" s="214">
        <v>0.28899999999999998</v>
      </c>
      <c r="D49" s="214">
        <v>0.27600000000000002</v>
      </c>
      <c r="E49" s="214">
        <v>1.409</v>
      </c>
      <c r="F49" s="214">
        <v>4.5659999999999998</v>
      </c>
      <c r="G49" s="251">
        <v>5.0220000000000002</v>
      </c>
      <c r="H49" s="251">
        <v>5.0220000000000002</v>
      </c>
      <c r="I49" s="251">
        <v>5.0220000000000002</v>
      </c>
      <c r="J49" s="251">
        <v>5.0220000000000002</v>
      </c>
      <c r="K49" s="251">
        <v>5.0220000000000002</v>
      </c>
      <c r="L49" s="251">
        <v>5.0220000000000002</v>
      </c>
      <c r="M49" s="252">
        <v>5.0220000000000002</v>
      </c>
    </row>
    <row r="50" spans="2:13" x14ac:dyDescent="0.35">
      <c r="B50" s="211" t="s">
        <v>102</v>
      </c>
      <c r="C50" s="215">
        <v>21.606999999999999</v>
      </c>
      <c r="D50" s="215">
        <v>38.783000000000001</v>
      </c>
      <c r="E50" s="215">
        <v>43.764000000000003</v>
      </c>
      <c r="F50" s="215">
        <v>55.960999999999999</v>
      </c>
      <c r="G50" s="253">
        <v>315.60500000000002</v>
      </c>
      <c r="H50" s="253">
        <f>H61-H59</f>
        <v>566.98722547654609</v>
      </c>
      <c r="I50" s="253">
        <f t="shared" ref="I50:M50" si="6">I61-I59</f>
        <v>660.99020850972624</v>
      </c>
      <c r="J50" s="253">
        <f t="shared" si="6"/>
        <v>782.60797206607458</v>
      </c>
      <c r="K50" s="253">
        <f>K61-K59</f>
        <v>940.25593676665812</v>
      </c>
      <c r="L50" s="253">
        <f>L61-L59</f>
        <v>1144.9339582616155</v>
      </c>
      <c r="M50" s="254">
        <f t="shared" si="6"/>
        <v>1156.213906760466</v>
      </c>
    </row>
    <row r="51" spans="2:13" x14ac:dyDescent="0.35">
      <c r="B51" s="212"/>
      <c r="C51" s="212"/>
      <c r="D51" s="212"/>
      <c r="E51" s="212"/>
      <c r="F51" s="212"/>
      <c r="G51" s="255"/>
      <c r="H51" s="255"/>
      <c r="I51" s="255"/>
      <c r="J51" s="255"/>
      <c r="K51" s="255"/>
      <c r="L51" s="255"/>
      <c r="M51" s="256"/>
    </row>
    <row r="52" spans="2:13" x14ac:dyDescent="0.35">
      <c r="B52" s="212" t="s">
        <v>103</v>
      </c>
      <c r="C52" s="214">
        <v>2.1000000000000001E-2</v>
      </c>
      <c r="D52" s="214">
        <v>2.1000000000000001E-2</v>
      </c>
      <c r="E52" s="214">
        <v>4.3999999999999997E-2</v>
      </c>
      <c r="F52" s="214">
        <v>4.4999999999999998E-2</v>
      </c>
      <c r="G52" s="251">
        <v>5.8999999999999997E-2</v>
      </c>
      <c r="H52" s="251">
        <v>5.8999999999999997E-2</v>
      </c>
      <c r="I52" s="251">
        <v>5.8999999999999997E-2</v>
      </c>
      <c r="J52" s="251">
        <v>5.8999999999999997E-2</v>
      </c>
      <c r="K52" s="251">
        <v>5.8999999999999997E-2</v>
      </c>
      <c r="L52" s="251">
        <v>5.8999999999999997E-2</v>
      </c>
      <c r="M52" s="252">
        <v>5.8999999999999997E-2</v>
      </c>
    </row>
    <row r="53" spans="2:13" x14ac:dyDescent="0.35">
      <c r="B53" s="212" t="s">
        <v>104</v>
      </c>
      <c r="C53" s="214">
        <v>22.788</v>
      </c>
      <c r="D53" s="214">
        <v>22.788</v>
      </c>
      <c r="E53" s="214">
        <v>68.608000000000004</v>
      </c>
      <c r="F53" s="214">
        <v>70.811999999999998</v>
      </c>
      <c r="G53" s="251">
        <v>173.90799999999999</v>
      </c>
      <c r="H53" s="251">
        <v>173.90799999999999</v>
      </c>
      <c r="I53" s="251">
        <v>173.90799999999999</v>
      </c>
      <c r="J53" s="251">
        <v>173.90799999999999</v>
      </c>
      <c r="K53" s="251">
        <v>173.90799999999999</v>
      </c>
      <c r="L53" s="251">
        <v>173.90799999999999</v>
      </c>
      <c r="M53" s="252">
        <v>173.90799999999999</v>
      </c>
    </row>
    <row r="54" spans="2:13" x14ac:dyDescent="0.35">
      <c r="B54" s="212" t="s">
        <v>105</v>
      </c>
      <c r="C54" s="214">
        <v>-35.9</v>
      </c>
      <c r="D54" s="214">
        <v>-39.9</v>
      </c>
      <c r="E54" s="214">
        <v>-33.299999999999997</v>
      </c>
      <c r="F54" s="214">
        <v>-28.7</v>
      </c>
      <c r="G54" s="251">
        <v>-47.7</v>
      </c>
      <c r="H54" s="251">
        <f>G54+'IS Pro Forma'!H51</f>
        <v>-34.233321226641962</v>
      </c>
      <c r="I54" s="251">
        <f>H54+'IS Pro Forma'!I51</f>
        <v>-15.422301003361181</v>
      </c>
      <c r="J54" s="251">
        <f>I54+'IS Pro Forma'!J51</f>
        <v>10.44599578318083</v>
      </c>
      <c r="K54" s="251">
        <f>J54+'IS Pro Forma'!K51</f>
        <v>45.612197476617368</v>
      </c>
      <c r="L54" s="251">
        <f>K54+'IS Pro Forma'!L51</f>
        <v>93.007508714171649</v>
      </c>
      <c r="M54" s="252">
        <f>L54+'IS Pro Forma'!M51</f>
        <v>146.06288823386836</v>
      </c>
    </row>
    <row r="55" spans="2:13" x14ac:dyDescent="0.35">
      <c r="B55" s="212" t="s">
        <v>106</v>
      </c>
      <c r="C55" s="214" t="s">
        <v>30</v>
      </c>
      <c r="D55" s="214" t="s">
        <v>30</v>
      </c>
      <c r="E55" s="214" t="s">
        <v>30</v>
      </c>
      <c r="F55" s="214" t="s">
        <v>30</v>
      </c>
      <c r="G55" s="251" t="s">
        <v>30</v>
      </c>
      <c r="H55" s="251" t="s">
        <v>30</v>
      </c>
      <c r="I55" s="251" t="s">
        <v>30</v>
      </c>
      <c r="J55" s="251" t="s">
        <v>30</v>
      </c>
      <c r="K55" s="251" t="s">
        <v>30</v>
      </c>
      <c r="L55" s="251" t="s">
        <v>30</v>
      </c>
      <c r="M55" s="252" t="s">
        <v>30</v>
      </c>
    </row>
    <row r="56" spans="2:13" x14ac:dyDescent="0.35">
      <c r="B56" s="212" t="s">
        <v>107</v>
      </c>
      <c r="C56" s="214">
        <v>10.824999999999999</v>
      </c>
      <c r="D56" s="214">
        <v>11.44</v>
      </c>
      <c r="E56" s="214">
        <v>15.512</v>
      </c>
      <c r="F56" s="214">
        <v>17.628</v>
      </c>
      <c r="G56" s="251">
        <v>19.027999999999999</v>
      </c>
      <c r="H56" s="251">
        <v>19.027999999999999</v>
      </c>
      <c r="I56" s="251">
        <v>19.027999999999999</v>
      </c>
      <c r="J56" s="251">
        <v>19.027999999999999</v>
      </c>
      <c r="K56" s="251">
        <v>19.027999999999999</v>
      </c>
      <c r="L56" s="251">
        <v>19.027999999999999</v>
      </c>
      <c r="M56" s="252">
        <v>19.027999999999999</v>
      </c>
    </row>
    <row r="57" spans="2:13" x14ac:dyDescent="0.35">
      <c r="B57" s="211" t="s">
        <v>108</v>
      </c>
      <c r="C57" s="215">
        <v>-2.2000000000000002</v>
      </c>
      <c r="D57" s="215">
        <v>-5.6</v>
      </c>
      <c r="E57" s="215">
        <v>50.820999999999998</v>
      </c>
      <c r="F57" s="215">
        <v>59.793999999999997</v>
      </c>
      <c r="G57" s="253">
        <v>145.339</v>
      </c>
      <c r="H57" s="253">
        <f>SUM(H52:H56)</f>
        <v>158.761678773358</v>
      </c>
      <c r="I57" s="253">
        <f t="shared" ref="I57:M57" si="7">SUM(I52:I56)</f>
        <v>177.57269899663879</v>
      </c>
      <c r="J57" s="253">
        <f>SUM(J52:J56)</f>
        <v>203.4409957831808</v>
      </c>
      <c r="K57" s="253">
        <f t="shared" si="7"/>
        <v>238.60719747661736</v>
      </c>
      <c r="L57" s="253">
        <f t="shared" si="7"/>
        <v>286.00250871417165</v>
      </c>
      <c r="M57" s="254">
        <f t="shared" si="7"/>
        <v>339.05788823386837</v>
      </c>
    </row>
    <row r="58" spans="2:13" x14ac:dyDescent="0.35">
      <c r="B58" s="212"/>
      <c r="C58" s="212"/>
      <c r="D58" s="212"/>
      <c r="E58" s="212"/>
      <c r="F58" s="212"/>
      <c r="G58" s="255"/>
      <c r="H58" s="255"/>
      <c r="I58" s="255"/>
      <c r="J58" s="255"/>
      <c r="K58" s="255"/>
      <c r="L58" s="255"/>
      <c r="M58" s="256"/>
    </row>
    <row r="59" spans="2:13" x14ac:dyDescent="0.35">
      <c r="B59" s="211" t="s">
        <v>109</v>
      </c>
      <c r="C59" s="227">
        <v>-2.2000000000000002</v>
      </c>
      <c r="D59" s="227">
        <v>-5.6</v>
      </c>
      <c r="E59" s="227">
        <v>50.820999999999998</v>
      </c>
      <c r="F59" s="227">
        <v>59.793999999999997</v>
      </c>
      <c r="G59" s="263">
        <v>145.339</v>
      </c>
      <c r="H59" s="263">
        <f>H57</f>
        <v>158.761678773358</v>
      </c>
      <c r="I59" s="263">
        <f t="shared" ref="I59:M59" si="8">I57</f>
        <v>177.57269899663879</v>
      </c>
      <c r="J59" s="263">
        <f t="shared" si="8"/>
        <v>203.4409957831808</v>
      </c>
      <c r="K59" s="263">
        <f t="shared" si="8"/>
        <v>238.60719747661736</v>
      </c>
      <c r="L59" s="263">
        <f t="shared" si="8"/>
        <v>286.00250871417165</v>
      </c>
      <c r="M59" s="264">
        <f t="shared" si="8"/>
        <v>339.05788823386837</v>
      </c>
    </row>
    <row r="60" spans="2:13" x14ac:dyDescent="0.35">
      <c r="B60" s="212"/>
      <c r="C60" s="212"/>
      <c r="D60" s="212"/>
      <c r="E60" s="212"/>
      <c r="F60" s="212"/>
      <c r="G60" s="255"/>
      <c r="H60" s="255"/>
      <c r="I60" s="255"/>
      <c r="J60" s="255"/>
      <c r="K60" s="255"/>
      <c r="L60" s="255"/>
      <c r="M60" s="256"/>
    </row>
    <row r="61" spans="2:13" x14ac:dyDescent="0.35">
      <c r="B61" s="232" t="s">
        <v>110</v>
      </c>
      <c r="C61" s="234">
        <v>19.361999999999998</v>
      </c>
      <c r="D61" s="234">
        <v>33.174999999999997</v>
      </c>
      <c r="E61" s="234">
        <v>94.584999999999994</v>
      </c>
      <c r="F61" s="234">
        <v>115.755</v>
      </c>
      <c r="G61" s="265">
        <v>460.94400000000002</v>
      </c>
      <c r="H61" s="265">
        <f>H35</f>
        <v>725.74890424990406</v>
      </c>
      <c r="I61" s="265">
        <f t="shared" ref="I61:L61" si="9">I35</f>
        <v>838.56290750636504</v>
      </c>
      <c r="J61" s="265">
        <f t="shared" si="9"/>
        <v>986.0489678492554</v>
      </c>
      <c r="K61" s="265">
        <f t="shared" si="9"/>
        <v>1178.8631342432755</v>
      </c>
      <c r="L61" s="265">
        <f t="shared" si="9"/>
        <v>1430.9364669757872</v>
      </c>
      <c r="M61" s="266">
        <f t="shared" ref="M61" si="10">M35</f>
        <v>1495.2717949943344</v>
      </c>
    </row>
    <row r="62" spans="2:13" x14ac:dyDescent="0.35">
      <c r="B62" s="212"/>
      <c r="C62" s="212"/>
      <c r="D62" s="212"/>
      <c r="E62" s="212"/>
      <c r="F62" s="212"/>
      <c r="G62" s="212"/>
      <c r="H62" s="212"/>
      <c r="I62" s="212"/>
      <c r="J62" s="212"/>
      <c r="K62" s="212"/>
      <c r="L62" s="212"/>
      <c r="M62" s="212"/>
    </row>
    <row r="63" spans="2:13" x14ac:dyDescent="0.35">
      <c r="B63" s="211" t="s">
        <v>111</v>
      </c>
      <c r="C63" s="212"/>
      <c r="D63" s="212"/>
      <c r="E63" s="212"/>
      <c r="F63" s="212"/>
      <c r="G63" s="212"/>
      <c r="H63" s="212"/>
      <c r="I63" s="212"/>
      <c r="J63" s="212"/>
      <c r="K63" s="212"/>
      <c r="L63" s="212"/>
      <c r="M63" s="212"/>
    </row>
    <row r="64" spans="2:13" x14ac:dyDescent="0.35">
      <c r="B64" s="212" t="s">
        <v>112</v>
      </c>
      <c r="C64" s="214">
        <v>21.983757000000001</v>
      </c>
      <c r="D64" s="214">
        <v>21.993027999999999</v>
      </c>
      <c r="E64" s="214">
        <v>24.983854999999998</v>
      </c>
      <c r="F64" s="214">
        <v>25.593433999999998</v>
      </c>
      <c r="G64" s="214">
        <v>34.142901999999999</v>
      </c>
      <c r="H64" s="214"/>
      <c r="I64" s="214"/>
      <c r="J64" s="214"/>
      <c r="K64" s="214"/>
      <c r="L64" s="214"/>
      <c r="M64" s="214"/>
    </row>
    <row r="65" spans="2:13" x14ac:dyDescent="0.35">
      <c r="B65" s="212" t="s">
        <v>114</v>
      </c>
      <c r="C65" s="214">
        <v>21.983757000000001</v>
      </c>
      <c r="D65" s="214">
        <v>21.993027999999999</v>
      </c>
      <c r="E65" s="214">
        <v>24.983854999999998</v>
      </c>
      <c r="F65" s="214">
        <v>25.565094999999999</v>
      </c>
      <c r="G65" s="214">
        <v>33.482447000000001</v>
      </c>
      <c r="H65" s="214"/>
      <c r="I65" s="214"/>
      <c r="J65" s="214"/>
      <c r="K65" s="214"/>
      <c r="L65" s="214"/>
      <c r="M65" s="214"/>
    </row>
    <row r="66" spans="2:13" x14ac:dyDescent="0.35">
      <c r="B66" s="212" t="s">
        <v>115</v>
      </c>
      <c r="C66" s="228">
        <v>-0.1</v>
      </c>
      <c r="D66" s="228">
        <v>-0.25</v>
      </c>
      <c r="E66" s="228">
        <v>2.0299999999999998</v>
      </c>
      <c r="F66" s="228">
        <v>2.34</v>
      </c>
      <c r="G66" s="228">
        <v>4.34</v>
      </c>
      <c r="H66" s="228"/>
      <c r="I66" s="228"/>
      <c r="J66" s="228"/>
      <c r="K66" s="228"/>
      <c r="L66" s="228"/>
      <c r="M66" s="228"/>
    </row>
    <row r="67" spans="2:13" x14ac:dyDescent="0.35">
      <c r="B67" s="212" t="s">
        <v>116</v>
      </c>
      <c r="C67" s="214">
        <v>-13</v>
      </c>
      <c r="D67" s="214">
        <v>-20</v>
      </c>
      <c r="E67" s="214">
        <v>32.985999999999997</v>
      </c>
      <c r="F67" s="214">
        <v>37.44</v>
      </c>
      <c r="G67" s="214">
        <v>-201.9</v>
      </c>
      <c r="H67" s="214"/>
      <c r="I67" s="214"/>
      <c r="J67" s="214"/>
      <c r="K67" s="214"/>
      <c r="L67" s="214"/>
      <c r="M67" s="214"/>
    </row>
    <row r="68" spans="2:13" x14ac:dyDescent="0.35">
      <c r="B68" s="212" t="s">
        <v>117</v>
      </c>
      <c r="C68" s="228">
        <v>-0.59</v>
      </c>
      <c r="D68" s="228">
        <v>-0.91</v>
      </c>
      <c r="E68" s="228">
        <v>1.32</v>
      </c>
      <c r="F68" s="228">
        <v>1.46</v>
      </c>
      <c r="G68" s="228">
        <v>-6.03</v>
      </c>
      <c r="H68" s="228"/>
      <c r="I68" s="228"/>
      <c r="J68" s="228"/>
      <c r="K68" s="228"/>
      <c r="L68" s="228"/>
      <c r="M68" s="228"/>
    </row>
    <row r="69" spans="2:13" x14ac:dyDescent="0.35">
      <c r="B69" s="212" t="s">
        <v>118</v>
      </c>
      <c r="C69" s="214">
        <v>18.265999999999998</v>
      </c>
      <c r="D69" s="214">
        <v>34.069000000000003</v>
      </c>
      <c r="E69" s="214">
        <v>33.883000000000003</v>
      </c>
      <c r="F69" s="214">
        <v>39.124000000000002</v>
      </c>
      <c r="G69" s="214">
        <v>217.26</v>
      </c>
      <c r="H69" s="214"/>
      <c r="I69" s="214"/>
      <c r="J69" s="214"/>
      <c r="K69" s="214"/>
      <c r="L69" s="214"/>
      <c r="M69" s="214"/>
    </row>
    <row r="70" spans="2:13" x14ac:dyDescent="0.35">
      <c r="B70" s="212" t="s">
        <v>119</v>
      </c>
      <c r="C70" s="214">
        <v>15.032</v>
      </c>
      <c r="D70" s="214">
        <v>28.053000000000001</v>
      </c>
      <c r="E70" s="214">
        <v>-25.9</v>
      </c>
      <c r="F70" s="214">
        <v>-27</v>
      </c>
      <c r="G70" s="214">
        <v>176.08099999999999</v>
      </c>
      <c r="H70" s="214"/>
      <c r="I70" s="214"/>
      <c r="J70" s="214"/>
      <c r="K70" s="214"/>
      <c r="L70" s="214"/>
      <c r="M70" s="214"/>
    </row>
    <row r="71" spans="2:13" x14ac:dyDescent="0.35">
      <c r="B71" s="212" t="s">
        <v>120</v>
      </c>
      <c r="C71" s="214">
        <v>0.28899999999999998</v>
      </c>
      <c r="D71" s="214">
        <v>0.27600000000000002</v>
      </c>
      <c r="E71" s="214">
        <v>0.38400000000000001</v>
      </c>
      <c r="F71" s="214">
        <v>0.28599999999999998</v>
      </c>
      <c r="G71" s="214">
        <v>1.0329999999999999</v>
      </c>
      <c r="H71" s="214"/>
      <c r="I71" s="214"/>
      <c r="J71" s="214"/>
      <c r="K71" s="214"/>
      <c r="L71" s="214"/>
      <c r="M71" s="214"/>
    </row>
    <row r="72" spans="2:13" x14ac:dyDescent="0.35">
      <c r="B72" s="212" t="s">
        <v>121</v>
      </c>
      <c r="C72" s="214">
        <v>8.2880000000000003</v>
      </c>
      <c r="D72" s="214">
        <v>0.76800000000000002</v>
      </c>
      <c r="E72" s="214">
        <v>2.6240000000000001</v>
      </c>
      <c r="F72" s="214">
        <v>3.6320000000000001</v>
      </c>
      <c r="G72" s="214">
        <v>8.68</v>
      </c>
      <c r="H72" s="214"/>
      <c r="I72" s="214"/>
      <c r="J72" s="214"/>
      <c r="K72" s="214"/>
      <c r="L72" s="214"/>
      <c r="M72" s="214"/>
    </row>
    <row r="73" spans="2:13" x14ac:dyDescent="0.35">
      <c r="B73" s="212" t="s">
        <v>122</v>
      </c>
      <c r="C73" s="214">
        <v>0.313</v>
      </c>
      <c r="D73" s="214">
        <v>0.60299999999999998</v>
      </c>
      <c r="E73" s="214" t="s">
        <v>113</v>
      </c>
      <c r="F73" s="214" t="s">
        <v>113</v>
      </c>
      <c r="G73" s="214">
        <v>4.7699999999999996</v>
      </c>
      <c r="H73" s="214"/>
      <c r="I73" s="214"/>
      <c r="J73" s="214"/>
      <c r="K73" s="214"/>
      <c r="L73" s="214"/>
      <c r="M73" s="214"/>
    </row>
    <row r="74" spans="2:13" x14ac:dyDescent="0.35">
      <c r="B74" s="212" t="s">
        <v>123</v>
      </c>
      <c r="C74" s="229" t="s">
        <v>113</v>
      </c>
      <c r="D74" s="229" t="s">
        <v>113</v>
      </c>
      <c r="E74" s="229" t="s">
        <v>113</v>
      </c>
      <c r="F74" s="229" t="s">
        <v>113</v>
      </c>
      <c r="G74" s="229" t="s">
        <v>113</v>
      </c>
      <c r="H74" s="229"/>
      <c r="I74" s="229"/>
      <c r="J74" s="229"/>
      <c r="K74" s="229"/>
      <c r="L74" s="229"/>
      <c r="M74" s="229"/>
    </row>
    <row r="75" spans="2:13" x14ac:dyDescent="0.35">
      <c r="B75" s="212" t="s">
        <v>124</v>
      </c>
      <c r="C75" s="214">
        <v>1.651</v>
      </c>
      <c r="D75" s="214">
        <v>2.3639999999999999</v>
      </c>
      <c r="E75" s="214">
        <v>3.101</v>
      </c>
      <c r="F75" s="214" t="s">
        <v>113</v>
      </c>
      <c r="G75" s="214">
        <v>5.6260000000000003</v>
      </c>
      <c r="H75" s="214"/>
      <c r="I75" s="214"/>
      <c r="J75" s="214"/>
      <c r="K75" s="214"/>
      <c r="L75" s="214"/>
      <c r="M75" s="214"/>
    </row>
    <row r="76" spans="2:13" x14ac:dyDescent="0.35">
      <c r="B76" s="212" t="s">
        <v>125</v>
      </c>
      <c r="C76" s="214">
        <v>0.157</v>
      </c>
      <c r="D76" s="214">
        <v>0.2</v>
      </c>
      <c r="E76" s="214">
        <v>0.39100000000000001</v>
      </c>
      <c r="F76" s="214" t="s">
        <v>30</v>
      </c>
      <c r="G76" s="214">
        <v>1.835</v>
      </c>
      <c r="H76" s="214"/>
      <c r="I76" s="214"/>
      <c r="J76" s="214"/>
      <c r="K76" s="214"/>
      <c r="L76" s="214"/>
      <c r="M76" s="214"/>
    </row>
    <row r="77" spans="2:13" x14ac:dyDescent="0.35">
      <c r="B77" s="212" t="s">
        <v>126</v>
      </c>
      <c r="C77" s="230" t="s">
        <v>113</v>
      </c>
      <c r="D77" s="230">
        <v>144</v>
      </c>
      <c r="E77" s="230">
        <v>153</v>
      </c>
      <c r="F77" s="230">
        <v>156</v>
      </c>
      <c r="G77" s="230">
        <v>695</v>
      </c>
      <c r="H77" s="230"/>
      <c r="I77" s="230"/>
      <c r="J77" s="230"/>
      <c r="K77" s="230"/>
      <c r="L77" s="230"/>
      <c r="M77" s="230"/>
    </row>
    <row r="78" spans="2:13" x14ac:dyDescent="0.35">
      <c r="B78" s="212" t="s">
        <v>127</v>
      </c>
      <c r="C78" s="231">
        <v>44302</v>
      </c>
      <c r="D78" s="231">
        <v>44665</v>
      </c>
      <c r="E78" s="231">
        <v>45044</v>
      </c>
      <c r="F78" s="231">
        <v>45044</v>
      </c>
      <c r="G78" s="231">
        <v>45044</v>
      </c>
      <c r="H78" s="231"/>
      <c r="I78" s="231"/>
      <c r="J78" s="231"/>
      <c r="K78" s="231"/>
      <c r="L78" s="231"/>
      <c r="M78" s="231"/>
    </row>
    <row r="79" spans="2:13" x14ac:dyDescent="0.35">
      <c r="B79" s="212" t="s">
        <v>128</v>
      </c>
      <c r="C79" s="229" t="s">
        <v>129</v>
      </c>
      <c r="D79" s="229" t="s">
        <v>129</v>
      </c>
      <c r="E79" s="229" t="s">
        <v>129</v>
      </c>
      <c r="F79" s="229" t="s">
        <v>129</v>
      </c>
      <c r="G79" s="229" t="s">
        <v>131</v>
      </c>
      <c r="H79" s="229"/>
      <c r="I79" s="229"/>
      <c r="J79" s="229"/>
      <c r="K79" s="229"/>
      <c r="L79" s="229"/>
      <c r="M79" s="229"/>
    </row>
    <row r="80" spans="2:13" x14ac:dyDescent="0.35">
      <c r="B80" s="212" t="s">
        <v>132</v>
      </c>
      <c r="C80" s="229" t="s">
        <v>133</v>
      </c>
      <c r="D80" s="229" t="s">
        <v>133</v>
      </c>
      <c r="E80" s="229" t="s">
        <v>133</v>
      </c>
      <c r="F80" s="229" t="s">
        <v>134</v>
      </c>
      <c r="G80" s="229" t="s">
        <v>134</v>
      </c>
      <c r="H80" s="229"/>
      <c r="I80" s="229"/>
      <c r="J80" s="229"/>
      <c r="K80" s="229"/>
      <c r="L80" s="229"/>
      <c r="M80" s="229"/>
    </row>
  </sheetData>
  <hyperlinks>
    <hyperlink ref="N10" r:id="rId1" display="https://investinisrael.gov.il/BusinessInIsrael/Pages/Taxation.aspx" xr:uid="{0BF7949A-179F-4051-82F7-E7D6D5C39CA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A745-95DC-44FA-99DF-2F7845840AF9}">
  <sheetPr>
    <tabColor theme="4"/>
  </sheetPr>
  <dimension ref="B1:Z246"/>
  <sheetViews>
    <sheetView showGridLines="0" topLeftCell="A58" zoomScale="65" workbookViewId="0">
      <selection activeCell="I18" sqref="I18"/>
    </sheetView>
  </sheetViews>
  <sheetFormatPr defaultRowHeight="14.5" x14ac:dyDescent="0.35"/>
  <cols>
    <col min="2" max="2" width="8.453125" bestFit="1" customWidth="1"/>
    <col min="3" max="3" width="6.54296875" bestFit="1" customWidth="1"/>
    <col min="12" max="12" width="6.90625" bestFit="1" customWidth="1"/>
    <col min="13" max="13" width="13.08984375" bestFit="1" customWidth="1"/>
    <col min="14" max="14" width="16.08984375" bestFit="1" customWidth="1"/>
    <col min="15" max="15" width="9.1796875" bestFit="1" customWidth="1"/>
    <col min="16" max="16" width="14.54296875" bestFit="1" customWidth="1"/>
    <col min="17" max="17" width="13.1796875" customWidth="1"/>
    <col min="18" max="18" width="17.81640625" bestFit="1" customWidth="1"/>
    <col min="19" max="19" width="12.26953125" bestFit="1" customWidth="1"/>
    <col min="20" max="20" width="13.7265625" bestFit="1" customWidth="1"/>
    <col min="21" max="22" width="12.26953125" bestFit="1" customWidth="1"/>
    <col min="23" max="23" width="12.90625" bestFit="1" customWidth="1"/>
    <col min="24" max="24" width="12.26953125" bestFit="1" customWidth="1"/>
    <col min="25" max="25" width="12.90625" bestFit="1" customWidth="1"/>
    <col min="26" max="26" width="12.36328125" bestFit="1" customWidth="1"/>
  </cols>
  <sheetData>
    <row r="1" spans="2:26" ht="15" thickBot="1" x14ac:dyDescent="0.4">
      <c r="L1" s="273" t="s">
        <v>526</v>
      </c>
      <c r="M1" s="274"/>
      <c r="N1" s="274"/>
      <c r="O1" s="274"/>
      <c r="P1" s="275"/>
    </row>
    <row r="2" spans="2:26" ht="14.5" customHeight="1" thickBot="1" x14ac:dyDescent="0.4">
      <c r="B2" s="271" t="s">
        <v>163</v>
      </c>
      <c r="C2" s="272"/>
      <c r="E2" s="164"/>
      <c r="F2" s="164"/>
      <c r="G2" s="164"/>
      <c r="H2" s="164"/>
      <c r="I2" s="164"/>
      <c r="L2" s="171" t="s">
        <v>521</v>
      </c>
      <c r="M2" s="173" t="s">
        <v>522</v>
      </c>
      <c r="N2" s="173" t="s">
        <v>523</v>
      </c>
      <c r="O2" s="173" t="s">
        <v>524</v>
      </c>
      <c r="P2" s="173" t="s">
        <v>525</v>
      </c>
    </row>
    <row r="3" spans="2:26" ht="15" thickBot="1" x14ac:dyDescent="0.4">
      <c r="B3" s="65"/>
      <c r="C3" s="66"/>
      <c r="E3" s="164"/>
      <c r="F3" s="164"/>
      <c r="G3" s="164"/>
      <c r="H3" s="164"/>
      <c r="I3" s="164"/>
      <c r="L3" s="170">
        <v>44704</v>
      </c>
      <c r="M3" s="172">
        <v>3973.75</v>
      </c>
      <c r="N3" s="172">
        <f>VLOOKUP(L3,[1]NGMS!$A$2:$B$245,2,FALSE)</f>
        <v>12.62</v>
      </c>
      <c r="O3" s="172"/>
      <c r="P3" s="174"/>
      <c r="R3" s="189" t="s">
        <v>538</v>
      </c>
      <c r="S3" s="190"/>
      <c r="T3" s="190"/>
      <c r="U3" s="190"/>
      <c r="V3" s="190"/>
      <c r="W3" s="190"/>
      <c r="X3" s="190"/>
      <c r="Y3" s="190"/>
      <c r="Z3" s="191"/>
    </row>
    <row r="4" spans="2:26" ht="15" thickBot="1" x14ac:dyDescent="0.4">
      <c r="B4" s="65" t="s">
        <v>164</v>
      </c>
      <c r="C4" s="67">
        <f>'Historical Capitalization'!F21/('Historical Capitalization'!F21+'Historical Capitalization'!F23)</f>
        <v>0.67883847605111036</v>
      </c>
      <c r="E4" s="164"/>
      <c r="F4" s="164"/>
      <c r="G4" s="164"/>
      <c r="H4" s="164"/>
      <c r="I4" s="164"/>
      <c r="L4" s="165">
        <v>44705</v>
      </c>
      <c r="M4" s="163">
        <v>3941.48</v>
      </c>
      <c r="N4" s="163">
        <f>VLOOKUP(L4,[1]NGMS!$A$2:$B$245,2,FALSE)</f>
        <v>11.8</v>
      </c>
      <c r="O4" s="163">
        <f>(M4-M3)/M3</f>
        <v>-8.1207927021075769E-3</v>
      </c>
      <c r="P4" s="166">
        <f>(N4-N3)/N3</f>
        <v>-6.4976228209191647E-2</v>
      </c>
      <c r="R4" s="2"/>
      <c r="Z4" s="192"/>
    </row>
    <row r="5" spans="2:26" ht="15" thickBot="1" x14ac:dyDescent="0.4">
      <c r="B5" s="65" t="s">
        <v>165</v>
      </c>
      <c r="C5" s="67">
        <f>1-C4</f>
        <v>0.32116152394888964</v>
      </c>
      <c r="E5" s="164"/>
      <c r="F5" s="164"/>
      <c r="G5" s="164"/>
      <c r="H5" s="164"/>
      <c r="I5" s="164"/>
      <c r="L5" s="165">
        <v>44706</v>
      </c>
      <c r="M5" s="163">
        <v>3978.73</v>
      </c>
      <c r="N5" s="163">
        <f>VLOOKUP(L5,[1]NGMS!$A$2:$B$245,2,FALSE)</f>
        <v>12.62</v>
      </c>
      <c r="O5" s="163">
        <f t="shared" ref="O5:P68" si="0">(M5-M4)/M4</f>
        <v>9.450764687376316E-3</v>
      </c>
      <c r="P5" s="166">
        <f>(N5-N4)/N4</f>
        <v>6.9491525423728689E-2</v>
      </c>
      <c r="R5" s="193" t="s">
        <v>539</v>
      </c>
      <c r="S5" s="188"/>
      <c r="Z5" s="192"/>
    </row>
    <row r="6" spans="2:26" ht="15" thickBot="1" x14ac:dyDescent="0.4">
      <c r="B6" s="65" t="s">
        <v>166</v>
      </c>
      <c r="C6" s="67">
        <f>C15</f>
        <v>0.11987999999999999</v>
      </c>
      <c r="E6" s="164"/>
      <c r="F6" s="164"/>
      <c r="G6" s="164"/>
      <c r="H6" s="164"/>
      <c r="I6" s="164"/>
      <c r="L6" s="165">
        <v>44707</v>
      </c>
      <c r="M6" s="163">
        <v>4057.84</v>
      </c>
      <c r="N6" s="163">
        <f>VLOOKUP(L6,[1]NGMS!$A$2:$B$245,2,FALSE)</f>
        <v>13.16</v>
      </c>
      <c r="O6" s="163">
        <f t="shared" si="0"/>
        <v>1.9883229070582858E-2</v>
      </c>
      <c r="P6" s="166">
        <f>(N6-N5)/N5</f>
        <v>4.2789223454833672E-2</v>
      </c>
      <c r="R6" s="2" t="s">
        <v>540</v>
      </c>
      <c r="S6">
        <v>0.48030813887745255</v>
      </c>
      <c r="Z6" s="192"/>
    </row>
    <row r="7" spans="2:26" ht="15" thickBot="1" x14ac:dyDescent="0.4">
      <c r="B7" s="65" t="s">
        <v>167</v>
      </c>
      <c r="C7" s="67">
        <v>0.08</v>
      </c>
      <c r="E7" s="164"/>
      <c r="F7" s="164"/>
      <c r="G7" s="164"/>
      <c r="H7" s="164"/>
      <c r="I7" s="164"/>
      <c r="L7" s="165">
        <v>44708</v>
      </c>
      <c r="M7" s="163">
        <v>4158.24</v>
      </c>
      <c r="N7" s="163">
        <f>VLOOKUP(L7,[1]NGMS!$A$2:$B$245,2,FALSE)</f>
        <v>13.43</v>
      </c>
      <c r="O7" s="163">
        <f t="shared" si="0"/>
        <v>2.4742227391912848E-2</v>
      </c>
      <c r="P7" s="166">
        <f t="shared" si="0"/>
        <v>2.0516717325227932E-2</v>
      </c>
      <c r="R7" s="2" t="s">
        <v>541</v>
      </c>
      <c r="S7">
        <v>0.23069590827192224</v>
      </c>
      <c r="Z7" s="192"/>
    </row>
    <row r="8" spans="2:26" ht="15" thickBot="1" x14ac:dyDescent="0.4">
      <c r="B8" s="65" t="s">
        <v>168</v>
      </c>
      <c r="C8" s="68">
        <v>0.23</v>
      </c>
      <c r="E8" s="164"/>
      <c r="F8" s="164"/>
      <c r="G8" s="164"/>
      <c r="H8" s="164"/>
      <c r="I8" s="164"/>
      <c r="L8" s="165">
        <v>44712</v>
      </c>
      <c r="M8" s="163">
        <v>4132.1499999999996</v>
      </c>
      <c r="N8" s="163">
        <f>VLOOKUP(L8,[1]NGMS!$A$2:$B$245,2,FALSE)</f>
        <v>13.13</v>
      </c>
      <c r="O8" s="163">
        <f t="shared" si="0"/>
        <v>-6.2742891223210176E-3</v>
      </c>
      <c r="P8" s="166">
        <f t="shared" si="0"/>
        <v>-2.2338049143708037E-2</v>
      </c>
      <c r="R8" s="2" t="s">
        <v>542</v>
      </c>
      <c r="S8">
        <v>0.2275037751112248</v>
      </c>
      <c r="Z8" s="192"/>
    </row>
    <row r="9" spans="2:26" ht="15" thickBot="1" x14ac:dyDescent="0.4">
      <c r="B9" s="69" t="s">
        <v>163</v>
      </c>
      <c r="C9" s="70">
        <f>C4*C6+C5*C7*(1-C8)</f>
        <v>0.1011627063842587</v>
      </c>
      <c r="E9" s="164"/>
      <c r="F9" s="164"/>
      <c r="G9" s="164"/>
      <c r="H9" s="164"/>
      <c r="I9" s="164"/>
      <c r="L9" s="165">
        <v>44713</v>
      </c>
      <c r="M9" s="163">
        <v>4101.2299999999996</v>
      </c>
      <c r="N9" s="163">
        <f>VLOOKUP(L9,[1]NGMS!$A$2:$B$245,2,FALSE)</f>
        <v>13.88</v>
      </c>
      <c r="O9" s="163">
        <f t="shared" si="0"/>
        <v>-7.482787410912013E-3</v>
      </c>
      <c r="P9" s="166">
        <f t="shared" si="0"/>
        <v>5.7121096725057115E-2</v>
      </c>
      <c r="R9" s="2" t="s">
        <v>543</v>
      </c>
      <c r="S9">
        <v>3.6668948177933168E-2</v>
      </c>
      <c r="Z9" s="192"/>
    </row>
    <row r="10" spans="2:26" ht="15" thickBot="1" x14ac:dyDescent="0.4">
      <c r="B10" s="35"/>
      <c r="C10" s="35"/>
      <c r="L10" s="165">
        <v>44714</v>
      </c>
      <c r="M10" s="163">
        <v>4176.82</v>
      </c>
      <c r="N10" s="163">
        <f>VLOOKUP(L10,[1]NGMS!$A$2:$B$245,2,FALSE)</f>
        <v>14.31</v>
      </c>
      <c r="O10" s="163">
        <f t="shared" si="0"/>
        <v>1.8431056049038986E-2</v>
      </c>
      <c r="P10" s="166">
        <f t="shared" si="0"/>
        <v>3.0979827089337154E-2</v>
      </c>
      <c r="R10" s="194" t="s">
        <v>544</v>
      </c>
      <c r="S10" s="186">
        <v>243</v>
      </c>
      <c r="Z10" s="192"/>
    </row>
    <row r="11" spans="2:26" ht="15" thickBot="1" x14ac:dyDescent="0.4">
      <c r="B11" s="271" t="s">
        <v>169</v>
      </c>
      <c r="C11" s="272"/>
      <c r="L11" s="165">
        <v>44715</v>
      </c>
      <c r="M11" s="163">
        <v>4108.54</v>
      </c>
      <c r="N11" s="163">
        <f>VLOOKUP(L11,[1]NGMS!$A$2:$B$245,2,FALSE)</f>
        <v>13.62</v>
      </c>
      <c r="O11" s="163">
        <f t="shared" si="0"/>
        <v>-1.6347364741597616E-2</v>
      </c>
      <c r="P11" s="166">
        <f t="shared" si="0"/>
        <v>-4.8218029350104913E-2</v>
      </c>
      <c r="R11" s="2"/>
      <c r="Z11" s="192"/>
    </row>
    <row r="12" spans="2:26" ht="15" thickBot="1" x14ac:dyDescent="0.4">
      <c r="B12" s="65" t="s">
        <v>170</v>
      </c>
      <c r="C12" s="185">
        <v>1.48</v>
      </c>
      <c r="L12" s="165">
        <v>44718</v>
      </c>
      <c r="M12" s="163">
        <v>4121.43</v>
      </c>
      <c r="N12" s="163">
        <f>VLOOKUP(L12,[1]NGMS!$A$2:$B$245,2,FALSE)</f>
        <v>13.95</v>
      </c>
      <c r="O12" s="163">
        <f t="shared" si="0"/>
        <v>3.1373675320187531E-3</v>
      </c>
      <c r="P12" s="166">
        <f t="shared" si="0"/>
        <v>2.4229074889867849E-2</v>
      </c>
      <c r="R12" s="2" t="s">
        <v>545</v>
      </c>
      <c r="Z12" s="192"/>
    </row>
    <row r="13" spans="2:26" ht="15" thickBot="1" x14ac:dyDescent="0.4">
      <c r="B13" s="65" t="s">
        <v>171</v>
      </c>
      <c r="C13" s="68">
        <v>3.6999999999999998E-2</v>
      </c>
      <c r="L13" s="165">
        <v>44719</v>
      </c>
      <c r="M13" s="163">
        <v>4160.68</v>
      </c>
      <c r="N13" s="163">
        <f>VLOOKUP(L13,[1]NGMS!$A$2:$B$245,2,FALSE)</f>
        <v>15.14</v>
      </c>
      <c r="O13" s="163">
        <f t="shared" si="0"/>
        <v>9.5233935794129705E-3</v>
      </c>
      <c r="P13" s="166">
        <f t="shared" si="0"/>
        <v>8.530465949820798E-2</v>
      </c>
      <c r="R13" s="195"/>
      <c r="S13" s="187" t="s">
        <v>550</v>
      </c>
      <c r="T13" s="187" t="s">
        <v>551</v>
      </c>
      <c r="U13" s="187" t="s">
        <v>552</v>
      </c>
      <c r="V13" s="187" t="s">
        <v>553</v>
      </c>
      <c r="W13" s="187" t="s">
        <v>554</v>
      </c>
      <c r="Z13" s="192"/>
    </row>
    <row r="14" spans="2:26" ht="15" thickBot="1" x14ac:dyDescent="0.4">
      <c r="B14" s="65" t="s">
        <v>172</v>
      </c>
      <c r="C14" s="71">
        <v>5.6000000000000001E-2</v>
      </c>
      <c r="L14" s="165">
        <v>44720</v>
      </c>
      <c r="M14" s="163">
        <v>4115.7700000000004</v>
      </c>
      <c r="N14" s="163">
        <f>VLOOKUP(L14,[1]NGMS!$A$2:$B$245,2,FALSE)</f>
        <v>15.36</v>
      </c>
      <c r="O14" s="163">
        <f t="shared" si="0"/>
        <v>-1.0793908688002887E-2</v>
      </c>
      <c r="P14" s="166">
        <f t="shared" si="0"/>
        <v>1.4531043593130703E-2</v>
      </c>
      <c r="R14" s="2" t="s">
        <v>546</v>
      </c>
      <c r="S14">
        <v>1</v>
      </c>
      <c r="T14">
        <v>9.7175279269469894E-2</v>
      </c>
      <c r="U14">
        <v>9.7175279269469894E-2</v>
      </c>
      <c r="V14">
        <v>72.270139326368124</v>
      </c>
      <c r="W14">
        <v>1.9861199671146699E-15</v>
      </c>
      <c r="Z14" s="192"/>
    </row>
    <row r="15" spans="2:26" ht="15" thickBot="1" x14ac:dyDescent="0.4">
      <c r="B15" s="72" t="s">
        <v>166</v>
      </c>
      <c r="C15" s="73">
        <f>C13+C12*(C14)</f>
        <v>0.11987999999999999</v>
      </c>
      <c r="L15" s="165">
        <v>44721</v>
      </c>
      <c r="M15" s="163">
        <v>4017.82</v>
      </c>
      <c r="N15" s="163">
        <f>VLOOKUP(L15,[1]NGMS!$A$2:$B$245,2,FALSE)</f>
        <v>15.27</v>
      </c>
      <c r="O15" s="163">
        <f t="shared" si="0"/>
        <v>-2.379870595295662E-2</v>
      </c>
      <c r="P15" s="166">
        <f t="shared" si="0"/>
        <v>-5.8593749999999913E-3</v>
      </c>
      <c r="R15" s="2" t="s">
        <v>547</v>
      </c>
      <c r="S15">
        <v>241</v>
      </c>
      <c r="T15">
        <v>0.32405143427470351</v>
      </c>
      <c r="U15">
        <v>1.3446117604759482E-3</v>
      </c>
      <c r="Z15" s="192"/>
    </row>
    <row r="16" spans="2:26" ht="15" thickBot="1" x14ac:dyDescent="0.4">
      <c r="L16" s="165">
        <v>44722</v>
      </c>
      <c r="M16" s="163">
        <v>3900.86</v>
      </c>
      <c r="N16" s="163">
        <f>VLOOKUP(L16,[1]NGMS!$A$2:$B$245,2,FALSE)</f>
        <v>14.43</v>
      </c>
      <c r="O16" s="163">
        <f t="shared" si="0"/>
        <v>-2.9110313553120853E-2</v>
      </c>
      <c r="P16" s="166">
        <f t="shared" si="0"/>
        <v>-5.5009823182711193E-2</v>
      </c>
      <c r="R16" s="194" t="s">
        <v>548</v>
      </c>
      <c r="S16" s="186">
        <v>242</v>
      </c>
      <c r="T16" s="186">
        <v>0.4212267135441734</v>
      </c>
      <c r="U16" s="186"/>
      <c r="V16" s="186"/>
      <c r="W16" s="186"/>
      <c r="Z16" s="192"/>
    </row>
    <row r="17" spans="12:26" ht="15" thickBot="1" x14ac:dyDescent="0.4">
      <c r="L17" s="165">
        <v>44725</v>
      </c>
      <c r="M17" s="163">
        <v>3749.63</v>
      </c>
      <c r="N17" s="163">
        <f>VLOOKUP(L17,[1]NGMS!$A$2:$B$245,2,FALSE)</f>
        <v>12.74</v>
      </c>
      <c r="O17" s="163">
        <f t="shared" si="0"/>
        <v>-3.8768374153391821E-2</v>
      </c>
      <c r="P17" s="166">
        <f t="shared" si="0"/>
        <v>-0.11711711711711709</v>
      </c>
      <c r="R17" s="2"/>
      <c r="Z17" s="192"/>
    </row>
    <row r="18" spans="12:26" ht="15" thickBot="1" x14ac:dyDescent="0.4">
      <c r="L18" s="165">
        <v>44726</v>
      </c>
      <c r="M18" s="163">
        <v>3735.48</v>
      </c>
      <c r="N18" s="163">
        <f>VLOOKUP(L18,[1]NGMS!$A$2:$B$245,2,FALSE)</f>
        <v>13.22</v>
      </c>
      <c r="O18" s="163">
        <f t="shared" si="0"/>
        <v>-3.7737056722930238E-3</v>
      </c>
      <c r="P18" s="166">
        <f t="shared" si="0"/>
        <v>3.7676609105180565E-2</v>
      </c>
      <c r="R18" s="195"/>
      <c r="S18" s="187" t="s">
        <v>555</v>
      </c>
      <c r="T18" s="187" t="s">
        <v>543</v>
      </c>
      <c r="U18" s="187" t="s">
        <v>556</v>
      </c>
      <c r="V18" s="187" t="s">
        <v>557</v>
      </c>
      <c r="W18" s="187" t="s">
        <v>558</v>
      </c>
      <c r="X18" s="187" t="s">
        <v>559</v>
      </c>
      <c r="Y18" s="187" t="s">
        <v>560</v>
      </c>
      <c r="Z18" s="196" t="s">
        <v>561</v>
      </c>
    </row>
    <row r="19" spans="12:26" ht="15" thickBot="1" x14ac:dyDescent="0.4">
      <c r="L19" s="165">
        <v>44727</v>
      </c>
      <c r="M19" s="163">
        <v>3789.99</v>
      </c>
      <c r="N19" s="163">
        <f>VLOOKUP(L19,[1]NGMS!$A$2:$B$245,2,FALSE)</f>
        <v>14.19</v>
      </c>
      <c r="O19" s="163">
        <f t="shared" si="0"/>
        <v>1.4592502168395966E-2</v>
      </c>
      <c r="P19" s="166">
        <f t="shared" si="0"/>
        <v>7.3373676248108838E-2</v>
      </c>
      <c r="R19" s="2" t="s">
        <v>549</v>
      </c>
      <c r="S19">
        <v>1.0365610230623798E-3</v>
      </c>
      <c r="T19">
        <v>2.35271934319701E-3</v>
      </c>
      <c r="U19">
        <v>0.44057997230296125</v>
      </c>
      <c r="V19">
        <v>0.65991203061713821</v>
      </c>
      <c r="W19">
        <v>-3.5979577916292554E-3</v>
      </c>
      <c r="X19">
        <v>5.6710798377540145E-3</v>
      </c>
      <c r="Y19">
        <v>-3.5979577916292554E-3</v>
      </c>
      <c r="Z19" s="192">
        <v>5.6710798377540145E-3</v>
      </c>
    </row>
    <row r="20" spans="12:26" ht="15" thickBot="1" x14ac:dyDescent="0.4">
      <c r="L20" s="165">
        <v>44728</v>
      </c>
      <c r="M20" s="163">
        <v>3666.77</v>
      </c>
      <c r="N20" s="163">
        <f>VLOOKUP(L20,[1]NGMS!$A$2:$B$245,2,FALSE)</f>
        <v>13.35</v>
      </c>
      <c r="O20" s="163">
        <f t="shared" si="0"/>
        <v>-3.2511959134456765E-2</v>
      </c>
      <c r="P20" s="166">
        <f t="shared" si="0"/>
        <v>-5.919661733615221E-2</v>
      </c>
      <c r="R20" s="194" t="s">
        <v>562</v>
      </c>
      <c r="S20" s="198">
        <v>1.4865339839686456</v>
      </c>
      <c r="T20" s="186">
        <v>0.17486198180151666</v>
      </c>
      <c r="U20" s="186">
        <v>8.501184583713508</v>
      </c>
      <c r="V20" s="186">
        <v>1.9861199671145689E-15</v>
      </c>
      <c r="W20" s="186">
        <v>1.1420810227700626</v>
      </c>
      <c r="X20" s="186">
        <v>1.8309869451672285</v>
      </c>
      <c r="Y20" s="186">
        <v>1.1420810227700626</v>
      </c>
      <c r="Z20" s="197">
        <v>1.8309869451672285</v>
      </c>
    </row>
    <row r="21" spans="12:26" ht="15" thickBot="1" x14ac:dyDescent="0.4">
      <c r="L21" s="165">
        <v>44729</v>
      </c>
      <c r="M21" s="163">
        <v>3674.84</v>
      </c>
      <c r="N21" s="163">
        <f>VLOOKUP(L21,[1]NGMS!$A$2:$B$245,2,FALSE)</f>
        <v>14.29</v>
      </c>
      <c r="O21" s="163">
        <f t="shared" si="0"/>
        <v>2.2008470670372465E-3</v>
      </c>
      <c r="P21" s="166">
        <f t="shared" si="0"/>
        <v>7.0411985018726558E-2</v>
      </c>
    </row>
    <row r="22" spans="12:26" ht="15" thickBot="1" x14ac:dyDescent="0.4">
      <c r="L22" s="165">
        <v>44733</v>
      </c>
      <c r="M22" s="163">
        <v>3764.79</v>
      </c>
      <c r="N22" s="163">
        <f>VLOOKUP(L22,[1]NGMS!$A$2:$B$245,2,FALSE)</f>
        <v>14.61</v>
      </c>
      <c r="O22" s="163">
        <f t="shared" si="0"/>
        <v>2.4477256152648771E-2</v>
      </c>
      <c r="P22" s="166">
        <f t="shared" si="0"/>
        <v>2.2393282015395404E-2</v>
      </c>
    </row>
    <row r="23" spans="12:26" ht="15" thickBot="1" x14ac:dyDescent="0.4">
      <c r="L23" s="165">
        <v>44734</v>
      </c>
      <c r="M23" s="163">
        <v>3759.89</v>
      </c>
      <c r="N23" s="163">
        <f>VLOOKUP(L23,[1]NGMS!$A$2:$B$245,2,FALSE)</f>
        <v>14.49</v>
      </c>
      <c r="O23" s="163">
        <f t="shared" si="0"/>
        <v>-1.3015334188626964E-3</v>
      </c>
      <c r="P23" s="166">
        <f t="shared" si="0"/>
        <v>-8.2135523613962504E-3</v>
      </c>
    </row>
    <row r="24" spans="12:26" ht="15" thickBot="1" x14ac:dyDescent="0.4">
      <c r="L24" s="165">
        <v>44735</v>
      </c>
      <c r="M24" s="163">
        <v>3795.73</v>
      </c>
      <c r="N24" s="163">
        <f>VLOOKUP(L24,[1]NGMS!$A$2:$B$245,2,FALSE)</f>
        <v>14.8</v>
      </c>
      <c r="O24" s="163">
        <f t="shared" si="0"/>
        <v>9.5321937609877273E-3</v>
      </c>
      <c r="P24" s="166">
        <f t="shared" si="0"/>
        <v>2.1394064872325775E-2</v>
      </c>
    </row>
    <row r="25" spans="12:26" ht="15" thickBot="1" x14ac:dyDescent="0.4">
      <c r="L25" s="165">
        <v>44736</v>
      </c>
      <c r="M25" s="163">
        <v>3911.74</v>
      </c>
      <c r="N25" s="163">
        <f>VLOOKUP(L25,[1]NGMS!$A$2:$B$245,2,FALSE)</f>
        <v>15.56</v>
      </c>
      <c r="O25" s="163">
        <f t="shared" si="0"/>
        <v>3.0563290855777352E-2</v>
      </c>
      <c r="P25" s="166">
        <f t="shared" si="0"/>
        <v>5.1351351351351333E-2</v>
      </c>
    </row>
    <row r="26" spans="12:26" ht="15" thickBot="1" x14ac:dyDescent="0.4">
      <c r="L26" s="165">
        <v>44739</v>
      </c>
      <c r="M26" s="163">
        <v>3900.11</v>
      </c>
      <c r="N26" s="163">
        <f>VLOOKUP(L26,[1]NGMS!$A$2:$B$245,2,FALSE)</f>
        <v>15.25</v>
      </c>
      <c r="O26" s="163">
        <f t="shared" si="0"/>
        <v>-2.9731014842498877E-3</v>
      </c>
      <c r="P26" s="166">
        <f t="shared" si="0"/>
        <v>-1.9922879177377922E-2</v>
      </c>
    </row>
    <row r="27" spans="12:26" ht="15" thickBot="1" x14ac:dyDescent="0.4">
      <c r="L27" s="165">
        <v>44740</v>
      </c>
      <c r="M27" s="163">
        <v>3821.55</v>
      </c>
      <c r="N27" s="163">
        <f>VLOOKUP(L27,[1]NGMS!$A$2:$B$245,2,FALSE)</f>
        <v>14.55</v>
      </c>
      <c r="O27" s="163">
        <f t="shared" si="0"/>
        <v>-2.0143021607082864E-2</v>
      </c>
      <c r="P27" s="166">
        <f t="shared" si="0"/>
        <v>-4.5901639344262252E-2</v>
      </c>
    </row>
    <row r="28" spans="12:26" ht="15" thickBot="1" x14ac:dyDescent="0.4">
      <c r="L28" s="165">
        <v>44741</v>
      </c>
      <c r="M28" s="163">
        <v>3818.83</v>
      </c>
      <c r="N28" s="163">
        <f>VLOOKUP(L28,[1]NGMS!$A$2:$B$245,2,FALSE)</f>
        <v>13.465</v>
      </c>
      <c r="O28" s="163">
        <f t="shared" si="0"/>
        <v>-7.1175308448149426E-4</v>
      </c>
      <c r="P28" s="166">
        <f t="shared" si="0"/>
        <v>-7.4570446735395243E-2</v>
      </c>
    </row>
    <row r="29" spans="12:26" ht="15" thickBot="1" x14ac:dyDescent="0.4">
      <c r="L29" s="165">
        <v>44742</v>
      </c>
      <c r="M29" s="163">
        <v>3785.38</v>
      </c>
      <c r="N29" s="163">
        <f>VLOOKUP(L29,[1]NGMS!$A$2:$B$245,2,FALSE)</f>
        <v>13.41</v>
      </c>
      <c r="O29" s="163">
        <f t="shared" si="0"/>
        <v>-8.7592273026031054E-3</v>
      </c>
      <c r="P29" s="166">
        <f t="shared" si="0"/>
        <v>-4.08466394355735E-3</v>
      </c>
    </row>
    <row r="30" spans="12:26" ht="15" thickBot="1" x14ac:dyDescent="0.4">
      <c r="L30" s="165">
        <v>44743</v>
      </c>
      <c r="M30" s="163">
        <v>3825.33</v>
      </c>
      <c r="N30" s="163">
        <f>VLOOKUP(L30,[1]NGMS!$A$2:$B$245,2,FALSE)</f>
        <v>13.32</v>
      </c>
      <c r="O30" s="163">
        <f t="shared" si="0"/>
        <v>1.0553762105785897E-2</v>
      </c>
      <c r="P30" s="166">
        <f t="shared" si="0"/>
        <v>-6.7114093959731438E-3</v>
      </c>
    </row>
    <row r="31" spans="12:26" ht="15" thickBot="1" x14ac:dyDescent="0.4">
      <c r="L31" s="165">
        <v>44747</v>
      </c>
      <c r="M31" s="163">
        <v>3831.39</v>
      </c>
      <c r="N31" s="163">
        <f>VLOOKUP(L31,[1]NGMS!$A$2:$B$245,2,FALSE)</f>
        <v>13.24</v>
      </c>
      <c r="O31" s="163">
        <f t="shared" si="0"/>
        <v>1.5841770513916305E-3</v>
      </c>
      <c r="P31" s="166">
        <f t="shared" si="0"/>
        <v>-6.0060060060060112E-3</v>
      </c>
    </row>
    <row r="32" spans="12:26" ht="15" thickBot="1" x14ac:dyDescent="0.4">
      <c r="L32" s="165">
        <v>44748</v>
      </c>
      <c r="M32" s="163">
        <v>3845.08</v>
      </c>
      <c r="N32" s="163">
        <f>VLOOKUP(L32,[1]NGMS!$A$2:$B$245,2,FALSE)</f>
        <v>12.64</v>
      </c>
      <c r="O32" s="163">
        <f t="shared" si="0"/>
        <v>3.5731157621646595E-3</v>
      </c>
      <c r="P32" s="166">
        <f t="shared" si="0"/>
        <v>-4.5317220543806616E-2</v>
      </c>
    </row>
    <row r="33" spans="12:16" ht="15" thickBot="1" x14ac:dyDescent="0.4">
      <c r="L33" s="165">
        <v>44749</v>
      </c>
      <c r="M33" s="163">
        <v>3902.62</v>
      </c>
      <c r="N33" s="163">
        <f>VLOOKUP(L33,[1]NGMS!$A$2:$B$245,2,FALSE)</f>
        <v>12.62</v>
      </c>
      <c r="O33" s="163">
        <f t="shared" si="0"/>
        <v>1.4964578110208361E-2</v>
      </c>
      <c r="P33" s="166">
        <f t="shared" si="0"/>
        <v>-1.5822784810127649E-3</v>
      </c>
    </row>
    <row r="34" spans="12:16" ht="15" thickBot="1" x14ac:dyDescent="0.4">
      <c r="L34" s="165">
        <v>44750</v>
      </c>
      <c r="M34" s="163">
        <v>3899.38</v>
      </c>
      <c r="N34" s="163">
        <f>VLOOKUP(L34,[1]NGMS!$A$2:$B$245,2,FALSE)</f>
        <v>12.8</v>
      </c>
      <c r="O34" s="163">
        <f t="shared" si="0"/>
        <v>-8.3021149894168069E-4</v>
      </c>
      <c r="P34" s="166">
        <f t="shared" si="0"/>
        <v>1.4263074484944651E-2</v>
      </c>
    </row>
    <row r="35" spans="12:16" ht="15" thickBot="1" x14ac:dyDescent="0.4">
      <c r="L35" s="165">
        <v>44753</v>
      </c>
      <c r="M35" s="163">
        <v>3854.43</v>
      </c>
      <c r="N35" s="163">
        <f>VLOOKUP(L35,[1]NGMS!$A$2:$B$245,2,FALSE)</f>
        <v>12.8</v>
      </c>
      <c r="O35" s="163">
        <f t="shared" si="0"/>
        <v>-1.152747359836699E-2</v>
      </c>
      <c r="P35" s="166">
        <f t="shared" si="0"/>
        <v>0</v>
      </c>
    </row>
    <row r="36" spans="12:16" ht="15" thickBot="1" x14ac:dyDescent="0.4">
      <c r="L36" s="165">
        <v>44754</v>
      </c>
      <c r="M36" s="163">
        <v>3818.8</v>
      </c>
      <c r="N36" s="163">
        <f>VLOOKUP(L36,[1]NGMS!$A$2:$B$245,2,FALSE)</f>
        <v>13.09</v>
      </c>
      <c r="O36" s="163">
        <f t="shared" si="0"/>
        <v>-9.2439089567068686E-3</v>
      </c>
      <c r="P36" s="166">
        <f t="shared" si="0"/>
        <v>2.2656249999999933E-2</v>
      </c>
    </row>
    <row r="37" spans="12:16" ht="15" thickBot="1" x14ac:dyDescent="0.4">
      <c r="L37" s="165">
        <v>44755</v>
      </c>
      <c r="M37" s="163">
        <v>3801.78</v>
      </c>
      <c r="N37" s="163">
        <f>VLOOKUP(L37,[1]NGMS!$A$2:$B$245,2,FALSE)</f>
        <v>13.28</v>
      </c>
      <c r="O37" s="163">
        <f t="shared" si="0"/>
        <v>-4.4568974546978059E-3</v>
      </c>
      <c r="P37" s="166">
        <f t="shared" si="0"/>
        <v>1.4514896867838006E-2</v>
      </c>
    </row>
    <row r="38" spans="12:16" ht="15" thickBot="1" x14ac:dyDescent="0.4">
      <c r="L38" s="165">
        <v>44756</v>
      </c>
      <c r="M38" s="163">
        <v>3790.38</v>
      </c>
      <c r="N38" s="163">
        <f>VLOOKUP(L38,[1]NGMS!$A$2:$B$245,2,FALSE)</f>
        <v>12.73</v>
      </c>
      <c r="O38" s="163">
        <f t="shared" si="0"/>
        <v>-2.9985953947887808E-3</v>
      </c>
      <c r="P38" s="166">
        <f t="shared" si="0"/>
        <v>-4.1415662650602335E-2</v>
      </c>
    </row>
    <row r="39" spans="12:16" ht="15" thickBot="1" x14ac:dyDescent="0.4">
      <c r="L39" s="165">
        <v>44757</v>
      </c>
      <c r="M39" s="163">
        <v>3863.16</v>
      </c>
      <c r="N39" s="163">
        <f>VLOOKUP(L39,[1]NGMS!$A$2:$B$245,2,FALSE)</f>
        <v>12.91</v>
      </c>
      <c r="O39" s="163">
        <f t="shared" si="0"/>
        <v>1.9201241036518699E-2</v>
      </c>
      <c r="P39" s="166">
        <f t="shared" si="0"/>
        <v>1.4139827179890001E-2</v>
      </c>
    </row>
    <row r="40" spans="12:16" ht="15" thickBot="1" x14ac:dyDescent="0.4">
      <c r="L40" s="165">
        <v>44760</v>
      </c>
      <c r="M40" s="163">
        <v>3830.85</v>
      </c>
      <c r="N40" s="163">
        <f>VLOOKUP(L40,[1]NGMS!$A$2:$B$245,2,FALSE)</f>
        <v>13.69</v>
      </c>
      <c r="O40" s="163">
        <f t="shared" si="0"/>
        <v>-8.3636194203708745E-3</v>
      </c>
      <c r="P40" s="166">
        <f t="shared" si="0"/>
        <v>6.0418280402788488E-2</v>
      </c>
    </row>
    <row r="41" spans="12:16" ht="15" thickBot="1" x14ac:dyDescent="0.4">
      <c r="L41" s="165">
        <v>44761</v>
      </c>
      <c r="M41" s="163">
        <v>3936.69</v>
      </c>
      <c r="N41" s="163">
        <f>VLOOKUP(L41,[1]NGMS!$A$2:$B$245,2,FALSE)</f>
        <v>14.86</v>
      </c>
      <c r="O41" s="163">
        <f t="shared" si="0"/>
        <v>2.7628333137554369E-2</v>
      </c>
      <c r="P41" s="166">
        <f t="shared" si="0"/>
        <v>8.5463842220598982E-2</v>
      </c>
    </row>
    <row r="42" spans="12:16" ht="15" thickBot="1" x14ac:dyDescent="0.4">
      <c r="L42" s="165">
        <v>44762</v>
      </c>
      <c r="M42" s="163">
        <v>3959.9</v>
      </c>
      <c r="N42" s="163">
        <f>VLOOKUP(L42,[1]NGMS!$A$2:$B$245,2,FALSE)</f>
        <v>15.43</v>
      </c>
      <c r="O42" s="163">
        <f t="shared" si="0"/>
        <v>5.8958160281861252E-3</v>
      </c>
      <c r="P42" s="166">
        <f t="shared" si="0"/>
        <v>3.835800807537014E-2</v>
      </c>
    </row>
    <row r="43" spans="12:16" ht="15" thickBot="1" x14ac:dyDescent="0.4">
      <c r="L43" s="165">
        <v>44763</v>
      </c>
      <c r="M43" s="163">
        <v>3998.95</v>
      </c>
      <c r="N43" s="163">
        <f>VLOOKUP(L43,[1]NGMS!$A$2:$B$245,2,FALSE)</f>
        <v>15.53</v>
      </c>
      <c r="O43" s="163">
        <f t="shared" si="0"/>
        <v>9.861360135356885E-3</v>
      </c>
      <c r="P43" s="166">
        <f t="shared" si="0"/>
        <v>6.4808813998703599E-3</v>
      </c>
    </row>
    <row r="44" spans="12:16" ht="15" thickBot="1" x14ac:dyDescent="0.4">
      <c r="L44" s="165">
        <v>44764</v>
      </c>
      <c r="M44" s="163">
        <v>3961.63</v>
      </c>
      <c r="N44" s="163">
        <f>VLOOKUP(L44,[1]NGMS!$A$2:$B$245,2,FALSE)</f>
        <v>15.41</v>
      </c>
      <c r="O44" s="163">
        <f t="shared" si="0"/>
        <v>-9.3324497680640443E-3</v>
      </c>
      <c r="P44" s="166">
        <f t="shared" si="0"/>
        <v>-7.7269800386348501E-3</v>
      </c>
    </row>
    <row r="45" spans="12:16" ht="15" thickBot="1" x14ac:dyDescent="0.4">
      <c r="L45" s="165">
        <v>44767</v>
      </c>
      <c r="M45" s="163">
        <v>3966.84</v>
      </c>
      <c r="N45" s="163">
        <f>VLOOKUP(L45,[1]NGMS!$A$2:$B$245,2,FALSE)</f>
        <v>15.73</v>
      </c>
      <c r="O45" s="163">
        <f t="shared" si="0"/>
        <v>1.3151152429681813E-3</v>
      </c>
      <c r="P45" s="166">
        <f t="shared" si="0"/>
        <v>2.0765736534717735E-2</v>
      </c>
    </row>
    <row r="46" spans="12:16" ht="15" thickBot="1" x14ac:dyDescent="0.4">
      <c r="L46" s="165">
        <v>44768</v>
      </c>
      <c r="M46" s="163">
        <v>3921.05</v>
      </c>
      <c r="N46" s="163">
        <f>VLOOKUP(L46,[1]NGMS!$A$2:$B$245,2,FALSE)</f>
        <v>15.2</v>
      </c>
      <c r="O46" s="163">
        <f t="shared" si="0"/>
        <v>-1.154319307055489E-2</v>
      </c>
      <c r="P46" s="166">
        <f t="shared" si="0"/>
        <v>-3.3693579148124674E-2</v>
      </c>
    </row>
    <row r="47" spans="12:16" ht="15" thickBot="1" x14ac:dyDescent="0.4">
      <c r="L47" s="165">
        <v>44769</v>
      </c>
      <c r="M47" s="163">
        <v>4023.61</v>
      </c>
      <c r="N47" s="163">
        <f>VLOOKUP(L47,[1]NGMS!$A$2:$B$245,2,FALSE)</f>
        <v>16.030000999999999</v>
      </c>
      <c r="O47" s="163">
        <f t="shared" si="0"/>
        <v>2.6156259165274594E-2</v>
      </c>
      <c r="P47" s="166">
        <f t="shared" si="0"/>
        <v>5.460532894736838E-2</v>
      </c>
    </row>
    <row r="48" spans="12:16" ht="15" thickBot="1" x14ac:dyDescent="0.4">
      <c r="L48" s="165">
        <v>44770</v>
      </c>
      <c r="M48" s="163">
        <v>4072.43</v>
      </c>
      <c r="N48" s="163">
        <f>VLOOKUP(L48,[1]NGMS!$A$2:$B$245,2,FALSE)</f>
        <v>15.54</v>
      </c>
      <c r="O48" s="163">
        <f t="shared" si="0"/>
        <v>1.2133382708562635E-2</v>
      </c>
      <c r="P48" s="166">
        <f t="shared" si="0"/>
        <v>-3.0567746065642758E-2</v>
      </c>
    </row>
    <row r="49" spans="12:16" ht="15" thickBot="1" x14ac:dyDescent="0.4">
      <c r="L49" s="165">
        <v>44771</v>
      </c>
      <c r="M49" s="163">
        <v>4130.29</v>
      </c>
      <c r="N49" s="163">
        <f>VLOOKUP(L49,[1]NGMS!$A$2:$B$245,2,FALSE)</f>
        <v>15.29</v>
      </c>
      <c r="O49" s="163">
        <f t="shared" si="0"/>
        <v>1.4207733466259734E-2</v>
      </c>
      <c r="P49" s="166">
        <f t="shared" si="0"/>
        <v>-1.6087516087516088E-2</v>
      </c>
    </row>
    <row r="50" spans="12:16" ht="15" thickBot="1" x14ac:dyDescent="0.4">
      <c r="L50" s="165">
        <v>44774</v>
      </c>
      <c r="M50" s="163">
        <v>4118.63</v>
      </c>
      <c r="N50" s="163">
        <f>VLOOKUP(L50,[1]NGMS!$A$2:$B$245,2,FALSE)</f>
        <v>16.639999</v>
      </c>
      <c r="O50" s="163">
        <f t="shared" si="0"/>
        <v>-2.8230463236237299E-3</v>
      </c>
      <c r="P50" s="166">
        <f t="shared" si="0"/>
        <v>8.8292936559843063E-2</v>
      </c>
    </row>
    <row r="51" spans="12:16" ht="15" thickBot="1" x14ac:dyDescent="0.4">
      <c r="L51" s="165">
        <v>44775</v>
      </c>
      <c r="M51" s="163">
        <v>4091.19</v>
      </c>
      <c r="N51" s="163">
        <f>VLOOKUP(L51,[1]NGMS!$A$2:$B$245,2,FALSE)</f>
        <v>17.110001</v>
      </c>
      <c r="O51" s="163">
        <f t="shared" si="0"/>
        <v>-6.6624095876541599E-3</v>
      </c>
      <c r="P51" s="166">
        <f t="shared" si="0"/>
        <v>2.8245314197434805E-2</v>
      </c>
    </row>
    <row r="52" spans="12:16" ht="15" thickBot="1" x14ac:dyDescent="0.4">
      <c r="L52" s="165">
        <v>44776</v>
      </c>
      <c r="M52" s="163">
        <v>4155.17</v>
      </c>
      <c r="N52" s="163">
        <f>VLOOKUP(L52,[1]NGMS!$A$2:$B$245,2,FALSE)</f>
        <v>18.350000000000001</v>
      </c>
      <c r="O52" s="163">
        <f t="shared" si="0"/>
        <v>1.5638481713144591E-2</v>
      </c>
      <c r="P52" s="166">
        <f t="shared" si="0"/>
        <v>7.2472175776027187E-2</v>
      </c>
    </row>
    <row r="53" spans="12:16" ht="15" thickBot="1" x14ac:dyDescent="0.4">
      <c r="L53" s="165">
        <v>44777</v>
      </c>
      <c r="M53" s="163">
        <v>4151.9399999999996</v>
      </c>
      <c r="N53" s="163">
        <f>VLOOKUP(L53,[1]NGMS!$A$2:$B$245,2,FALSE)</f>
        <v>16.440000999999999</v>
      </c>
      <c r="O53" s="163">
        <f t="shared" si="0"/>
        <v>-7.7734484990998507E-4</v>
      </c>
      <c r="P53" s="166">
        <f t="shared" si="0"/>
        <v>-0.10408713896457779</v>
      </c>
    </row>
    <row r="54" spans="12:16" ht="15" thickBot="1" x14ac:dyDescent="0.4">
      <c r="L54" s="165">
        <v>44778</v>
      </c>
      <c r="M54" s="163">
        <v>4145.1899999999996</v>
      </c>
      <c r="N54" s="163">
        <f>VLOOKUP(L54,[1]NGMS!$A$2:$B$245,2,FALSE)</f>
        <v>16.739999999999998</v>
      </c>
      <c r="O54" s="163">
        <f t="shared" si="0"/>
        <v>-1.6257460367924393E-3</v>
      </c>
      <c r="P54" s="166">
        <f t="shared" si="0"/>
        <v>1.8248113245248568E-2</v>
      </c>
    </row>
    <row r="55" spans="12:16" ht="15" thickBot="1" x14ac:dyDescent="0.4">
      <c r="L55" s="165">
        <v>44781</v>
      </c>
      <c r="M55" s="163">
        <v>4140.0600000000004</v>
      </c>
      <c r="N55" s="163">
        <f>VLOOKUP(L55,[1]NGMS!$A$2:$B$245,2,FALSE)</f>
        <v>17.239999999999998</v>
      </c>
      <c r="O55" s="163">
        <f t="shared" si="0"/>
        <v>-1.2375789770792654E-3</v>
      </c>
      <c r="P55" s="166">
        <f t="shared" si="0"/>
        <v>2.9868578255675033E-2</v>
      </c>
    </row>
    <row r="56" spans="12:16" ht="15" thickBot="1" x14ac:dyDescent="0.4">
      <c r="L56" s="165">
        <v>44782</v>
      </c>
      <c r="M56" s="163">
        <v>4122.47</v>
      </c>
      <c r="N56" s="163">
        <f>VLOOKUP(L56,[1]NGMS!$A$2:$B$245,2,FALSE)</f>
        <v>17.139999</v>
      </c>
      <c r="O56" s="163">
        <f t="shared" si="0"/>
        <v>-4.248730694724266E-3</v>
      </c>
      <c r="P56" s="166">
        <f t="shared" si="0"/>
        <v>-5.8005220417632775E-3</v>
      </c>
    </row>
    <row r="57" spans="12:16" ht="15" thickBot="1" x14ac:dyDescent="0.4">
      <c r="L57" s="165">
        <v>44783</v>
      </c>
      <c r="M57" s="163">
        <v>4210.24</v>
      </c>
      <c r="N57" s="163">
        <f>VLOOKUP(L57,[1]NGMS!$A$2:$B$245,2,FALSE)</f>
        <v>17.649999999999999</v>
      </c>
      <c r="O57" s="163">
        <f t="shared" si="0"/>
        <v>2.1290634013103677E-2</v>
      </c>
      <c r="P57" s="166">
        <f t="shared" si="0"/>
        <v>2.9755019238915888E-2</v>
      </c>
    </row>
    <row r="58" spans="12:16" ht="15" thickBot="1" x14ac:dyDescent="0.4">
      <c r="L58" s="165">
        <v>44784</v>
      </c>
      <c r="M58" s="163">
        <v>4207.2700000000004</v>
      </c>
      <c r="N58" s="163">
        <f>VLOOKUP(L58,[1]NGMS!$A$2:$B$245,2,FALSE)</f>
        <v>16.02</v>
      </c>
      <c r="O58" s="163">
        <f t="shared" si="0"/>
        <v>-7.0542296876172029E-4</v>
      </c>
      <c r="P58" s="166">
        <f t="shared" si="0"/>
        <v>-9.2351274787535367E-2</v>
      </c>
    </row>
    <row r="59" spans="12:16" ht="15" thickBot="1" x14ac:dyDescent="0.4">
      <c r="L59" s="165">
        <v>44785</v>
      </c>
      <c r="M59" s="163">
        <v>4280.1499999999996</v>
      </c>
      <c r="N59" s="163">
        <f>VLOOKUP(L59,[1]NGMS!$A$2:$B$245,2,FALSE)</f>
        <v>17.510000000000002</v>
      </c>
      <c r="O59" s="163">
        <f t="shared" si="0"/>
        <v>1.7322396708554285E-2</v>
      </c>
      <c r="P59" s="166">
        <f t="shared" si="0"/>
        <v>9.3008739076154937E-2</v>
      </c>
    </row>
    <row r="60" spans="12:16" ht="15" thickBot="1" x14ac:dyDescent="0.4">
      <c r="L60" s="165">
        <v>44788</v>
      </c>
      <c r="M60" s="163">
        <v>4297.1400000000003</v>
      </c>
      <c r="N60" s="163">
        <f>VLOOKUP(L60,[1]NGMS!$A$2:$B$245,2,FALSE)</f>
        <v>18.27</v>
      </c>
      <c r="O60" s="163">
        <f t="shared" si="0"/>
        <v>3.969487050687638E-3</v>
      </c>
      <c r="P60" s="166">
        <f t="shared" si="0"/>
        <v>4.3403769274700056E-2</v>
      </c>
    </row>
    <row r="61" spans="12:16" ht="15" thickBot="1" x14ac:dyDescent="0.4">
      <c r="L61" s="165">
        <v>44789</v>
      </c>
      <c r="M61" s="163">
        <v>4305.2</v>
      </c>
      <c r="N61" s="163">
        <f>VLOOKUP(L61,[1]NGMS!$A$2:$B$245,2,FALSE)</f>
        <v>18.18</v>
      </c>
      <c r="O61" s="163">
        <f t="shared" si="0"/>
        <v>1.8756661407353472E-3</v>
      </c>
      <c r="P61" s="166">
        <f t="shared" si="0"/>
        <v>-4.9261083743842287E-3</v>
      </c>
    </row>
    <row r="62" spans="12:16" ht="15" thickBot="1" x14ac:dyDescent="0.4">
      <c r="L62" s="165">
        <v>44790</v>
      </c>
      <c r="M62" s="163">
        <v>4274.04</v>
      </c>
      <c r="N62" s="163">
        <f>VLOOKUP(L62,[1]NGMS!$A$2:$B$245,2,FALSE)</f>
        <v>17.709999</v>
      </c>
      <c r="O62" s="163">
        <f t="shared" si="0"/>
        <v>-7.2377589891293916E-3</v>
      </c>
      <c r="P62" s="166">
        <f t="shared" si="0"/>
        <v>-2.5852640264026398E-2</v>
      </c>
    </row>
    <row r="63" spans="12:16" ht="15" thickBot="1" x14ac:dyDescent="0.4">
      <c r="L63" s="165">
        <v>44791</v>
      </c>
      <c r="M63" s="163">
        <v>4283.74</v>
      </c>
      <c r="N63" s="163">
        <f>VLOOKUP(L63,[1]NGMS!$A$2:$B$245,2,FALSE)</f>
        <v>17.940000999999999</v>
      </c>
      <c r="O63" s="163">
        <f t="shared" si="0"/>
        <v>2.2695154935376874E-3</v>
      </c>
      <c r="P63" s="166">
        <f t="shared" si="0"/>
        <v>1.2987126650882303E-2</v>
      </c>
    </row>
    <row r="64" spans="12:16" ht="15" thickBot="1" x14ac:dyDescent="0.4">
      <c r="L64" s="165">
        <v>44792</v>
      </c>
      <c r="M64" s="163">
        <v>4228.4799999999996</v>
      </c>
      <c r="N64" s="163">
        <f>VLOOKUP(L64,[1]NGMS!$A$2:$B$245,2,FALSE)</f>
        <v>16.559999000000001</v>
      </c>
      <c r="O64" s="163">
        <f t="shared" si="0"/>
        <v>-1.2899942573545597E-2</v>
      </c>
      <c r="P64" s="166">
        <f t="shared" si="0"/>
        <v>-7.6923184117994065E-2</v>
      </c>
    </row>
    <row r="65" spans="12:16" ht="15" thickBot="1" x14ac:dyDescent="0.4">
      <c r="L65" s="165">
        <v>44795</v>
      </c>
      <c r="M65" s="163">
        <v>4137.99</v>
      </c>
      <c r="N65" s="163">
        <f>VLOOKUP(L65,[1]NGMS!$A$2:$B$245,2,FALSE)</f>
        <v>16.549999</v>
      </c>
      <c r="O65" s="163">
        <f t="shared" si="0"/>
        <v>-2.1400124867564655E-2</v>
      </c>
      <c r="P65" s="166">
        <f t="shared" si="0"/>
        <v>-6.0386477076487517E-4</v>
      </c>
    </row>
    <row r="66" spans="12:16" ht="15" thickBot="1" x14ac:dyDescent="0.4">
      <c r="L66" s="165">
        <v>44796</v>
      </c>
      <c r="M66" s="163">
        <v>4128.7299999999996</v>
      </c>
      <c r="N66" s="163">
        <f>VLOOKUP(L66,[1]NGMS!$A$2:$B$245,2,FALSE)</f>
        <v>16.629999000000002</v>
      </c>
      <c r="O66" s="163">
        <f t="shared" si="0"/>
        <v>-2.2378014446627998E-3</v>
      </c>
      <c r="P66" s="166">
        <f t="shared" si="0"/>
        <v>4.8338371500809066E-3</v>
      </c>
    </row>
    <row r="67" spans="12:16" ht="15" thickBot="1" x14ac:dyDescent="0.4">
      <c r="L67" s="165">
        <v>44797</v>
      </c>
      <c r="M67" s="163">
        <v>4140.7700000000004</v>
      </c>
      <c r="N67" s="163">
        <f>VLOOKUP(L67,[1]NGMS!$A$2:$B$245,2,FALSE)</f>
        <v>16.77</v>
      </c>
      <c r="O67" s="163">
        <f t="shared" si="0"/>
        <v>2.9161509713642873E-3</v>
      </c>
      <c r="P67" s="166">
        <f t="shared" si="0"/>
        <v>8.4185813841599171E-3</v>
      </c>
    </row>
    <row r="68" spans="12:16" ht="15" thickBot="1" x14ac:dyDescent="0.4">
      <c r="L68" s="165">
        <v>44798</v>
      </c>
      <c r="M68" s="163">
        <v>4199.12</v>
      </c>
      <c r="N68" s="163">
        <f>VLOOKUP(L68,[1]NGMS!$A$2:$B$245,2,FALSE)</f>
        <v>16.93</v>
      </c>
      <c r="O68" s="163">
        <f t="shared" si="0"/>
        <v>1.4091582000449059E-2</v>
      </c>
      <c r="P68" s="166">
        <f t="shared" si="0"/>
        <v>9.5408467501490839E-3</v>
      </c>
    </row>
    <row r="69" spans="12:16" ht="15" thickBot="1" x14ac:dyDescent="0.4">
      <c r="L69" s="165">
        <v>44799</v>
      </c>
      <c r="M69" s="163">
        <v>4057.66</v>
      </c>
      <c r="N69" s="163">
        <f>VLOOKUP(L69,[1]NGMS!$A$2:$B$245,2,FALSE)</f>
        <v>16.16</v>
      </c>
      <c r="O69" s="163">
        <f t="shared" ref="O69:P132" si="1">(M69-M68)/M68</f>
        <v>-3.3688010821314951E-2</v>
      </c>
      <c r="P69" s="166">
        <f t="shared" si="1"/>
        <v>-4.5481393975191943E-2</v>
      </c>
    </row>
    <row r="70" spans="12:16" ht="15" thickBot="1" x14ac:dyDescent="0.4">
      <c r="L70" s="165">
        <v>44802</v>
      </c>
      <c r="M70" s="163">
        <v>4030.61</v>
      </c>
      <c r="N70" s="163">
        <f>VLOOKUP(L70,[1]NGMS!$A$2:$B$245,2,FALSE)</f>
        <v>16.010000000000002</v>
      </c>
      <c r="O70" s="163">
        <f t="shared" si="1"/>
        <v>-6.6664037893760762E-3</v>
      </c>
      <c r="P70" s="166">
        <f t="shared" si="1"/>
        <v>-9.282178217821695E-3</v>
      </c>
    </row>
    <row r="71" spans="12:16" ht="15" thickBot="1" x14ac:dyDescent="0.4">
      <c r="L71" s="165">
        <v>44803</v>
      </c>
      <c r="M71" s="163">
        <v>3986.16</v>
      </c>
      <c r="N71" s="163">
        <f>VLOOKUP(L71,[1]NGMS!$A$2:$B$245,2,FALSE)</f>
        <v>15.85</v>
      </c>
      <c r="O71" s="163">
        <f t="shared" si="1"/>
        <v>-1.102810740805989E-2</v>
      </c>
      <c r="P71" s="166">
        <f t="shared" si="1"/>
        <v>-9.9937539038102378E-3</v>
      </c>
    </row>
    <row r="72" spans="12:16" ht="15" thickBot="1" x14ac:dyDescent="0.4">
      <c r="L72" s="165">
        <v>44804</v>
      </c>
      <c r="M72" s="163">
        <v>3955</v>
      </c>
      <c r="N72" s="163">
        <f>VLOOKUP(L72,[1]NGMS!$A$2:$B$245,2,FALSE)</f>
        <v>15.99</v>
      </c>
      <c r="O72" s="163">
        <f t="shared" si="1"/>
        <v>-7.8170469825596198E-3</v>
      </c>
      <c r="P72" s="166">
        <f t="shared" si="1"/>
        <v>8.832807570977954E-3</v>
      </c>
    </row>
    <row r="73" spans="12:16" ht="15" thickBot="1" x14ac:dyDescent="0.4">
      <c r="L73" s="165">
        <v>44805</v>
      </c>
      <c r="M73" s="163">
        <v>3966.85</v>
      </c>
      <c r="N73" s="163">
        <f>VLOOKUP(L73,[1]NGMS!$A$2:$B$245,2,FALSE)</f>
        <v>15.15</v>
      </c>
      <c r="O73" s="163">
        <f t="shared" si="1"/>
        <v>2.9962073324904955E-3</v>
      </c>
      <c r="P73" s="166">
        <f t="shared" si="1"/>
        <v>-5.2532833020637888E-2</v>
      </c>
    </row>
    <row r="74" spans="12:16" ht="15" thickBot="1" x14ac:dyDescent="0.4">
      <c r="L74" s="165">
        <v>44806</v>
      </c>
      <c r="M74" s="163">
        <v>3924.26</v>
      </c>
      <c r="N74" s="163">
        <f>VLOOKUP(L74,[1]NGMS!$A$2:$B$245,2,FALSE)</f>
        <v>15.06</v>
      </c>
      <c r="O74" s="163">
        <f t="shared" si="1"/>
        <v>-1.0736478566116614E-2</v>
      </c>
      <c r="P74" s="166">
        <f t="shared" si="1"/>
        <v>-5.9405940594059311E-3</v>
      </c>
    </row>
    <row r="75" spans="12:16" ht="15" thickBot="1" x14ac:dyDescent="0.4">
      <c r="L75" s="165">
        <v>44810</v>
      </c>
      <c r="M75" s="163">
        <v>3908.19</v>
      </c>
      <c r="N75" s="163">
        <f>VLOOKUP(L75,[1]NGMS!$A$2:$B$245,2,FALSE)</f>
        <v>14.57</v>
      </c>
      <c r="O75" s="163">
        <f t="shared" si="1"/>
        <v>-4.0950395743401717E-3</v>
      </c>
      <c r="P75" s="166">
        <f t="shared" si="1"/>
        <v>-3.2536520584329362E-2</v>
      </c>
    </row>
    <row r="76" spans="12:16" ht="15" thickBot="1" x14ac:dyDescent="0.4">
      <c r="L76" s="165">
        <v>44811</v>
      </c>
      <c r="M76" s="163">
        <v>3979.87</v>
      </c>
      <c r="N76" s="163">
        <f>VLOOKUP(L76,[1]NGMS!$A$2:$B$245,2,FALSE)</f>
        <v>14.81</v>
      </c>
      <c r="O76" s="163">
        <f t="shared" si="1"/>
        <v>1.8340971140092942E-2</v>
      </c>
      <c r="P76" s="166">
        <f t="shared" si="1"/>
        <v>1.6472203157172287E-2</v>
      </c>
    </row>
    <row r="77" spans="12:16" ht="15" thickBot="1" x14ac:dyDescent="0.4">
      <c r="L77" s="165">
        <v>44812</v>
      </c>
      <c r="M77" s="163">
        <v>4006.18</v>
      </c>
      <c r="N77" s="163">
        <f>VLOOKUP(L77,[1]NGMS!$A$2:$B$245,2,FALSE)</f>
        <v>14.98</v>
      </c>
      <c r="O77" s="163">
        <f t="shared" si="1"/>
        <v>6.6107686934497728E-3</v>
      </c>
      <c r="P77" s="166">
        <f t="shared" si="1"/>
        <v>1.1478730587440913E-2</v>
      </c>
    </row>
    <row r="78" spans="12:16" ht="15" thickBot="1" x14ac:dyDescent="0.4">
      <c r="L78" s="165">
        <v>44813</v>
      </c>
      <c r="M78" s="163">
        <v>4067.36</v>
      </c>
      <c r="N78" s="163">
        <f>VLOOKUP(L78,[1]NGMS!$A$2:$B$245,2,FALSE)</f>
        <v>15.43</v>
      </c>
      <c r="O78" s="163">
        <f t="shared" si="1"/>
        <v>1.5271405678227212E-2</v>
      </c>
      <c r="P78" s="166">
        <f t="shared" si="1"/>
        <v>3.0040053404539337E-2</v>
      </c>
    </row>
    <row r="79" spans="12:16" ht="15" thickBot="1" x14ac:dyDescent="0.4">
      <c r="L79" s="165">
        <v>44816</v>
      </c>
      <c r="M79" s="163">
        <v>4110.41</v>
      </c>
      <c r="N79" s="163">
        <f>VLOOKUP(L79,[1]NGMS!$A$2:$B$245,2,FALSE)</f>
        <v>16.170000000000002</v>
      </c>
      <c r="O79" s="163">
        <f t="shared" si="1"/>
        <v>1.0584261044018658E-2</v>
      </c>
      <c r="P79" s="166">
        <f t="shared" si="1"/>
        <v>4.795852235904096E-2</v>
      </c>
    </row>
    <row r="80" spans="12:16" ht="15" thickBot="1" x14ac:dyDescent="0.4">
      <c r="L80" s="165">
        <v>44817</v>
      </c>
      <c r="M80" s="163">
        <v>3932.69</v>
      </c>
      <c r="N80" s="163">
        <f>VLOOKUP(L80,[1]NGMS!$A$2:$B$245,2,FALSE)</f>
        <v>15.13</v>
      </c>
      <c r="O80" s="163">
        <f t="shared" si="1"/>
        <v>-4.3236562775976074E-2</v>
      </c>
      <c r="P80" s="166">
        <f t="shared" si="1"/>
        <v>-6.4316635745207226E-2</v>
      </c>
    </row>
    <row r="81" spans="12:16" ht="15" thickBot="1" x14ac:dyDescent="0.4">
      <c r="L81" s="165">
        <v>44818</v>
      </c>
      <c r="M81" s="163">
        <v>3946.01</v>
      </c>
      <c r="N81" s="163">
        <f>VLOOKUP(L81,[1]NGMS!$A$2:$B$245,2,FALSE)</f>
        <v>15.1</v>
      </c>
      <c r="O81" s="163">
        <f t="shared" si="1"/>
        <v>3.386994652515241E-3</v>
      </c>
      <c r="P81" s="166">
        <f t="shared" si="1"/>
        <v>-1.9828155981494473E-3</v>
      </c>
    </row>
    <row r="82" spans="12:16" ht="15" thickBot="1" x14ac:dyDescent="0.4">
      <c r="L82" s="165">
        <v>44819</v>
      </c>
      <c r="M82" s="163">
        <v>3901.35</v>
      </c>
      <c r="N82" s="163">
        <f>VLOOKUP(L82,[1]NGMS!$A$2:$B$245,2,FALSE)</f>
        <v>15.01</v>
      </c>
      <c r="O82" s="163">
        <f t="shared" si="1"/>
        <v>-1.1317761485652673E-2</v>
      </c>
      <c r="P82" s="166">
        <f t="shared" si="1"/>
        <v>-5.9602649006622425E-3</v>
      </c>
    </row>
    <row r="83" spans="12:16" ht="15" thickBot="1" x14ac:dyDescent="0.4">
      <c r="L83" s="165">
        <v>44820</v>
      </c>
      <c r="M83" s="163">
        <v>3873.33</v>
      </c>
      <c r="N83" s="163">
        <f>VLOOKUP(L83,[1]NGMS!$A$2:$B$245,2,FALSE)</f>
        <v>14.39</v>
      </c>
      <c r="O83" s="163">
        <f t="shared" si="1"/>
        <v>-7.182129262947437E-3</v>
      </c>
      <c r="P83" s="166">
        <f t="shared" si="1"/>
        <v>-4.1305796135909345E-2</v>
      </c>
    </row>
    <row r="84" spans="12:16" ht="15" thickBot="1" x14ac:dyDescent="0.4">
      <c r="L84" s="165">
        <v>44823</v>
      </c>
      <c r="M84" s="163">
        <v>3899.89</v>
      </c>
      <c r="N84" s="163">
        <f>VLOOKUP(L84,[1]NGMS!$A$2:$B$245,2,FALSE)</f>
        <v>14.39</v>
      </c>
      <c r="O84" s="163">
        <f t="shared" si="1"/>
        <v>6.8571487583035644E-3</v>
      </c>
      <c r="P84" s="166">
        <f t="shared" si="1"/>
        <v>0</v>
      </c>
    </row>
    <row r="85" spans="12:16" ht="15" thickBot="1" x14ac:dyDescent="0.4">
      <c r="L85" s="165">
        <v>44824</v>
      </c>
      <c r="M85" s="163">
        <v>3855.93</v>
      </c>
      <c r="N85" s="163">
        <f>VLOOKUP(L85,[1]NGMS!$A$2:$B$245,2,FALSE)</f>
        <v>14.28</v>
      </c>
      <c r="O85" s="163">
        <f t="shared" si="1"/>
        <v>-1.1272112803181638E-2</v>
      </c>
      <c r="P85" s="166">
        <f t="shared" si="1"/>
        <v>-7.6441973592773597E-3</v>
      </c>
    </row>
    <row r="86" spans="12:16" ht="15" thickBot="1" x14ac:dyDescent="0.4">
      <c r="L86" s="165">
        <v>44825</v>
      </c>
      <c r="M86" s="163">
        <v>3789.93</v>
      </c>
      <c r="N86" s="163">
        <f>VLOOKUP(L86,[1]NGMS!$A$2:$B$245,2,FALSE)</f>
        <v>13.97</v>
      </c>
      <c r="O86" s="163">
        <f t="shared" si="1"/>
        <v>-1.7116493297336829E-2</v>
      </c>
      <c r="P86" s="166">
        <f t="shared" si="1"/>
        <v>-2.1708683473389268E-2</v>
      </c>
    </row>
    <row r="87" spans="12:16" ht="15" thickBot="1" x14ac:dyDescent="0.4">
      <c r="L87" s="165">
        <v>44826</v>
      </c>
      <c r="M87" s="163">
        <v>3757.99</v>
      </c>
      <c r="N87" s="163">
        <f>VLOOKUP(L87,[1]NGMS!$A$2:$B$245,2,FALSE)</f>
        <v>13.47</v>
      </c>
      <c r="O87" s="163">
        <f t="shared" si="1"/>
        <v>-8.4275962880581059E-3</v>
      </c>
      <c r="P87" s="166">
        <f t="shared" si="1"/>
        <v>-3.5790980672870433E-2</v>
      </c>
    </row>
    <row r="88" spans="12:16" ht="15" thickBot="1" x14ac:dyDescent="0.4">
      <c r="L88" s="165">
        <v>44827</v>
      </c>
      <c r="M88" s="163">
        <v>3693.23</v>
      </c>
      <c r="N88" s="163">
        <f>VLOOKUP(L88,[1]NGMS!$A$2:$B$245,2,FALSE)</f>
        <v>13.08</v>
      </c>
      <c r="O88" s="163">
        <f t="shared" si="1"/>
        <v>-1.723261637204989E-2</v>
      </c>
      <c r="P88" s="166">
        <f t="shared" si="1"/>
        <v>-2.8953229398663738E-2</v>
      </c>
    </row>
    <row r="89" spans="12:16" ht="15" thickBot="1" x14ac:dyDescent="0.4">
      <c r="L89" s="165">
        <v>44830</v>
      </c>
      <c r="M89" s="163">
        <v>3655.04</v>
      </c>
      <c r="N89" s="163">
        <f>VLOOKUP(L89,[1]NGMS!$A$2:$B$245,2,FALSE)</f>
        <v>12.51</v>
      </c>
      <c r="O89" s="163">
        <f t="shared" si="1"/>
        <v>-1.0340542018774908E-2</v>
      </c>
      <c r="P89" s="166">
        <f t="shared" si="1"/>
        <v>-4.357798165137617E-2</v>
      </c>
    </row>
    <row r="90" spans="12:16" ht="15" thickBot="1" x14ac:dyDescent="0.4">
      <c r="L90" s="165">
        <v>44831</v>
      </c>
      <c r="M90" s="163">
        <v>3647.29</v>
      </c>
      <c r="N90" s="163">
        <f>VLOOKUP(L90,[1]NGMS!$A$2:$B$245,2,FALSE)</f>
        <v>12.45</v>
      </c>
      <c r="O90" s="163">
        <f t="shared" si="1"/>
        <v>-2.1203598319033444E-3</v>
      </c>
      <c r="P90" s="166">
        <f t="shared" si="1"/>
        <v>-4.7961630695444041E-3</v>
      </c>
    </row>
    <row r="91" spans="12:16" ht="15" thickBot="1" x14ac:dyDescent="0.4">
      <c r="L91" s="165">
        <v>44832</v>
      </c>
      <c r="M91" s="163">
        <v>3719.04</v>
      </c>
      <c r="N91" s="163">
        <f>VLOOKUP(L91,[1]NGMS!$A$2:$B$245,2,FALSE)</f>
        <v>13.2</v>
      </c>
      <c r="O91" s="163">
        <f t="shared" si="1"/>
        <v>1.9672140136923578E-2</v>
      </c>
      <c r="P91" s="166">
        <f t="shared" si="1"/>
        <v>6.0240963855421693E-2</v>
      </c>
    </row>
    <row r="92" spans="12:16" ht="15" thickBot="1" x14ac:dyDescent="0.4">
      <c r="L92" s="165">
        <v>44833</v>
      </c>
      <c r="M92" s="163">
        <v>3640.47</v>
      </c>
      <c r="N92" s="163">
        <f>VLOOKUP(L92,[1]NGMS!$A$2:$B$245,2,FALSE)</f>
        <v>12.7</v>
      </c>
      <c r="O92" s="163">
        <f t="shared" si="1"/>
        <v>-2.1126419721218422E-2</v>
      </c>
      <c r="P92" s="166">
        <f t="shared" si="1"/>
        <v>-3.787878787878788E-2</v>
      </c>
    </row>
    <row r="93" spans="12:16" ht="15" thickBot="1" x14ac:dyDescent="0.4">
      <c r="L93" s="165">
        <v>44834</v>
      </c>
      <c r="M93" s="163">
        <v>3585.62</v>
      </c>
      <c r="N93" s="163">
        <f>VLOOKUP(L93,[1]NGMS!$A$2:$B$245,2,FALSE)</f>
        <v>12.9</v>
      </c>
      <c r="O93" s="163">
        <f t="shared" si="1"/>
        <v>-1.5066735888497889E-2</v>
      </c>
      <c r="P93" s="166">
        <f t="shared" si="1"/>
        <v>1.5748031496063079E-2</v>
      </c>
    </row>
    <row r="94" spans="12:16" ht="15" thickBot="1" x14ac:dyDescent="0.4">
      <c r="L94" s="165">
        <v>44837</v>
      </c>
      <c r="M94" s="163">
        <v>3678.43</v>
      </c>
      <c r="N94" s="163">
        <f>VLOOKUP(L94,[1]NGMS!$A$2:$B$245,2,FALSE)</f>
        <v>13.26</v>
      </c>
      <c r="O94" s="163">
        <f t="shared" si="1"/>
        <v>2.5883947546031075E-2</v>
      </c>
      <c r="P94" s="166">
        <f t="shared" si="1"/>
        <v>2.7906976744186001E-2</v>
      </c>
    </row>
    <row r="95" spans="12:16" ht="15" thickBot="1" x14ac:dyDescent="0.4">
      <c r="L95" s="165">
        <v>44838</v>
      </c>
      <c r="M95" s="163">
        <v>3790.93</v>
      </c>
      <c r="N95" s="163">
        <f>VLOOKUP(L95,[1]NGMS!$A$2:$B$245,2,FALSE)</f>
        <v>13.98</v>
      </c>
      <c r="O95" s="163">
        <f t="shared" si="1"/>
        <v>3.0583700111188741E-2</v>
      </c>
      <c r="P95" s="166">
        <f t="shared" si="1"/>
        <v>5.4298642533936702E-2</v>
      </c>
    </row>
    <row r="96" spans="12:16" ht="15" thickBot="1" x14ac:dyDescent="0.4">
      <c r="L96" s="165">
        <v>44839</v>
      </c>
      <c r="M96" s="163">
        <v>3783.28</v>
      </c>
      <c r="N96" s="163">
        <f>VLOOKUP(L96,[1]NGMS!$A$2:$B$245,2,FALSE)</f>
        <v>13.68</v>
      </c>
      <c r="O96" s="163">
        <f t="shared" si="1"/>
        <v>-2.0179744811958111E-3</v>
      </c>
      <c r="P96" s="166">
        <f t="shared" si="1"/>
        <v>-2.1459227467811207E-2</v>
      </c>
    </row>
    <row r="97" spans="12:16" ht="15" thickBot="1" x14ac:dyDescent="0.4">
      <c r="L97" s="165">
        <v>44840</v>
      </c>
      <c r="M97" s="163">
        <v>3744.52</v>
      </c>
      <c r="N97" s="163">
        <f>VLOOKUP(L97,[1]NGMS!$A$2:$B$245,2,FALSE)</f>
        <v>13.5</v>
      </c>
      <c r="O97" s="163">
        <f t="shared" si="1"/>
        <v>-1.024507834471681E-2</v>
      </c>
      <c r="P97" s="166">
        <f t="shared" si="1"/>
        <v>-1.3157894736842085E-2</v>
      </c>
    </row>
    <row r="98" spans="12:16" ht="15" thickBot="1" x14ac:dyDescent="0.4">
      <c r="L98" s="165">
        <v>44841</v>
      </c>
      <c r="M98" s="163">
        <v>3639.66</v>
      </c>
      <c r="N98" s="163">
        <f>VLOOKUP(L98,[1]NGMS!$A$2:$B$245,2,FALSE)</f>
        <v>13.78</v>
      </c>
      <c r="O98" s="163">
        <f t="shared" si="1"/>
        <v>-2.8003589245083515E-2</v>
      </c>
      <c r="P98" s="166">
        <f t="shared" si="1"/>
        <v>2.0740740740740695E-2</v>
      </c>
    </row>
    <row r="99" spans="12:16" ht="15" thickBot="1" x14ac:dyDescent="0.4">
      <c r="L99" s="165">
        <v>44844</v>
      </c>
      <c r="M99" s="163">
        <v>3612.39</v>
      </c>
      <c r="N99" s="163">
        <f>VLOOKUP(L99,[1]NGMS!$A$2:$B$245,2,FALSE)</f>
        <v>13.26</v>
      </c>
      <c r="O99" s="163">
        <f t="shared" si="1"/>
        <v>-7.4924580867443613E-3</v>
      </c>
      <c r="P99" s="166">
        <f t="shared" si="1"/>
        <v>-3.7735849056603744E-2</v>
      </c>
    </row>
    <row r="100" spans="12:16" ht="15" thickBot="1" x14ac:dyDescent="0.4">
      <c r="L100" s="165">
        <v>44845</v>
      </c>
      <c r="M100" s="163">
        <v>3588.84</v>
      </c>
      <c r="N100" s="163">
        <f>VLOOKUP(L100,[1]NGMS!$A$2:$B$245,2,FALSE)</f>
        <v>14.57</v>
      </c>
      <c r="O100" s="163">
        <f t="shared" si="1"/>
        <v>-6.5192296512834244E-3</v>
      </c>
      <c r="P100" s="166">
        <f t="shared" si="1"/>
        <v>9.879336349924589E-2</v>
      </c>
    </row>
    <row r="101" spans="12:16" ht="15" thickBot="1" x14ac:dyDescent="0.4">
      <c r="L101" s="165">
        <v>44846</v>
      </c>
      <c r="M101" s="163">
        <v>3577.03</v>
      </c>
      <c r="N101" s="163">
        <f>VLOOKUP(L101,[1]NGMS!$A$2:$B$245,2,FALSE)</f>
        <v>15.25</v>
      </c>
      <c r="O101" s="163">
        <f t="shared" si="1"/>
        <v>-3.2907569019515904E-3</v>
      </c>
      <c r="P101" s="166">
        <f t="shared" si="1"/>
        <v>4.6671242278654747E-2</v>
      </c>
    </row>
    <row r="102" spans="12:16" ht="15" thickBot="1" x14ac:dyDescent="0.4">
      <c r="L102" s="165">
        <v>44847</v>
      </c>
      <c r="M102" s="163">
        <v>3669.91</v>
      </c>
      <c r="N102" s="163">
        <f>VLOOKUP(L102,[1]NGMS!$A$2:$B$245,2,FALSE)</f>
        <v>16.489999999999998</v>
      </c>
      <c r="O102" s="163">
        <f t="shared" si="1"/>
        <v>2.59656754346482E-2</v>
      </c>
      <c r="P102" s="166">
        <f t="shared" si="1"/>
        <v>8.1311475409835965E-2</v>
      </c>
    </row>
    <row r="103" spans="12:16" ht="15" thickBot="1" x14ac:dyDescent="0.4">
      <c r="L103" s="165">
        <v>44848</v>
      </c>
      <c r="M103" s="163">
        <v>3583.07</v>
      </c>
      <c r="N103" s="163">
        <f>VLOOKUP(L103,[1]NGMS!$A$2:$B$245,2,FALSE)</f>
        <v>17.059999000000001</v>
      </c>
      <c r="O103" s="163">
        <f t="shared" si="1"/>
        <v>-2.3662705624933496E-2</v>
      </c>
      <c r="P103" s="166">
        <f t="shared" si="1"/>
        <v>3.4566343238326434E-2</v>
      </c>
    </row>
    <row r="104" spans="12:16" ht="15" thickBot="1" x14ac:dyDescent="0.4">
      <c r="L104" s="165">
        <v>44851</v>
      </c>
      <c r="M104" s="163">
        <v>3677.95</v>
      </c>
      <c r="N104" s="163">
        <f>VLOOKUP(L104,[1]NGMS!$A$2:$B$245,2,FALSE)</f>
        <v>17.25</v>
      </c>
      <c r="O104" s="163">
        <f t="shared" si="1"/>
        <v>2.6480085513260875E-2</v>
      </c>
      <c r="P104" s="166">
        <f t="shared" si="1"/>
        <v>1.1137222223752694E-2</v>
      </c>
    </row>
    <row r="105" spans="12:16" ht="15" thickBot="1" x14ac:dyDescent="0.4">
      <c r="L105" s="165">
        <v>44852</v>
      </c>
      <c r="M105" s="163">
        <v>3719.98</v>
      </c>
      <c r="N105" s="163">
        <f>VLOOKUP(L105,[1]NGMS!$A$2:$B$245,2,FALSE)</f>
        <v>17.43</v>
      </c>
      <c r="O105" s="163">
        <f t="shared" si="1"/>
        <v>1.1427561549232643E-2</v>
      </c>
      <c r="P105" s="166">
        <f t="shared" si="1"/>
        <v>1.0434782608695636E-2</v>
      </c>
    </row>
    <row r="106" spans="12:16" ht="15" thickBot="1" x14ac:dyDescent="0.4">
      <c r="L106" s="165">
        <v>44853</v>
      </c>
      <c r="M106" s="163">
        <v>3695.16</v>
      </c>
      <c r="N106" s="163">
        <f>VLOOKUP(L106,[1]NGMS!$A$2:$B$245,2,FALSE)</f>
        <v>17.780000999999999</v>
      </c>
      <c r="O106" s="163">
        <f t="shared" si="1"/>
        <v>-6.6720788821445715E-3</v>
      </c>
      <c r="P106" s="166">
        <f t="shared" si="1"/>
        <v>2.008037865748703E-2</v>
      </c>
    </row>
    <row r="107" spans="12:16" ht="15" thickBot="1" x14ac:dyDescent="0.4">
      <c r="L107" s="165">
        <v>44854</v>
      </c>
      <c r="M107" s="163">
        <v>3665.78</v>
      </c>
      <c r="N107" s="163">
        <f>VLOOKUP(L107,[1]NGMS!$A$2:$B$245,2,FALSE)</f>
        <v>17.25</v>
      </c>
      <c r="O107" s="163">
        <f t="shared" si="1"/>
        <v>-7.9509412312321129E-3</v>
      </c>
      <c r="P107" s="166">
        <f t="shared" si="1"/>
        <v>-2.9808828469694612E-2</v>
      </c>
    </row>
    <row r="108" spans="12:16" ht="15" thickBot="1" x14ac:dyDescent="0.4">
      <c r="L108" s="165">
        <v>44855</v>
      </c>
      <c r="M108" s="163">
        <v>3752.75</v>
      </c>
      <c r="N108" s="163">
        <f>VLOOKUP(L108,[1]NGMS!$A$2:$B$245,2,FALSE)</f>
        <v>16.27</v>
      </c>
      <c r="O108" s="163">
        <f t="shared" si="1"/>
        <v>2.3724828003862695E-2</v>
      </c>
      <c r="P108" s="166">
        <f t="shared" si="1"/>
        <v>-5.6811594202898573E-2</v>
      </c>
    </row>
    <row r="109" spans="12:16" ht="15" thickBot="1" x14ac:dyDescent="0.4">
      <c r="L109" s="165">
        <v>44858</v>
      </c>
      <c r="M109" s="163">
        <v>3797.34</v>
      </c>
      <c r="N109" s="163">
        <f>VLOOKUP(L109,[1]NGMS!$A$2:$B$245,2,FALSE)</f>
        <v>16.530000999999999</v>
      </c>
      <c r="O109" s="163">
        <f t="shared" si="1"/>
        <v>1.188195323429489E-2</v>
      </c>
      <c r="P109" s="166">
        <f t="shared" si="1"/>
        <v>1.5980393362015923E-2</v>
      </c>
    </row>
    <row r="110" spans="12:16" ht="15" thickBot="1" x14ac:dyDescent="0.4">
      <c r="L110" s="165">
        <v>44859</v>
      </c>
      <c r="M110" s="163">
        <v>3859.11</v>
      </c>
      <c r="N110" s="163">
        <f>VLOOKUP(L110,[1]NGMS!$A$2:$B$245,2,FALSE)</f>
        <v>16.809999000000001</v>
      </c>
      <c r="O110" s="163">
        <f t="shared" si="1"/>
        <v>1.6266649812763666E-2</v>
      </c>
      <c r="P110" s="166">
        <f t="shared" si="1"/>
        <v>1.6938776954702098E-2</v>
      </c>
    </row>
    <row r="111" spans="12:16" ht="15" thickBot="1" x14ac:dyDescent="0.4">
      <c r="L111" s="165">
        <v>44860</v>
      </c>
      <c r="M111" s="163">
        <v>3830.6</v>
      </c>
      <c r="N111" s="163">
        <f>VLOOKUP(L111,[1]NGMS!$A$2:$B$245,2,FALSE)</f>
        <v>17.32</v>
      </c>
      <c r="O111" s="163">
        <f t="shared" si="1"/>
        <v>-7.3877137474703276E-3</v>
      </c>
      <c r="P111" s="166">
        <f t="shared" si="1"/>
        <v>3.0339145171870564E-2</v>
      </c>
    </row>
    <row r="112" spans="12:16" ht="15" thickBot="1" x14ac:dyDescent="0.4">
      <c r="L112" s="165">
        <v>44861</v>
      </c>
      <c r="M112" s="163">
        <v>3807.3</v>
      </c>
      <c r="N112" s="163">
        <f>VLOOKUP(L112,[1]NGMS!$A$2:$B$245,2,FALSE)</f>
        <v>17.25</v>
      </c>
      <c r="O112" s="163">
        <f t="shared" si="1"/>
        <v>-6.0825980264187663E-3</v>
      </c>
      <c r="P112" s="166">
        <f t="shared" si="1"/>
        <v>-4.041570438799093E-3</v>
      </c>
    </row>
    <row r="113" spans="12:16" ht="15" thickBot="1" x14ac:dyDescent="0.4">
      <c r="L113" s="165">
        <v>44862</v>
      </c>
      <c r="M113" s="163">
        <v>3901.06</v>
      </c>
      <c r="N113" s="163">
        <f>VLOOKUP(L113,[1]NGMS!$A$2:$B$245,2,FALSE)</f>
        <v>17.290001</v>
      </c>
      <c r="O113" s="163">
        <f t="shared" si="1"/>
        <v>2.4626375646783747E-2</v>
      </c>
      <c r="P113" s="166">
        <f t="shared" si="1"/>
        <v>2.318898550724648E-3</v>
      </c>
    </row>
    <row r="114" spans="12:16" ht="15" thickBot="1" x14ac:dyDescent="0.4">
      <c r="L114" s="165">
        <v>44865</v>
      </c>
      <c r="M114" s="163">
        <v>3871.98</v>
      </c>
      <c r="N114" s="163">
        <f>VLOOKUP(L114,[1]NGMS!$A$2:$B$245,2,FALSE)</f>
        <v>17.200001</v>
      </c>
      <c r="O114" s="163">
        <f t="shared" si="1"/>
        <v>-7.4543841930141876E-3</v>
      </c>
      <c r="P114" s="166">
        <f t="shared" si="1"/>
        <v>-5.2053206937350584E-3</v>
      </c>
    </row>
    <row r="115" spans="12:16" ht="15" thickBot="1" x14ac:dyDescent="0.4">
      <c r="L115" s="165">
        <v>44866</v>
      </c>
      <c r="M115" s="163">
        <v>3856.1</v>
      </c>
      <c r="N115" s="163">
        <f>VLOOKUP(L115,[1]NGMS!$A$2:$B$245,2,FALSE)</f>
        <v>17.190000999999999</v>
      </c>
      <c r="O115" s="163">
        <f t="shared" si="1"/>
        <v>-4.1012608536201397E-3</v>
      </c>
      <c r="P115" s="166">
        <f t="shared" si="1"/>
        <v>-5.8139531503524698E-4</v>
      </c>
    </row>
    <row r="116" spans="12:16" ht="15" thickBot="1" x14ac:dyDescent="0.4">
      <c r="L116" s="165">
        <v>44867</v>
      </c>
      <c r="M116" s="163">
        <v>3759.69</v>
      </c>
      <c r="N116" s="163">
        <f>VLOOKUP(L116,[1]NGMS!$A$2:$B$245,2,FALSE)</f>
        <v>16.34</v>
      </c>
      <c r="O116" s="163">
        <f t="shared" si="1"/>
        <v>-2.500194497030675E-2</v>
      </c>
      <c r="P116" s="166">
        <f t="shared" si="1"/>
        <v>-4.9447408409109397E-2</v>
      </c>
    </row>
    <row r="117" spans="12:16" ht="15" thickBot="1" x14ac:dyDescent="0.4">
      <c r="L117" s="165">
        <v>44868</v>
      </c>
      <c r="M117" s="163">
        <v>3719.89</v>
      </c>
      <c r="N117" s="163">
        <f>VLOOKUP(L117,[1]NGMS!$A$2:$B$245,2,FALSE)</f>
        <v>15.93</v>
      </c>
      <c r="O117" s="163">
        <f t="shared" si="1"/>
        <v>-1.0585979163175736E-2</v>
      </c>
      <c r="P117" s="166">
        <f t="shared" si="1"/>
        <v>-2.5091799265605882E-2</v>
      </c>
    </row>
    <row r="118" spans="12:16" ht="15" thickBot="1" x14ac:dyDescent="0.4">
      <c r="L118" s="165">
        <v>44869</v>
      </c>
      <c r="M118" s="163">
        <v>3770.55</v>
      </c>
      <c r="N118" s="163">
        <f>VLOOKUP(L118,[1]NGMS!$A$2:$B$245,2,FALSE)</f>
        <v>16.09</v>
      </c>
      <c r="O118" s="163">
        <f t="shared" si="1"/>
        <v>1.3618682272862991E-2</v>
      </c>
      <c r="P118" s="166">
        <f t="shared" si="1"/>
        <v>1.0043942247332087E-2</v>
      </c>
    </row>
    <row r="119" spans="12:16" ht="15" thickBot="1" x14ac:dyDescent="0.4">
      <c r="L119" s="165">
        <v>44872</v>
      </c>
      <c r="M119" s="163">
        <v>3806.8</v>
      </c>
      <c r="N119" s="163">
        <f>VLOOKUP(L119,[1]NGMS!$A$2:$B$245,2,FALSE)</f>
        <v>16.350000000000001</v>
      </c>
      <c r="O119" s="163">
        <f t="shared" si="1"/>
        <v>9.613982045059739E-3</v>
      </c>
      <c r="P119" s="166">
        <f t="shared" si="1"/>
        <v>1.615910503418282E-2</v>
      </c>
    </row>
    <row r="120" spans="12:16" ht="15" thickBot="1" x14ac:dyDescent="0.4">
      <c r="L120" s="165">
        <v>44873</v>
      </c>
      <c r="M120" s="163">
        <v>3828.11</v>
      </c>
      <c r="N120" s="163">
        <f>VLOOKUP(L120,[1]NGMS!$A$2:$B$245,2,FALSE)</f>
        <v>16.940000999999999</v>
      </c>
      <c r="O120" s="163">
        <f t="shared" si="1"/>
        <v>5.5978774823999015E-3</v>
      </c>
      <c r="P120" s="166">
        <f t="shared" si="1"/>
        <v>3.608568807339433E-2</v>
      </c>
    </row>
    <row r="121" spans="12:16" ht="15" thickBot="1" x14ac:dyDescent="0.4">
      <c r="L121" s="165">
        <v>44874</v>
      </c>
      <c r="M121" s="163">
        <v>3748.57</v>
      </c>
      <c r="N121" s="163">
        <f>VLOOKUP(L121,[1]NGMS!$A$2:$B$245,2,FALSE)</f>
        <v>16.059999000000001</v>
      </c>
      <c r="O121" s="163">
        <f t="shared" si="1"/>
        <v>-2.0777877333723421E-2</v>
      </c>
      <c r="P121" s="166">
        <f t="shared" si="1"/>
        <v>-5.1948166945208422E-2</v>
      </c>
    </row>
    <row r="122" spans="12:16" ht="15" thickBot="1" x14ac:dyDescent="0.4">
      <c r="L122" s="165">
        <v>44875</v>
      </c>
      <c r="M122" s="163">
        <v>3956.37</v>
      </c>
      <c r="N122" s="163">
        <f>VLOOKUP(L122,[1]NGMS!$A$2:$B$245,2,FALSE)</f>
        <v>16.59</v>
      </c>
      <c r="O122" s="163">
        <f t="shared" si="1"/>
        <v>5.5434472345454323E-2</v>
      </c>
      <c r="P122" s="166">
        <f t="shared" si="1"/>
        <v>3.3001309651389053E-2</v>
      </c>
    </row>
    <row r="123" spans="12:16" ht="15" thickBot="1" x14ac:dyDescent="0.4">
      <c r="L123" s="165">
        <v>44876</v>
      </c>
      <c r="M123" s="163">
        <v>3992.93</v>
      </c>
      <c r="N123" s="163">
        <f>VLOOKUP(L123,[1]NGMS!$A$2:$B$245,2,FALSE)</f>
        <v>17.5</v>
      </c>
      <c r="O123" s="163">
        <f t="shared" si="1"/>
        <v>9.2407939601199963E-3</v>
      </c>
      <c r="P123" s="166">
        <f t="shared" si="1"/>
        <v>5.4852320675105495E-2</v>
      </c>
    </row>
    <row r="124" spans="12:16" ht="15" thickBot="1" x14ac:dyDescent="0.4">
      <c r="L124" s="165">
        <v>44879</v>
      </c>
      <c r="M124" s="163">
        <v>3957.25</v>
      </c>
      <c r="N124" s="163">
        <f>VLOOKUP(L124,[1]NGMS!$A$2:$B$245,2,FALSE)</f>
        <v>17.809999000000001</v>
      </c>
      <c r="O124" s="163">
        <f t="shared" si="1"/>
        <v>-8.9357940159231035E-3</v>
      </c>
      <c r="P124" s="166">
        <f t="shared" si="1"/>
        <v>1.7714228571428643E-2</v>
      </c>
    </row>
    <row r="125" spans="12:16" ht="15" thickBot="1" x14ac:dyDescent="0.4">
      <c r="L125" s="165">
        <v>44880</v>
      </c>
      <c r="M125" s="163">
        <v>3991.73</v>
      </c>
      <c r="N125" s="163">
        <f>VLOOKUP(L125,[1]NGMS!$A$2:$B$245,2,FALSE)</f>
        <v>17.82</v>
      </c>
      <c r="O125" s="163">
        <f t="shared" si="1"/>
        <v>8.7131214858803506E-3</v>
      </c>
      <c r="P125" s="166">
        <f t="shared" si="1"/>
        <v>5.6153849306780077E-4</v>
      </c>
    </row>
    <row r="126" spans="12:16" ht="15" thickBot="1" x14ac:dyDescent="0.4">
      <c r="L126" s="165">
        <v>44881</v>
      </c>
      <c r="M126" s="163">
        <v>3958.79</v>
      </c>
      <c r="N126" s="163">
        <f>VLOOKUP(L126,[1]NGMS!$A$2:$B$245,2,FALSE)</f>
        <v>18.239999999999998</v>
      </c>
      <c r="O126" s="163">
        <f t="shared" si="1"/>
        <v>-8.2520611363995199E-3</v>
      </c>
      <c r="P126" s="166">
        <f t="shared" si="1"/>
        <v>2.3569023569023465E-2</v>
      </c>
    </row>
    <row r="127" spans="12:16" ht="15" thickBot="1" x14ac:dyDescent="0.4">
      <c r="L127" s="165">
        <v>44882</v>
      </c>
      <c r="M127" s="163">
        <v>3946.56</v>
      </c>
      <c r="N127" s="163">
        <f>VLOOKUP(L127,[1]NGMS!$A$2:$B$245,2,FALSE)</f>
        <v>18.149999999999999</v>
      </c>
      <c r="O127" s="163">
        <f t="shared" si="1"/>
        <v>-3.0893277996559602E-3</v>
      </c>
      <c r="P127" s="166">
        <f t="shared" si="1"/>
        <v>-4.9342105263157823E-3</v>
      </c>
    </row>
    <row r="128" spans="12:16" ht="15" thickBot="1" x14ac:dyDescent="0.4">
      <c r="L128" s="165">
        <v>44883</v>
      </c>
      <c r="M128" s="163">
        <v>3965.34</v>
      </c>
      <c r="N128" s="163">
        <f>VLOOKUP(L128,[1]NGMS!$A$2:$B$245,2,FALSE)</f>
        <v>17.920000000000002</v>
      </c>
      <c r="O128" s="163">
        <f t="shared" si="1"/>
        <v>4.7585745560691341E-3</v>
      </c>
      <c r="P128" s="166">
        <f t="shared" si="1"/>
        <v>-1.2672176308539774E-2</v>
      </c>
    </row>
    <row r="129" spans="12:16" ht="15" thickBot="1" x14ac:dyDescent="0.4">
      <c r="L129" s="165">
        <v>44886</v>
      </c>
      <c r="M129" s="163">
        <v>3949.94</v>
      </c>
      <c r="N129" s="163">
        <f>VLOOKUP(L129,[1]NGMS!$A$2:$B$245,2,FALSE)</f>
        <v>15.86</v>
      </c>
      <c r="O129" s="163">
        <f t="shared" si="1"/>
        <v>-3.8836518432215374E-3</v>
      </c>
      <c r="P129" s="166">
        <f t="shared" si="1"/>
        <v>-0.11495535714285726</v>
      </c>
    </row>
    <row r="130" spans="12:16" ht="15" thickBot="1" x14ac:dyDescent="0.4">
      <c r="L130" s="165">
        <v>44887</v>
      </c>
      <c r="M130" s="163">
        <v>4003.58</v>
      </c>
      <c r="N130" s="163">
        <f>VLOOKUP(L130,[1]NGMS!$A$2:$B$245,2,FALSE)</f>
        <v>14.5</v>
      </c>
      <c r="O130" s="163">
        <f t="shared" si="1"/>
        <v>1.3579953113211814E-2</v>
      </c>
      <c r="P130" s="166">
        <f t="shared" si="1"/>
        <v>-8.5750315258511942E-2</v>
      </c>
    </row>
    <row r="131" spans="12:16" ht="15" thickBot="1" x14ac:dyDescent="0.4">
      <c r="L131" s="165">
        <v>44888</v>
      </c>
      <c r="M131" s="163">
        <v>4027.26</v>
      </c>
      <c r="N131" s="163">
        <f>VLOOKUP(L131,[1]NGMS!$A$2:$B$245,2,FALSE)</f>
        <v>13.91</v>
      </c>
      <c r="O131" s="163">
        <f t="shared" si="1"/>
        <v>5.9147063378277168E-3</v>
      </c>
      <c r="P131" s="166">
        <f t="shared" si="1"/>
        <v>-4.0689655172413783E-2</v>
      </c>
    </row>
    <row r="132" spans="12:16" ht="15" thickBot="1" x14ac:dyDescent="0.4">
      <c r="L132" s="165">
        <v>44890</v>
      </c>
      <c r="M132" s="163">
        <v>4026.12</v>
      </c>
      <c r="N132" s="163">
        <f>VLOOKUP(L132,[1]NGMS!$A$2:$B$245,2,FALSE)</f>
        <v>13.39</v>
      </c>
      <c r="O132" s="163">
        <f t="shared" si="1"/>
        <v>-2.8307087200735176E-4</v>
      </c>
      <c r="P132" s="166">
        <f t="shared" si="1"/>
        <v>-3.7383177570093427E-2</v>
      </c>
    </row>
    <row r="133" spans="12:16" ht="15" thickBot="1" x14ac:dyDescent="0.4">
      <c r="L133" s="165">
        <v>44893</v>
      </c>
      <c r="M133" s="163">
        <v>3963.94</v>
      </c>
      <c r="N133" s="163">
        <f>VLOOKUP(L133,[1]NGMS!$A$2:$B$245,2,FALSE)</f>
        <v>13.57</v>
      </c>
      <c r="O133" s="163">
        <f t="shared" ref="O133:P196" si="2">(M133-M132)/M132</f>
        <v>-1.5444149702443007E-2</v>
      </c>
      <c r="P133" s="166">
        <f t="shared" si="2"/>
        <v>1.3442867811799829E-2</v>
      </c>
    </row>
    <row r="134" spans="12:16" ht="15" thickBot="1" x14ac:dyDescent="0.4">
      <c r="L134" s="165">
        <v>44894</v>
      </c>
      <c r="M134" s="163">
        <v>3957.63</v>
      </c>
      <c r="N134" s="163">
        <f>VLOOKUP(L134,[1]NGMS!$A$2:$B$245,2,FALSE)</f>
        <v>13.34</v>
      </c>
      <c r="O134" s="163">
        <f t="shared" si="2"/>
        <v>-1.5918505325509329E-3</v>
      </c>
      <c r="P134" s="166">
        <f t="shared" si="2"/>
        <v>-1.6949152542372913E-2</v>
      </c>
    </row>
    <row r="135" spans="12:16" ht="15" thickBot="1" x14ac:dyDescent="0.4">
      <c r="L135" s="165">
        <v>44895</v>
      </c>
      <c r="M135" s="163">
        <v>4080.11</v>
      </c>
      <c r="N135" s="163">
        <f>VLOOKUP(L135,[1]NGMS!$A$2:$B$245,2,FALSE)</f>
        <v>13.81</v>
      </c>
      <c r="O135" s="163">
        <f t="shared" si="2"/>
        <v>3.094781472750106E-2</v>
      </c>
      <c r="P135" s="166">
        <f t="shared" si="2"/>
        <v>3.5232383808095999E-2</v>
      </c>
    </row>
    <row r="136" spans="12:16" ht="15" thickBot="1" x14ac:dyDescent="0.4">
      <c r="L136" s="165">
        <v>44896</v>
      </c>
      <c r="M136" s="163">
        <v>4076.57</v>
      </c>
      <c r="N136" s="163">
        <f>VLOOKUP(L136,[1]NGMS!$A$2:$B$245,2,FALSE)</f>
        <v>15.64</v>
      </c>
      <c r="O136" s="163">
        <f t="shared" si="2"/>
        <v>-8.6762366700896877E-4</v>
      </c>
      <c r="P136" s="166">
        <f t="shared" si="2"/>
        <v>0.13251267197682839</v>
      </c>
    </row>
    <row r="137" spans="12:16" ht="15" thickBot="1" x14ac:dyDescent="0.4">
      <c r="L137" s="165">
        <v>44897</v>
      </c>
      <c r="M137" s="163">
        <v>4071.7</v>
      </c>
      <c r="N137" s="163">
        <f>VLOOKUP(L137,[1]NGMS!$A$2:$B$245,2,FALSE)</f>
        <v>15.67</v>
      </c>
      <c r="O137" s="163">
        <f t="shared" si="2"/>
        <v>-1.1946317615054679E-3</v>
      </c>
      <c r="P137" s="166">
        <f t="shared" si="2"/>
        <v>1.9181585677748951E-3</v>
      </c>
    </row>
    <row r="138" spans="12:16" ht="15" thickBot="1" x14ac:dyDescent="0.4">
      <c r="L138" s="165">
        <v>44900</v>
      </c>
      <c r="M138" s="163">
        <v>3998.84</v>
      </c>
      <c r="N138" s="163">
        <f>VLOOKUP(L138,[1]NGMS!$A$2:$B$245,2,FALSE)</f>
        <v>15.19</v>
      </c>
      <c r="O138" s="163">
        <f t="shared" si="2"/>
        <v>-1.7894245646781364E-2</v>
      </c>
      <c r="P138" s="166">
        <f t="shared" si="2"/>
        <v>-3.0631780472239977E-2</v>
      </c>
    </row>
    <row r="139" spans="12:16" ht="15" thickBot="1" x14ac:dyDescent="0.4">
      <c r="L139" s="165">
        <v>44901</v>
      </c>
      <c r="M139" s="163">
        <v>3941.26</v>
      </c>
      <c r="N139" s="163">
        <f>VLOOKUP(L139,[1]NGMS!$A$2:$B$245,2,FALSE)</f>
        <v>13.9</v>
      </c>
      <c r="O139" s="163">
        <f t="shared" si="2"/>
        <v>-1.4399175760970663E-2</v>
      </c>
      <c r="P139" s="166">
        <f t="shared" si="2"/>
        <v>-8.4924292297564138E-2</v>
      </c>
    </row>
    <row r="140" spans="12:16" ht="15" thickBot="1" x14ac:dyDescent="0.4">
      <c r="L140" s="165">
        <v>44902</v>
      </c>
      <c r="M140" s="163">
        <v>3933.92</v>
      </c>
      <c r="N140" s="163">
        <f>VLOOKUP(L140,[1]NGMS!$A$2:$B$245,2,FALSE)</f>
        <v>13.83</v>
      </c>
      <c r="O140" s="163">
        <f t="shared" si="2"/>
        <v>-1.8623485890299409E-3</v>
      </c>
      <c r="P140" s="166">
        <f t="shared" si="2"/>
        <v>-5.0359712230216031E-3</v>
      </c>
    </row>
    <row r="141" spans="12:16" ht="15" thickBot="1" x14ac:dyDescent="0.4">
      <c r="L141" s="165">
        <v>44903</v>
      </c>
      <c r="M141" s="163">
        <v>3963.51</v>
      </c>
      <c r="N141" s="163">
        <f>VLOOKUP(L141,[1]NGMS!$A$2:$B$245,2,FALSE)</f>
        <v>14.07</v>
      </c>
      <c r="O141" s="163">
        <f t="shared" si="2"/>
        <v>7.5217594663847115E-3</v>
      </c>
      <c r="P141" s="166">
        <f t="shared" si="2"/>
        <v>1.7353579175705004E-2</v>
      </c>
    </row>
    <row r="142" spans="12:16" ht="15" thickBot="1" x14ac:dyDescent="0.4">
      <c r="L142" s="165">
        <v>44904</v>
      </c>
      <c r="M142" s="163">
        <v>3934.38</v>
      </c>
      <c r="N142" s="163">
        <f>VLOOKUP(L142,[1]NGMS!$A$2:$B$245,2,FALSE)</f>
        <v>13.18</v>
      </c>
      <c r="O142" s="163">
        <f t="shared" si="2"/>
        <v>-7.349546235533683E-3</v>
      </c>
      <c r="P142" s="166">
        <f t="shared" si="2"/>
        <v>-6.3255152807391649E-2</v>
      </c>
    </row>
    <row r="143" spans="12:16" ht="15" thickBot="1" x14ac:dyDescent="0.4">
      <c r="L143" s="165">
        <v>44907</v>
      </c>
      <c r="M143" s="163">
        <v>3990.56</v>
      </c>
      <c r="N143" s="163">
        <f>VLOOKUP(L143,[1]NGMS!$A$2:$B$245,2,FALSE)</f>
        <v>13.7</v>
      </c>
      <c r="O143" s="163">
        <f t="shared" si="2"/>
        <v>1.4279251114533887E-2</v>
      </c>
      <c r="P143" s="166">
        <f t="shared" si="2"/>
        <v>3.9453717754172959E-2</v>
      </c>
    </row>
    <row r="144" spans="12:16" ht="15" thickBot="1" x14ac:dyDescent="0.4">
      <c r="L144" s="165">
        <v>44908</v>
      </c>
      <c r="M144" s="163">
        <v>4019.65</v>
      </c>
      <c r="N144" s="163">
        <f>VLOOKUP(L144,[1]NGMS!$A$2:$B$245,2,FALSE)</f>
        <v>13.68</v>
      </c>
      <c r="O144" s="163">
        <f t="shared" si="2"/>
        <v>7.2897037007337686E-3</v>
      </c>
      <c r="P144" s="166">
        <f t="shared" si="2"/>
        <v>-1.459854014598509E-3</v>
      </c>
    </row>
    <row r="145" spans="12:16" ht="15" thickBot="1" x14ac:dyDescent="0.4">
      <c r="L145" s="165">
        <v>44909</v>
      </c>
      <c r="M145" s="163">
        <v>3995.32</v>
      </c>
      <c r="N145" s="163">
        <f>VLOOKUP(L145,[1]NGMS!$A$2:$B$245,2,FALSE)</f>
        <v>13.75</v>
      </c>
      <c r="O145" s="163">
        <f t="shared" si="2"/>
        <v>-6.052765788066107E-3</v>
      </c>
      <c r="P145" s="166">
        <f t="shared" si="2"/>
        <v>5.1169590643275059E-3</v>
      </c>
    </row>
    <row r="146" spans="12:16" ht="15" thickBot="1" x14ac:dyDescent="0.4">
      <c r="L146" s="165">
        <v>44910</v>
      </c>
      <c r="M146" s="163">
        <v>3895.75</v>
      </c>
      <c r="N146" s="163">
        <f>VLOOKUP(L146,[1]NGMS!$A$2:$B$245,2,FALSE)</f>
        <v>13.25</v>
      </c>
      <c r="O146" s="163">
        <f t="shared" si="2"/>
        <v>-2.492165834025814E-2</v>
      </c>
      <c r="P146" s="166">
        <f t="shared" si="2"/>
        <v>-3.6363636363636362E-2</v>
      </c>
    </row>
    <row r="147" spans="12:16" ht="15" thickBot="1" x14ac:dyDescent="0.4">
      <c r="L147" s="165">
        <v>44911</v>
      </c>
      <c r="M147" s="163">
        <v>3852.36</v>
      </c>
      <c r="N147" s="163">
        <f>VLOOKUP(L147,[1]NGMS!$A$2:$B$245,2,FALSE)</f>
        <v>13.04</v>
      </c>
      <c r="O147" s="163">
        <f t="shared" si="2"/>
        <v>-1.1137778348199928E-2</v>
      </c>
      <c r="P147" s="166">
        <f t="shared" si="2"/>
        <v>-1.5849056603773649E-2</v>
      </c>
    </row>
    <row r="148" spans="12:16" ht="15" thickBot="1" x14ac:dyDescent="0.4">
      <c r="L148" s="165">
        <v>44914</v>
      </c>
      <c r="M148" s="163">
        <v>3817.66</v>
      </c>
      <c r="N148" s="163">
        <f>VLOOKUP(L148,[1]NGMS!$A$2:$B$245,2,FALSE)</f>
        <v>12.23</v>
      </c>
      <c r="O148" s="163">
        <f t="shared" si="2"/>
        <v>-9.007465553582809E-3</v>
      </c>
      <c r="P148" s="166">
        <f t="shared" si="2"/>
        <v>-6.2116564417177819E-2</v>
      </c>
    </row>
    <row r="149" spans="12:16" ht="15" thickBot="1" x14ac:dyDescent="0.4">
      <c r="L149" s="165">
        <v>44915</v>
      </c>
      <c r="M149" s="163">
        <v>3821.62</v>
      </c>
      <c r="N149" s="163">
        <f>VLOOKUP(L149,[1]NGMS!$A$2:$B$245,2,FALSE)</f>
        <v>12.27</v>
      </c>
      <c r="O149" s="163">
        <f t="shared" si="2"/>
        <v>1.0372846193741811E-3</v>
      </c>
      <c r="P149" s="166">
        <f t="shared" si="2"/>
        <v>3.270645952575564E-3</v>
      </c>
    </row>
    <row r="150" spans="12:16" ht="15" thickBot="1" x14ac:dyDescent="0.4">
      <c r="L150" s="165">
        <v>44916</v>
      </c>
      <c r="M150" s="163">
        <v>3878.44</v>
      </c>
      <c r="N150" s="163">
        <f>VLOOKUP(L150,[1]NGMS!$A$2:$B$245,2,FALSE)</f>
        <v>12.43</v>
      </c>
      <c r="O150" s="163">
        <f t="shared" si="2"/>
        <v>1.4868040255179784E-2</v>
      </c>
      <c r="P150" s="166">
        <f t="shared" si="2"/>
        <v>1.303993480032601E-2</v>
      </c>
    </row>
    <row r="151" spans="12:16" ht="15" thickBot="1" x14ac:dyDescent="0.4">
      <c r="L151" s="165">
        <v>44917</v>
      </c>
      <c r="M151" s="163">
        <v>3822.39</v>
      </c>
      <c r="N151" s="163">
        <f>VLOOKUP(L151,[1]NGMS!$A$2:$B$245,2,FALSE)</f>
        <v>11.83</v>
      </c>
      <c r="O151" s="163">
        <f t="shared" si="2"/>
        <v>-1.4451686760656394E-2</v>
      </c>
      <c r="P151" s="166">
        <f t="shared" si="2"/>
        <v>-4.8270313757039392E-2</v>
      </c>
    </row>
    <row r="152" spans="12:16" ht="15" thickBot="1" x14ac:dyDescent="0.4">
      <c r="L152" s="165">
        <v>44918</v>
      </c>
      <c r="M152" s="163">
        <v>3844.82</v>
      </c>
      <c r="N152" s="163">
        <f>VLOOKUP(L152,[1]NGMS!$A$2:$B$245,2,FALSE)</f>
        <v>12.07</v>
      </c>
      <c r="O152" s="163">
        <f t="shared" si="2"/>
        <v>5.8680563731069542E-3</v>
      </c>
      <c r="P152" s="166">
        <f t="shared" si="2"/>
        <v>2.0287404902789536E-2</v>
      </c>
    </row>
    <row r="153" spans="12:16" ht="15" thickBot="1" x14ac:dyDescent="0.4">
      <c r="L153" s="165">
        <v>44922</v>
      </c>
      <c r="M153" s="163">
        <v>3829.25</v>
      </c>
      <c r="N153" s="163">
        <f>VLOOKUP(L153,[1]NGMS!$A$2:$B$245,2,FALSE)</f>
        <v>11.9</v>
      </c>
      <c r="O153" s="163">
        <f t="shared" si="2"/>
        <v>-4.0496044028069354E-3</v>
      </c>
      <c r="P153" s="166">
        <f t="shared" si="2"/>
        <v>-1.4084507042253515E-2</v>
      </c>
    </row>
    <row r="154" spans="12:16" ht="15" thickBot="1" x14ac:dyDescent="0.4">
      <c r="L154" s="165">
        <v>44923</v>
      </c>
      <c r="M154" s="163">
        <v>3783.22</v>
      </c>
      <c r="N154" s="163">
        <f>VLOOKUP(L154,[1]NGMS!$A$2:$B$245,2,FALSE)</f>
        <v>11.74</v>
      </c>
      <c r="O154" s="163">
        <f t="shared" si="2"/>
        <v>-1.2020630671802625E-2</v>
      </c>
      <c r="P154" s="166">
        <f t="shared" si="2"/>
        <v>-1.3445378151260515E-2</v>
      </c>
    </row>
    <row r="155" spans="12:16" ht="15" thickBot="1" x14ac:dyDescent="0.4">
      <c r="L155" s="165">
        <v>44924</v>
      </c>
      <c r="M155" s="163">
        <v>3849.28</v>
      </c>
      <c r="N155" s="163">
        <f>VLOOKUP(L155,[1]NGMS!$A$2:$B$245,2,FALSE)</f>
        <v>12.2</v>
      </c>
      <c r="O155" s="163">
        <f t="shared" si="2"/>
        <v>1.7461316021801641E-2</v>
      </c>
      <c r="P155" s="166">
        <f t="shared" si="2"/>
        <v>3.918228279386704E-2</v>
      </c>
    </row>
    <row r="156" spans="12:16" ht="15" thickBot="1" x14ac:dyDescent="0.4">
      <c r="L156" s="165">
        <v>44925</v>
      </c>
      <c r="M156" s="163">
        <v>3839.5</v>
      </c>
      <c r="N156" s="163">
        <f>VLOOKUP(L156,[1]NGMS!$A$2:$B$245,2,FALSE)</f>
        <v>12.19</v>
      </c>
      <c r="O156" s="163">
        <f t="shared" si="2"/>
        <v>-2.5407348906809064E-3</v>
      </c>
      <c r="P156" s="166">
        <f t="shared" si="2"/>
        <v>-8.1967213114752353E-4</v>
      </c>
    </row>
    <row r="157" spans="12:16" ht="15" thickBot="1" x14ac:dyDescent="0.4">
      <c r="L157" s="165">
        <v>44929</v>
      </c>
      <c r="M157" s="163">
        <v>3824.14</v>
      </c>
      <c r="N157" s="163">
        <f>VLOOKUP(L157,[1]NGMS!$A$2:$B$245,2,FALSE)</f>
        <v>12.91</v>
      </c>
      <c r="O157" s="163">
        <f t="shared" si="2"/>
        <v>-4.0005209011590385E-3</v>
      </c>
      <c r="P157" s="166">
        <f t="shared" si="2"/>
        <v>5.9064807219032046E-2</v>
      </c>
    </row>
    <row r="158" spans="12:16" ht="15" thickBot="1" x14ac:dyDescent="0.4">
      <c r="L158" s="165">
        <v>44930</v>
      </c>
      <c r="M158" s="163">
        <v>3852.97</v>
      </c>
      <c r="N158" s="163">
        <f>VLOOKUP(L158,[1]NGMS!$A$2:$B$245,2,FALSE)</f>
        <v>13.39</v>
      </c>
      <c r="O158" s="163">
        <f t="shared" si="2"/>
        <v>7.5389499338413156E-3</v>
      </c>
      <c r="P158" s="166">
        <f t="shared" si="2"/>
        <v>3.71804802478699E-2</v>
      </c>
    </row>
    <row r="159" spans="12:16" ht="15" thickBot="1" x14ac:dyDescent="0.4">
      <c r="L159" s="165">
        <v>44931</v>
      </c>
      <c r="M159" s="163">
        <v>3808.1</v>
      </c>
      <c r="N159" s="163">
        <f>VLOOKUP(L159,[1]NGMS!$A$2:$B$245,2,FALSE)</f>
        <v>11.96</v>
      </c>
      <c r="O159" s="163">
        <f t="shared" si="2"/>
        <v>-1.1645561735492332E-2</v>
      </c>
      <c r="P159" s="166">
        <f t="shared" si="2"/>
        <v>-0.10679611650485435</v>
      </c>
    </row>
    <row r="160" spans="12:16" ht="15" thickBot="1" x14ac:dyDescent="0.4">
      <c r="L160" s="165">
        <v>44932</v>
      </c>
      <c r="M160" s="163">
        <v>3895.08</v>
      </c>
      <c r="N160" s="163">
        <f>VLOOKUP(L160,[1]NGMS!$A$2:$B$245,2,FALSE)</f>
        <v>12.49</v>
      </c>
      <c r="O160" s="163">
        <f t="shared" si="2"/>
        <v>2.2840786744045591E-2</v>
      </c>
      <c r="P160" s="166">
        <f t="shared" si="2"/>
        <v>4.4314381270902953E-2</v>
      </c>
    </row>
    <row r="161" spans="12:16" ht="15" thickBot="1" x14ac:dyDescent="0.4">
      <c r="L161" s="165">
        <v>44935</v>
      </c>
      <c r="M161" s="163">
        <v>3892.09</v>
      </c>
      <c r="N161" s="163">
        <f>VLOOKUP(L161,[1]NGMS!$A$2:$B$245,2,FALSE)</f>
        <v>12.33</v>
      </c>
      <c r="O161" s="163">
        <f t="shared" si="2"/>
        <v>-7.6763506782910281E-4</v>
      </c>
      <c r="P161" s="166">
        <f t="shared" si="2"/>
        <v>-1.2810248198558858E-2</v>
      </c>
    </row>
    <row r="162" spans="12:16" ht="15" thickBot="1" x14ac:dyDescent="0.4">
      <c r="L162" s="165">
        <v>44936</v>
      </c>
      <c r="M162" s="163">
        <v>3919.25</v>
      </c>
      <c r="N162" s="163">
        <f>VLOOKUP(L162,[1]NGMS!$A$2:$B$245,2,FALSE)</f>
        <v>13.14</v>
      </c>
      <c r="O162" s="163">
        <f t="shared" si="2"/>
        <v>6.9782558985017956E-3</v>
      </c>
      <c r="P162" s="166">
        <f t="shared" si="2"/>
        <v>6.5693430656934351E-2</v>
      </c>
    </row>
    <row r="163" spans="12:16" ht="15" thickBot="1" x14ac:dyDescent="0.4">
      <c r="L163" s="165">
        <v>44937</v>
      </c>
      <c r="M163" s="163">
        <v>3969.61</v>
      </c>
      <c r="N163" s="163">
        <f>VLOOKUP(L163,[1]NGMS!$A$2:$B$245,2,FALSE)</f>
        <v>12.69</v>
      </c>
      <c r="O163" s="163">
        <f t="shared" si="2"/>
        <v>1.2849397206098139E-2</v>
      </c>
      <c r="P163" s="166">
        <f t="shared" si="2"/>
        <v>-3.4246575342465835E-2</v>
      </c>
    </row>
    <row r="164" spans="12:16" ht="15" thickBot="1" x14ac:dyDescent="0.4">
      <c r="L164" s="165">
        <v>44938</v>
      </c>
      <c r="M164" s="163">
        <v>3983.17</v>
      </c>
      <c r="N164" s="163">
        <f>VLOOKUP(L164,[1]NGMS!$A$2:$B$245,2,FALSE)</f>
        <v>12.29</v>
      </c>
      <c r="O164" s="163">
        <f t="shared" si="2"/>
        <v>3.4159527006431224E-3</v>
      </c>
      <c r="P164" s="166">
        <f t="shared" si="2"/>
        <v>-3.1520882584712404E-2</v>
      </c>
    </row>
    <row r="165" spans="12:16" ht="15" thickBot="1" x14ac:dyDescent="0.4">
      <c r="L165" s="165">
        <v>44939</v>
      </c>
      <c r="M165" s="163">
        <v>3999.09</v>
      </c>
      <c r="N165" s="163">
        <f>VLOOKUP(L165,[1]NGMS!$A$2:$B$245,2,FALSE)</f>
        <v>12.26</v>
      </c>
      <c r="O165" s="163">
        <f t="shared" si="2"/>
        <v>3.9968166058692127E-3</v>
      </c>
      <c r="P165" s="166">
        <f t="shared" si="2"/>
        <v>-2.4410089503660993E-3</v>
      </c>
    </row>
    <row r="166" spans="12:16" ht="15" thickBot="1" x14ac:dyDescent="0.4">
      <c r="L166" s="165">
        <v>44943</v>
      </c>
      <c r="M166" s="163">
        <v>3990.97</v>
      </c>
      <c r="N166" s="163">
        <f>VLOOKUP(L166,[1]NGMS!$A$2:$B$245,2,FALSE)</f>
        <v>12.27</v>
      </c>
      <c r="O166" s="163">
        <f t="shared" si="2"/>
        <v>-2.0304619300891818E-3</v>
      </c>
      <c r="P166" s="166">
        <f t="shared" si="2"/>
        <v>8.1566068515495811E-4</v>
      </c>
    </row>
    <row r="167" spans="12:16" ht="15" thickBot="1" x14ac:dyDescent="0.4">
      <c r="L167" s="165">
        <v>44944</v>
      </c>
      <c r="M167" s="163">
        <v>3928.86</v>
      </c>
      <c r="N167" s="163">
        <f>VLOOKUP(L167,[1]NGMS!$A$2:$B$245,2,FALSE)</f>
        <v>12.02</v>
      </c>
      <c r="O167" s="163">
        <f t="shared" si="2"/>
        <v>-1.5562632643191925E-2</v>
      </c>
      <c r="P167" s="166">
        <f t="shared" si="2"/>
        <v>-2.0374898125509373E-2</v>
      </c>
    </row>
    <row r="168" spans="12:16" ht="15" thickBot="1" x14ac:dyDescent="0.4">
      <c r="L168" s="165">
        <v>44945</v>
      </c>
      <c r="M168" s="163">
        <v>3898.85</v>
      </c>
      <c r="N168" s="163">
        <f>VLOOKUP(L168,[1]NGMS!$A$2:$B$245,2,FALSE)</f>
        <v>11.29</v>
      </c>
      <c r="O168" s="163">
        <f t="shared" si="2"/>
        <v>-7.6383480195273482E-3</v>
      </c>
      <c r="P168" s="166">
        <f t="shared" si="2"/>
        <v>-6.0732113144758772E-2</v>
      </c>
    </row>
    <row r="169" spans="12:16" ht="15" thickBot="1" x14ac:dyDescent="0.4">
      <c r="L169" s="165">
        <v>44946</v>
      </c>
      <c r="M169" s="163">
        <v>3972.61</v>
      </c>
      <c r="N169" s="163">
        <f>VLOOKUP(L169,[1]NGMS!$A$2:$B$245,2,FALSE)</f>
        <v>12.29</v>
      </c>
      <c r="O169" s="163">
        <f t="shared" si="2"/>
        <v>1.8918399015094251E-2</v>
      </c>
      <c r="P169" s="166">
        <f t="shared" si="2"/>
        <v>8.8573959255978746E-2</v>
      </c>
    </row>
    <row r="170" spans="12:16" ht="15" thickBot="1" x14ac:dyDescent="0.4">
      <c r="L170" s="165">
        <v>44949</v>
      </c>
      <c r="M170" s="163">
        <v>4019.81</v>
      </c>
      <c r="N170" s="163">
        <f>VLOOKUP(L170,[1]NGMS!$A$2:$B$245,2,FALSE)</f>
        <v>12.92</v>
      </c>
      <c r="O170" s="163">
        <f t="shared" si="2"/>
        <v>1.188135759613952E-2</v>
      </c>
      <c r="P170" s="166">
        <f t="shared" si="2"/>
        <v>5.1261187957689247E-2</v>
      </c>
    </row>
    <row r="171" spans="12:16" ht="15" thickBot="1" x14ac:dyDescent="0.4">
      <c r="L171" s="165">
        <v>44950</v>
      </c>
      <c r="M171" s="163">
        <v>4016.95</v>
      </c>
      <c r="N171" s="163">
        <f>VLOOKUP(L171,[1]NGMS!$A$2:$B$245,2,FALSE)</f>
        <v>12.71</v>
      </c>
      <c r="O171" s="163">
        <f t="shared" si="2"/>
        <v>-7.1147641306433074E-4</v>
      </c>
      <c r="P171" s="166">
        <f t="shared" si="2"/>
        <v>-1.6253869969040175E-2</v>
      </c>
    </row>
    <row r="172" spans="12:16" ht="15" thickBot="1" x14ac:dyDescent="0.4">
      <c r="L172" s="165">
        <v>44951</v>
      </c>
      <c r="M172" s="163">
        <v>4016.22</v>
      </c>
      <c r="N172" s="163">
        <f>VLOOKUP(L172,[1]NGMS!$A$2:$B$245,2,FALSE)</f>
        <v>12.8</v>
      </c>
      <c r="O172" s="163">
        <f t="shared" si="2"/>
        <v>-1.8172991946626625E-4</v>
      </c>
      <c r="P172" s="166">
        <f t="shared" si="2"/>
        <v>7.0810385523209958E-3</v>
      </c>
    </row>
    <row r="173" spans="12:16" ht="15" thickBot="1" x14ac:dyDescent="0.4">
      <c r="L173" s="165">
        <v>44952</v>
      </c>
      <c r="M173" s="163">
        <v>4060.43</v>
      </c>
      <c r="N173" s="163">
        <f>VLOOKUP(L173,[1]NGMS!$A$2:$B$245,2,FALSE)</f>
        <v>12.54</v>
      </c>
      <c r="O173" s="163">
        <f t="shared" si="2"/>
        <v>1.1007863115068408E-2</v>
      </c>
      <c r="P173" s="166">
        <f t="shared" si="2"/>
        <v>-2.0312500000000122E-2</v>
      </c>
    </row>
    <row r="174" spans="12:16" ht="15" thickBot="1" x14ac:dyDescent="0.4">
      <c r="L174" s="165">
        <v>44953</v>
      </c>
      <c r="M174" s="163">
        <v>4070.56</v>
      </c>
      <c r="N174" s="163">
        <f>VLOOKUP(L174,[1]NGMS!$A$2:$B$245,2,FALSE)</f>
        <v>12.5</v>
      </c>
      <c r="O174" s="163">
        <f t="shared" si="2"/>
        <v>2.4948096630160129E-3</v>
      </c>
      <c r="P174" s="166">
        <f t="shared" si="2"/>
        <v>-3.1897926634768064E-3</v>
      </c>
    </row>
    <row r="175" spans="12:16" ht="15" thickBot="1" x14ac:dyDescent="0.4">
      <c r="L175" s="165">
        <v>44956</v>
      </c>
      <c r="M175" s="163">
        <v>4017.77</v>
      </c>
      <c r="N175" s="163">
        <f>VLOOKUP(L175,[1]NGMS!$A$2:$B$245,2,FALSE)</f>
        <v>12.42</v>
      </c>
      <c r="O175" s="163">
        <f t="shared" si="2"/>
        <v>-1.2968731575016696E-2</v>
      </c>
      <c r="P175" s="166">
        <f t="shared" si="2"/>
        <v>-6.4000000000000055E-3</v>
      </c>
    </row>
    <row r="176" spans="12:16" ht="15" thickBot="1" x14ac:dyDescent="0.4">
      <c r="L176" s="165">
        <v>44957</v>
      </c>
      <c r="M176" s="163">
        <v>4076.6</v>
      </c>
      <c r="N176" s="163">
        <f>VLOOKUP(L176,[1]NGMS!$A$2:$B$245,2,FALSE)</f>
        <v>12.9</v>
      </c>
      <c r="O176" s="163">
        <f t="shared" si="2"/>
        <v>1.4642450911824203E-2</v>
      </c>
      <c r="P176" s="166">
        <f t="shared" si="2"/>
        <v>3.8647342995169115E-2</v>
      </c>
    </row>
    <row r="177" spans="12:16" ht="15" thickBot="1" x14ac:dyDescent="0.4">
      <c r="L177" s="165">
        <v>44958</v>
      </c>
      <c r="M177" s="163">
        <v>4119.21</v>
      </c>
      <c r="N177" s="163">
        <f>VLOOKUP(L177,[1]NGMS!$A$2:$B$245,2,FALSE)</f>
        <v>13.44</v>
      </c>
      <c r="O177" s="163">
        <f t="shared" si="2"/>
        <v>1.045233773242411E-2</v>
      </c>
      <c r="P177" s="166">
        <f t="shared" si="2"/>
        <v>4.1860465116279E-2</v>
      </c>
    </row>
    <row r="178" spans="12:16" ht="15" thickBot="1" x14ac:dyDescent="0.4">
      <c r="L178" s="165">
        <v>44959</v>
      </c>
      <c r="M178" s="163">
        <v>4179.76</v>
      </c>
      <c r="N178" s="163">
        <f>VLOOKUP(L178,[1]NGMS!$A$2:$B$245,2,FALSE)</f>
        <v>14.34</v>
      </c>
      <c r="O178" s="163">
        <f t="shared" si="2"/>
        <v>1.4699420519954112E-2</v>
      </c>
      <c r="P178" s="166">
        <f t="shared" si="2"/>
        <v>6.696428571428574E-2</v>
      </c>
    </row>
    <row r="179" spans="12:16" ht="15" thickBot="1" x14ac:dyDescent="0.4">
      <c r="L179" s="165">
        <v>44960</v>
      </c>
      <c r="M179" s="163">
        <v>4136.4799999999996</v>
      </c>
      <c r="N179" s="163">
        <f>VLOOKUP(L179,[1]NGMS!$A$2:$B$245,2,FALSE)</f>
        <v>14.16</v>
      </c>
      <c r="O179" s="163">
        <f t="shared" si="2"/>
        <v>-1.0354661511665898E-2</v>
      </c>
      <c r="P179" s="166">
        <f t="shared" si="2"/>
        <v>-1.2552301255230106E-2</v>
      </c>
    </row>
    <row r="180" spans="12:16" ht="15" thickBot="1" x14ac:dyDescent="0.4">
      <c r="L180" s="165">
        <v>44963</v>
      </c>
      <c r="M180" s="163">
        <v>4111.08</v>
      </c>
      <c r="N180" s="163">
        <f>VLOOKUP(L180,[1]NGMS!$A$2:$B$245,2,FALSE)</f>
        <v>13.8</v>
      </c>
      <c r="O180" s="163">
        <f t="shared" si="2"/>
        <v>-6.1404865973000329E-3</v>
      </c>
      <c r="P180" s="166">
        <f t="shared" si="2"/>
        <v>-2.5423728813559282E-2</v>
      </c>
    </row>
    <row r="181" spans="12:16" ht="15" thickBot="1" x14ac:dyDescent="0.4">
      <c r="L181" s="165">
        <v>44964</v>
      </c>
      <c r="M181" s="163">
        <v>4164</v>
      </c>
      <c r="N181" s="163">
        <f>VLOOKUP(L181,[1]NGMS!$A$2:$B$245,2,FALSE)</f>
        <v>14.31</v>
      </c>
      <c r="O181" s="163">
        <f t="shared" si="2"/>
        <v>1.2872529846171828E-2</v>
      </c>
      <c r="P181" s="166">
        <f t="shared" si="2"/>
        <v>3.6956521739130416E-2</v>
      </c>
    </row>
    <row r="182" spans="12:16" ht="15" thickBot="1" x14ac:dyDescent="0.4">
      <c r="L182" s="165">
        <v>44965</v>
      </c>
      <c r="M182" s="163">
        <v>4117.8599999999997</v>
      </c>
      <c r="N182" s="163">
        <f>VLOOKUP(L182,[1]NGMS!$A$2:$B$245,2,FALSE)</f>
        <v>14.09</v>
      </c>
      <c r="O182" s="163">
        <f t="shared" si="2"/>
        <v>-1.1080691642651375E-2</v>
      </c>
      <c r="P182" s="166">
        <f t="shared" si="2"/>
        <v>-1.5373864430468249E-2</v>
      </c>
    </row>
    <row r="183" spans="12:16" ht="15" thickBot="1" x14ac:dyDescent="0.4">
      <c r="L183" s="165">
        <v>44966</v>
      </c>
      <c r="M183" s="163">
        <v>4081.5</v>
      </c>
      <c r="N183" s="163">
        <f>VLOOKUP(L183,[1]NGMS!$A$2:$B$245,2,FALSE)</f>
        <v>13.89</v>
      </c>
      <c r="O183" s="163">
        <f t="shared" si="2"/>
        <v>-8.8298290859814745E-3</v>
      </c>
      <c r="P183" s="166">
        <f t="shared" si="2"/>
        <v>-1.4194464158977948E-2</v>
      </c>
    </row>
    <row r="184" spans="12:16" ht="15" thickBot="1" x14ac:dyDescent="0.4">
      <c r="L184" s="165">
        <v>44967</v>
      </c>
      <c r="M184" s="163">
        <v>4090.46</v>
      </c>
      <c r="N184" s="163">
        <f>VLOOKUP(L184,[1]NGMS!$A$2:$B$245,2,FALSE)</f>
        <v>13.88</v>
      </c>
      <c r="O184" s="163">
        <f t="shared" si="2"/>
        <v>2.1952713463187644E-3</v>
      </c>
      <c r="P184" s="166">
        <f t="shared" si="2"/>
        <v>-7.1994240460761597E-4</v>
      </c>
    </row>
    <row r="185" spans="12:16" ht="15" thickBot="1" x14ac:dyDescent="0.4">
      <c r="L185" s="165">
        <v>44970</v>
      </c>
      <c r="M185" s="163">
        <v>4137.29</v>
      </c>
      <c r="N185" s="163">
        <f>VLOOKUP(L185,[1]NGMS!$A$2:$B$245,2,FALSE)</f>
        <v>14.74</v>
      </c>
      <c r="O185" s="163">
        <f t="shared" si="2"/>
        <v>1.1448590134116927E-2</v>
      </c>
      <c r="P185" s="166">
        <f t="shared" si="2"/>
        <v>6.1959654178674307E-2</v>
      </c>
    </row>
    <row r="186" spans="12:16" ht="15" thickBot="1" x14ac:dyDescent="0.4">
      <c r="L186" s="165">
        <v>44971</v>
      </c>
      <c r="M186" s="163">
        <v>4136.13</v>
      </c>
      <c r="N186" s="163">
        <f>VLOOKUP(L186,[1]NGMS!$A$2:$B$245,2,FALSE)</f>
        <v>14.74</v>
      </c>
      <c r="O186" s="163">
        <f t="shared" si="2"/>
        <v>-2.8037676836766446E-4</v>
      </c>
      <c r="P186" s="166">
        <f t="shared" si="2"/>
        <v>0</v>
      </c>
    </row>
    <row r="187" spans="12:16" ht="15" thickBot="1" x14ac:dyDescent="0.4">
      <c r="L187" s="165">
        <v>44972</v>
      </c>
      <c r="M187" s="163">
        <v>4147.6000000000004</v>
      </c>
      <c r="N187" s="163">
        <f>VLOOKUP(L187,[1]NGMS!$A$2:$B$245,2,FALSE)</f>
        <v>15.24</v>
      </c>
      <c r="O187" s="163">
        <f t="shared" si="2"/>
        <v>2.7731236687435486E-3</v>
      </c>
      <c r="P187" s="166">
        <f t="shared" si="2"/>
        <v>3.3921302578018994E-2</v>
      </c>
    </row>
    <row r="188" spans="12:16" ht="15" thickBot="1" x14ac:dyDescent="0.4">
      <c r="L188" s="165">
        <v>44973</v>
      </c>
      <c r="M188" s="163">
        <v>4090.41</v>
      </c>
      <c r="N188" s="163">
        <f>VLOOKUP(L188,[1]NGMS!$A$2:$B$245,2,FALSE)</f>
        <v>14.97</v>
      </c>
      <c r="O188" s="163">
        <f t="shared" si="2"/>
        <v>-1.3788697077828264E-2</v>
      </c>
      <c r="P188" s="166">
        <f t="shared" si="2"/>
        <v>-1.7716535433070838E-2</v>
      </c>
    </row>
    <row r="189" spans="12:16" ht="15" thickBot="1" x14ac:dyDescent="0.4">
      <c r="L189" s="165">
        <v>44974</v>
      </c>
      <c r="M189" s="163">
        <v>4079.09</v>
      </c>
      <c r="N189" s="163">
        <f>VLOOKUP(L189,[1]NGMS!$A$2:$B$245,2,FALSE)</f>
        <v>14.88</v>
      </c>
      <c r="O189" s="163">
        <f t="shared" si="2"/>
        <v>-2.7674487398573026E-3</v>
      </c>
      <c r="P189" s="166">
        <f t="shared" si="2"/>
        <v>-6.0120240480961828E-3</v>
      </c>
    </row>
    <row r="190" spans="12:16" ht="15" thickBot="1" x14ac:dyDescent="0.4">
      <c r="L190" s="165">
        <v>44978</v>
      </c>
      <c r="M190" s="163">
        <v>3997.34</v>
      </c>
      <c r="N190" s="163">
        <f>VLOOKUP(L190,[1]NGMS!$A$2:$B$245,2,FALSE)</f>
        <v>14.45</v>
      </c>
      <c r="O190" s="163">
        <f t="shared" si="2"/>
        <v>-2.0041234687148357E-2</v>
      </c>
      <c r="P190" s="166">
        <f t="shared" si="2"/>
        <v>-2.8897849462365691E-2</v>
      </c>
    </row>
    <row r="191" spans="12:16" ht="15" thickBot="1" x14ac:dyDescent="0.4">
      <c r="L191" s="165">
        <v>44979</v>
      </c>
      <c r="M191" s="163">
        <v>3991.05</v>
      </c>
      <c r="N191" s="163">
        <f>VLOOKUP(L191,[1]NGMS!$A$2:$B$245,2,FALSE)</f>
        <v>14.74</v>
      </c>
      <c r="O191" s="163">
        <f t="shared" si="2"/>
        <v>-1.5735464083615513E-3</v>
      </c>
      <c r="P191" s="166">
        <f t="shared" si="2"/>
        <v>2.00692041522492E-2</v>
      </c>
    </row>
    <row r="192" spans="12:16" ht="15" thickBot="1" x14ac:dyDescent="0.4">
      <c r="L192" s="165">
        <v>44980</v>
      </c>
      <c r="M192" s="163">
        <v>4012.32</v>
      </c>
      <c r="N192" s="163">
        <f>VLOOKUP(L192,[1]NGMS!$A$2:$B$245,2,FALSE)</f>
        <v>14.8</v>
      </c>
      <c r="O192" s="163">
        <f t="shared" si="2"/>
        <v>5.3294245875145588E-3</v>
      </c>
      <c r="P192" s="166">
        <f t="shared" si="2"/>
        <v>4.070556309362313E-3</v>
      </c>
    </row>
    <row r="193" spans="12:16" ht="15" thickBot="1" x14ac:dyDescent="0.4">
      <c r="L193" s="165">
        <v>44981</v>
      </c>
      <c r="M193" s="163">
        <v>3970.04</v>
      </c>
      <c r="N193" s="163">
        <f>VLOOKUP(L193,[1]NGMS!$A$2:$B$245,2,FALSE)</f>
        <v>14.13</v>
      </c>
      <c r="O193" s="163">
        <f t="shared" si="2"/>
        <v>-1.0537544363360898E-2</v>
      </c>
      <c r="P193" s="166">
        <f t="shared" si="2"/>
        <v>-4.5270270270270266E-2</v>
      </c>
    </row>
    <row r="194" spans="12:16" ht="15" thickBot="1" x14ac:dyDescent="0.4">
      <c r="L194" s="165">
        <v>44984</v>
      </c>
      <c r="M194" s="163">
        <v>3982.24</v>
      </c>
      <c r="N194" s="163">
        <f>VLOOKUP(L194,[1]NGMS!$A$2:$B$245,2,FALSE)</f>
        <v>15</v>
      </c>
      <c r="O194" s="163">
        <f t="shared" si="2"/>
        <v>3.0730168965551526E-3</v>
      </c>
      <c r="P194" s="166">
        <f t="shared" si="2"/>
        <v>6.1571125265392726E-2</v>
      </c>
    </row>
    <row r="195" spans="12:16" ht="15" thickBot="1" x14ac:dyDescent="0.4">
      <c r="L195" s="165">
        <v>44985</v>
      </c>
      <c r="M195" s="163">
        <v>3970.15</v>
      </c>
      <c r="N195" s="163">
        <f>VLOOKUP(L195,[1]NGMS!$A$2:$B$245,2,FALSE)</f>
        <v>15.55</v>
      </c>
      <c r="O195" s="163">
        <f t="shared" si="2"/>
        <v>-3.0359797500903239E-3</v>
      </c>
      <c r="P195" s="166">
        <f t="shared" si="2"/>
        <v>3.6666666666666715E-2</v>
      </c>
    </row>
    <row r="196" spans="12:16" ht="15" thickBot="1" x14ac:dyDescent="0.4">
      <c r="L196" s="165">
        <v>44986</v>
      </c>
      <c r="M196" s="163">
        <v>3951.39</v>
      </c>
      <c r="N196" s="163">
        <f>VLOOKUP(L196,[1]NGMS!$A$2:$B$245,2,FALSE)</f>
        <v>15.8</v>
      </c>
      <c r="O196" s="163">
        <f t="shared" si="2"/>
        <v>-4.7252622696875978E-3</v>
      </c>
      <c r="P196" s="166">
        <f t="shared" si="2"/>
        <v>1.607717041800643E-2</v>
      </c>
    </row>
    <row r="197" spans="12:16" ht="15" thickBot="1" x14ac:dyDescent="0.4">
      <c r="L197" s="165">
        <v>44987</v>
      </c>
      <c r="M197" s="163">
        <v>3981.35</v>
      </c>
      <c r="N197" s="163">
        <f>VLOOKUP(L197,[1]NGMS!$A$2:$B$245,2,FALSE)</f>
        <v>15.33</v>
      </c>
      <c r="O197" s="163">
        <f t="shared" ref="O197:P246" si="3">(M197-M196)/M196</f>
        <v>7.5821419804170277E-3</v>
      </c>
      <c r="P197" s="166">
        <f t="shared" si="3"/>
        <v>-2.9746835443038015E-2</v>
      </c>
    </row>
    <row r="198" spans="12:16" ht="15" thickBot="1" x14ac:dyDescent="0.4">
      <c r="L198" s="165">
        <v>44988</v>
      </c>
      <c r="M198" s="163">
        <v>4045.64</v>
      </c>
      <c r="N198" s="163">
        <f>VLOOKUP(L198,[1]NGMS!$A$2:$B$245,2,FALSE)</f>
        <v>15.48</v>
      </c>
      <c r="O198" s="163">
        <f t="shared" si="3"/>
        <v>1.6147789066522655E-2</v>
      </c>
      <c r="P198" s="166">
        <f t="shared" si="3"/>
        <v>9.7847358121330962E-3</v>
      </c>
    </row>
    <row r="199" spans="12:16" ht="15" thickBot="1" x14ac:dyDescent="0.4">
      <c r="L199" s="165">
        <v>44991</v>
      </c>
      <c r="M199" s="163">
        <v>4048.42</v>
      </c>
      <c r="N199" s="163">
        <f>VLOOKUP(L199,[1]NGMS!$A$2:$B$245,2,FALSE)</f>
        <v>14.8</v>
      </c>
      <c r="O199" s="163">
        <f t="shared" si="3"/>
        <v>6.8715950999105211E-4</v>
      </c>
      <c r="P199" s="166">
        <f t="shared" si="3"/>
        <v>-4.3927648578811353E-2</v>
      </c>
    </row>
    <row r="200" spans="12:16" ht="15" thickBot="1" x14ac:dyDescent="0.4">
      <c r="L200" s="165">
        <v>44992</v>
      </c>
      <c r="M200" s="163">
        <v>3986.37</v>
      </c>
      <c r="N200" s="163">
        <f>VLOOKUP(L200,[1]NGMS!$A$2:$B$245,2,FALSE)</f>
        <v>16.68</v>
      </c>
      <c r="O200" s="163">
        <f t="shared" si="3"/>
        <v>-1.532696706369403E-2</v>
      </c>
      <c r="P200" s="166">
        <f t="shared" si="3"/>
        <v>0.12702702702702695</v>
      </c>
    </row>
    <row r="201" spans="12:16" ht="15" thickBot="1" x14ac:dyDescent="0.4">
      <c r="L201" s="165">
        <v>44993</v>
      </c>
      <c r="M201" s="163">
        <v>3992.01</v>
      </c>
      <c r="N201" s="163">
        <f>VLOOKUP(L201,[1]NGMS!$A$2:$B$245,2,FALSE)</f>
        <v>16.610001</v>
      </c>
      <c r="O201" s="163">
        <f t="shared" si="3"/>
        <v>1.4148210025663266E-3</v>
      </c>
      <c r="P201" s="166">
        <f t="shared" si="3"/>
        <v>-4.1965827338129053E-3</v>
      </c>
    </row>
    <row r="202" spans="12:16" ht="15" thickBot="1" x14ac:dyDescent="0.4">
      <c r="L202" s="165">
        <v>44994</v>
      </c>
      <c r="M202" s="163">
        <v>3918.32</v>
      </c>
      <c r="N202" s="163">
        <f>VLOOKUP(L202,[1]NGMS!$A$2:$B$245,2,FALSE)</f>
        <v>15.97</v>
      </c>
      <c r="O202" s="163">
        <f t="shared" si="3"/>
        <v>-1.8459372596762044E-2</v>
      </c>
      <c r="P202" s="166">
        <f t="shared" si="3"/>
        <v>-3.8531063303367641E-2</v>
      </c>
    </row>
    <row r="203" spans="12:16" ht="15" thickBot="1" x14ac:dyDescent="0.4">
      <c r="L203" s="165">
        <v>44995</v>
      </c>
      <c r="M203" s="163">
        <v>3861.59</v>
      </c>
      <c r="N203" s="163">
        <f>VLOOKUP(L203,[1]NGMS!$A$2:$B$245,2,FALSE)</f>
        <v>14.22</v>
      </c>
      <c r="O203" s="163">
        <f t="shared" si="3"/>
        <v>-1.447814369423631E-2</v>
      </c>
      <c r="P203" s="166">
        <f t="shared" si="3"/>
        <v>-0.10958046336881652</v>
      </c>
    </row>
    <row r="204" spans="12:16" ht="15" thickBot="1" x14ac:dyDescent="0.4">
      <c r="L204" s="165">
        <v>44998</v>
      </c>
      <c r="M204" s="163">
        <v>3855.76</v>
      </c>
      <c r="N204" s="163">
        <f>VLOOKUP(L204,[1]NGMS!$A$2:$B$245,2,FALSE)</f>
        <v>14.21</v>
      </c>
      <c r="O204" s="163">
        <f t="shared" si="3"/>
        <v>-1.5097408062481846E-3</v>
      </c>
      <c r="P204" s="166">
        <f t="shared" si="3"/>
        <v>-7.0323488045005527E-4</v>
      </c>
    </row>
    <row r="205" spans="12:16" ht="15" thickBot="1" x14ac:dyDescent="0.4">
      <c r="L205" s="165">
        <v>44999</v>
      </c>
      <c r="M205" s="163">
        <v>3919.29</v>
      </c>
      <c r="N205" s="163">
        <f>VLOOKUP(L205,[1]NGMS!$A$2:$B$245,2,FALSE)</f>
        <v>15.18</v>
      </c>
      <c r="O205" s="163">
        <f t="shared" si="3"/>
        <v>1.6476647924144588E-2</v>
      </c>
      <c r="P205" s="166">
        <f t="shared" si="3"/>
        <v>6.8261787473610044E-2</v>
      </c>
    </row>
    <row r="206" spans="12:16" ht="15" thickBot="1" x14ac:dyDescent="0.4">
      <c r="L206" s="165">
        <v>45000</v>
      </c>
      <c r="M206" s="163">
        <v>3891.93</v>
      </c>
      <c r="N206" s="163">
        <f>VLOOKUP(L206,[1]NGMS!$A$2:$B$245,2,FALSE)</f>
        <v>14.45</v>
      </c>
      <c r="O206" s="163">
        <f t="shared" si="3"/>
        <v>-6.9808562265104464E-3</v>
      </c>
      <c r="P206" s="166">
        <f t="shared" si="3"/>
        <v>-4.8089591567852467E-2</v>
      </c>
    </row>
    <row r="207" spans="12:16" ht="15" thickBot="1" x14ac:dyDescent="0.4">
      <c r="L207" s="165">
        <v>45001</v>
      </c>
      <c r="M207" s="163">
        <v>3960.28</v>
      </c>
      <c r="N207" s="163">
        <f>VLOOKUP(L207,[1]NGMS!$A$2:$B$245,2,FALSE)</f>
        <v>15.28</v>
      </c>
      <c r="O207" s="163">
        <f t="shared" si="3"/>
        <v>1.7561980816715707E-2</v>
      </c>
      <c r="P207" s="166">
        <f t="shared" si="3"/>
        <v>5.7439446366782013E-2</v>
      </c>
    </row>
    <row r="208" spans="12:16" ht="15" thickBot="1" x14ac:dyDescent="0.4">
      <c r="L208" s="165">
        <v>45002</v>
      </c>
      <c r="M208" s="163">
        <v>3916.64</v>
      </c>
      <c r="N208" s="163">
        <f>VLOOKUP(L208,[1]NGMS!$A$2:$B$245,2,FALSE)</f>
        <v>15.16</v>
      </c>
      <c r="O208" s="163">
        <f t="shared" si="3"/>
        <v>-1.1019422869090146E-2</v>
      </c>
      <c r="P208" s="166">
        <f t="shared" si="3"/>
        <v>-7.8534031413612058E-3</v>
      </c>
    </row>
    <row r="209" spans="12:16" ht="15" thickBot="1" x14ac:dyDescent="0.4">
      <c r="L209" s="165">
        <v>45005</v>
      </c>
      <c r="M209" s="163">
        <v>3951.57</v>
      </c>
      <c r="N209" s="163">
        <f>VLOOKUP(L209,[1]NGMS!$A$2:$B$245,2,FALSE)</f>
        <v>15.03</v>
      </c>
      <c r="O209" s="163">
        <f t="shared" si="3"/>
        <v>8.9183585930798573E-3</v>
      </c>
      <c r="P209" s="166">
        <f t="shared" si="3"/>
        <v>-8.5751978891821096E-3</v>
      </c>
    </row>
    <row r="210" spans="12:16" ht="15" thickBot="1" x14ac:dyDescent="0.4">
      <c r="L210" s="165">
        <v>45006</v>
      </c>
      <c r="M210" s="163">
        <v>4002.87</v>
      </c>
      <c r="N210" s="163">
        <f>VLOOKUP(L210,[1]NGMS!$A$2:$B$245,2,FALSE)</f>
        <v>15.64</v>
      </c>
      <c r="O210" s="163">
        <f t="shared" si="3"/>
        <v>1.2982181765728488E-2</v>
      </c>
      <c r="P210" s="166">
        <f t="shared" si="3"/>
        <v>4.0585495675316115E-2</v>
      </c>
    </row>
    <row r="211" spans="12:16" ht="15" thickBot="1" x14ac:dyDescent="0.4">
      <c r="L211" s="165">
        <v>45007</v>
      </c>
      <c r="M211" s="163">
        <v>3936.97</v>
      </c>
      <c r="N211" s="163">
        <f>VLOOKUP(L211,[1]NGMS!$A$2:$B$245,2,FALSE)</f>
        <v>14.75</v>
      </c>
      <c r="O211" s="163">
        <f t="shared" si="3"/>
        <v>-1.6463187662851927E-2</v>
      </c>
      <c r="P211" s="166">
        <f t="shared" si="3"/>
        <v>-5.6905370843989805E-2</v>
      </c>
    </row>
    <row r="212" spans="12:16" ht="15" thickBot="1" x14ac:dyDescent="0.4">
      <c r="L212" s="165">
        <v>45008</v>
      </c>
      <c r="M212" s="163">
        <v>3948.72</v>
      </c>
      <c r="N212" s="163">
        <f>VLOOKUP(L212,[1]NGMS!$A$2:$B$245,2,FALSE)</f>
        <v>14.52</v>
      </c>
      <c r="O212" s="163">
        <f t="shared" si="3"/>
        <v>2.9845287111662016E-3</v>
      </c>
      <c r="P212" s="166">
        <f t="shared" si="3"/>
        <v>-1.5593220338983079E-2</v>
      </c>
    </row>
    <row r="213" spans="12:16" ht="15" thickBot="1" x14ac:dyDescent="0.4">
      <c r="L213" s="165">
        <v>45009</v>
      </c>
      <c r="M213" s="163">
        <v>3970.99</v>
      </c>
      <c r="N213" s="163">
        <f>VLOOKUP(L213,[1]NGMS!$A$2:$B$245,2,FALSE)</f>
        <v>14.51</v>
      </c>
      <c r="O213" s="163">
        <f t="shared" si="3"/>
        <v>5.6398022650377801E-3</v>
      </c>
      <c r="P213" s="166">
        <f t="shared" si="3"/>
        <v>-6.88705234159765E-4</v>
      </c>
    </row>
    <row r="214" spans="12:16" ht="15" thickBot="1" x14ac:dyDescent="0.4">
      <c r="L214" s="165">
        <v>45012</v>
      </c>
      <c r="M214" s="163">
        <v>3977.53</v>
      </c>
      <c r="N214" s="163">
        <f>VLOOKUP(L214,[1]NGMS!$A$2:$B$245,2,FALSE)</f>
        <v>14.71</v>
      </c>
      <c r="O214" s="163">
        <f t="shared" si="3"/>
        <v>1.6469444647305631E-3</v>
      </c>
      <c r="P214" s="166">
        <f t="shared" si="3"/>
        <v>1.378359751895252E-2</v>
      </c>
    </row>
    <row r="215" spans="12:16" ht="15" thickBot="1" x14ac:dyDescent="0.4">
      <c r="L215" s="165">
        <v>45013</v>
      </c>
      <c r="M215" s="163">
        <v>3971.27</v>
      </c>
      <c r="N215" s="163">
        <f>VLOOKUP(L215,[1]NGMS!$A$2:$B$245,2,FALSE)</f>
        <v>14.5</v>
      </c>
      <c r="O215" s="163">
        <f t="shared" si="3"/>
        <v>-1.5738410521102841E-3</v>
      </c>
      <c r="P215" s="166">
        <f t="shared" si="3"/>
        <v>-1.427600271923867E-2</v>
      </c>
    </row>
    <row r="216" spans="12:16" ht="15" thickBot="1" x14ac:dyDescent="0.4">
      <c r="L216" s="165">
        <v>45014</v>
      </c>
      <c r="M216" s="163">
        <v>4027.81</v>
      </c>
      <c r="N216" s="163">
        <f>VLOOKUP(L216,[1]NGMS!$A$2:$B$245,2,FALSE)</f>
        <v>14.41</v>
      </c>
      <c r="O216" s="163">
        <f t="shared" si="3"/>
        <v>1.4237259113583303E-2</v>
      </c>
      <c r="P216" s="166">
        <f t="shared" si="3"/>
        <v>-6.2068965517241281E-3</v>
      </c>
    </row>
    <row r="217" spans="12:16" ht="15" thickBot="1" x14ac:dyDescent="0.4">
      <c r="L217" s="165">
        <v>45015</v>
      </c>
      <c r="M217" s="163">
        <v>4050.83</v>
      </c>
      <c r="N217" s="163">
        <f>VLOOKUP(L217,[1]NGMS!$A$2:$B$245,2,FALSE)</f>
        <v>14.58</v>
      </c>
      <c r="O217" s="163">
        <f t="shared" si="3"/>
        <v>5.7152646227106004E-3</v>
      </c>
      <c r="P217" s="166">
        <f t="shared" si="3"/>
        <v>1.1797362942401106E-2</v>
      </c>
    </row>
    <row r="218" spans="12:16" ht="15" thickBot="1" x14ac:dyDescent="0.4">
      <c r="L218" s="165">
        <v>45016</v>
      </c>
      <c r="M218" s="163">
        <v>4109.3100000000004</v>
      </c>
      <c r="N218" s="163">
        <f>VLOOKUP(L218,[1]NGMS!$A$2:$B$245,2,FALSE)</f>
        <v>15.2</v>
      </c>
      <c r="O218" s="163">
        <f t="shared" si="3"/>
        <v>1.4436547571732329E-2</v>
      </c>
      <c r="P218" s="166">
        <f t="shared" si="3"/>
        <v>4.2524005486968393E-2</v>
      </c>
    </row>
    <row r="219" spans="12:16" ht="15" thickBot="1" x14ac:dyDescent="0.4">
      <c r="L219" s="165">
        <v>45019</v>
      </c>
      <c r="M219" s="163">
        <v>4124.51</v>
      </c>
      <c r="N219" s="163">
        <f>VLOOKUP(L219,[1]NGMS!$A$2:$B$245,2,FALSE)</f>
        <v>15.35</v>
      </c>
      <c r="O219" s="163">
        <f t="shared" si="3"/>
        <v>3.6989178231868164E-3</v>
      </c>
      <c r="P219" s="166">
        <f t="shared" si="3"/>
        <v>9.8684210526316027E-3</v>
      </c>
    </row>
    <row r="220" spans="12:16" ht="15" thickBot="1" x14ac:dyDescent="0.4">
      <c r="L220" s="165">
        <v>45020</v>
      </c>
      <c r="M220" s="163">
        <v>4100.6000000000004</v>
      </c>
      <c r="N220" s="163">
        <f>VLOOKUP(L220,[1]NGMS!$A$2:$B$245,2,FALSE)</f>
        <v>15</v>
      </c>
      <c r="O220" s="163">
        <f t="shared" si="3"/>
        <v>-5.7970522559043025E-3</v>
      </c>
      <c r="P220" s="166">
        <f t="shared" si="3"/>
        <v>-2.280130293159607E-2</v>
      </c>
    </row>
    <row r="221" spans="12:16" ht="15" thickBot="1" x14ac:dyDescent="0.4">
      <c r="L221" s="165">
        <v>45021</v>
      </c>
      <c r="M221" s="163">
        <v>4090.38</v>
      </c>
      <c r="N221" s="163">
        <f>VLOOKUP(L221,[1]NGMS!$A$2:$B$245,2,FALSE)</f>
        <v>14.89</v>
      </c>
      <c r="O221" s="163">
        <f t="shared" si="3"/>
        <v>-2.4923181973370368E-3</v>
      </c>
      <c r="P221" s="166">
        <f t="shared" si="3"/>
        <v>-7.333333333333295E-3</v>
      </c>
    </row>
    <row r="222" spans="12:16" ht="15" thickBot="1" x14ac:dyDescent="0.4">
      <c r="L222" s="165">
        <v>45022</v>
      </c>
      <c r="M222" s="163">
        <v>4105.0200000000004</v>
      </c>
      <c r="N222" s="163">
        <f>VLOOKUP(L222,[1]NGMS!$A$2:$B$245,2,FALSE)</f>
        <v>14.9</v>
      </c>
      <c r="O222" s="163">
        <f t="shared" si="3"/>
        <v>3.5791295674241336E-3</v>
      </c>
      <c r="P222" s="166">
        <f t="shared" si="3"/>
        <v>6.7159167226324955E-4</v>
      </c>
    </row>
    <row r="223" spans="12:16" ht="15" thickBot="1" x14ac:dyDescent="0.4">
      <c r="L223" s="165">
        <v>45026</v>
      </c>
      <c r="M223" s="163">
        <v>4109.1099999999997</v>
      </c>
      <c r="N223" s="163">
        <f>VLOOKUP(L223,[1]NGMS!$A$2:$B$245,2,FALSE)</f>
        <v>15.47</v>
      </c>
      <c r="O223" s="163">
        <f t="shared" si="3"/>
        <v>9.963410653295807E-4</v>
      </c>
      <c r="P223" s="166">
        <f t="shared" si="3"/>
        <v>3.8255033557047E-2</v>
      </c>
    </row>
    <row r="224" spans="12:16" ht="15" thickBot="1" x14ac:dyDescent="0.4">
      <c r="L224" s="165">
        <v>45027</v>
      </c>
      <c r="M224" s="163">
        <v>4108.9399999999996</v>
      </c>
      <c r="N224" s="163">
        <f>VLOOKUP(L224,[1]NGMS!$A$2:$B$245,2,FALSE)</f>
        <v>15.59</v>
      </c>
      <c r="O224" s="163">
        <f t="shared" si="3"/>
        <v>-4.1371489203275837E-5</v>
      </c>
      <c r="P224" s="166">
        <f t="shared" si="3"/>
        <v>7.7569489334194707E-3</v>
      </c>
    </row>
    <row r="225" spans="12:16" ht="15" thickBot="1" x14ac:dyDescent="0.4">
      <c r="L225" s="165">
        <v>45028</v>
      </c>
      <c r="M225" s="163">
        <v>4091.95</v>
      </c>
      <c r="N225" s="163">
        <f>VLOOKUP(L225,[1]NGMS!$A$2:$B$245,2,FALSE)</f>
        <v>14.7</v>
      </c>
      <c r="O225" s="163">
        <f t="shared" si="3"/>
        <v>-4.1348863697206048E-3</v>
      </c>
      <c r="P225" s="166">
        <f t="shared" si="3"/>
        <v>-5.7087876844130893E-2</v>
      </c>
    </row>
    <row r="226" spans="12:16" ht="15" thickBot="1" x14ac:dyDescent="0.4">
      <c r="L226" s="165">
        <v>45029</v>
      </c>
      <c r="M226" s="163">
        <v>4146.22</v>
      </c>
      <c r="N226" s="163">
        <f>VLOOKUP(L226,[1]NGMS!$A$2:$B$245,2,FALSE)</f>
        <v>14.81</v>
      </c>
      <c r="O226" s="163">
        <f t="shared" si="3"/>
        <v>1.3262625398648673E-2</v>
      </c>
      <c r="P226" s="166">
        <f t="shared" si="3"/>
        <v>7.4829931972789938E-3</v>
      </c>
    </row>
    <row r="227" spans="12:16" ht="15" thickBot="1" x14ac:dyDescent="0.4">
      <c r="L227" s="165">
        <v>45030</v>
      </c>
      <c r="M227" s="163">
        <v>4137.6400000000003</v>
      </c>
      <c r="N227" s="163">
        <f>VLOOKUP(L227,[1]NGMS!$A$2:$B$245,2,FALSE)</f>
        <v>14.85</v>
      </c>
      <c r="O227" s="163">
        <f t="shared" si="3"/>
        <v>-2.0693547375681769E-3</v>
      </c>
      <c r="P227" s="166">
        <f t="shared" si="3"/>
        <v>2.7008777852801586E-3</v>
      </c>
    </row>
    <row r="228" spans="12:16" ht="15" thickBot="1" x14ac:dyDescent="0.4">
      <c r="L228" s="165">
        <v>45033</v>
      </c>
      <c r="M228" s="163">
        <v>4151.32</v>
      </c>
      <c r="N228" s="163">
        <f>VLOOKUP(L228,[1]NGMS!$A$2:$B$245,2,FALSE)</f>
        <v>14.86</v>
      </c>
      <c r="O228" s="163">
        <f t="shared" si="3"/>
        <v>3.3062325383550477E-3</v>
      </c>
      <c r="P228" s="166">
        <f t="shared" si="3"/>
        <v>6.7340067340065902E-4</v>
      </c>
    </row>
    <row r="229" spans="12:16" ht="15" thickBot="1" x14ac:dyDescent="0.4">
      <c r="L229" s="165">
        <v>45034</v>
      </c>
      <c r="M229" s="163">
        <v>4154.87</v>
      </c>
      <c r="N229" s="163">
        <f>VLOOKUP(L229,[1]NGMS!$A$2:$B$245,2,FALSE)</f>
        <v>14.1</v>
      </c>
      <c r="O229" s="163">
        <f t="shared" si="3"/>
        <v>8.5514968732841167E-4</v>
      </c>
      <c r="P229" s="166">
        <f t="shared" si="3"/>
        <v>-5.1144010767160152E-2</v>
      </c>
    </row>
    <row r="230" spans="12:16" ht="15" thickBot="1" x14ac:dyDescent="0.4">
      <c r="L230" s="165">
        <v>45035</v>
      </c>
      <c r="M230" s="163">
        <v>4154.5200000000004</v>
      </c>
      <c r="N230" s="163">
        <f>VLOOKUP(L230,[1]NGMS!$A$2:$B$245,2,FALSE)</f>
        <v>13.69</v>
      </c>
      <c r="O230" s="163">
        <f t="shared" si="3"/>
        <v>-8.4238496029828691E-5</v>
      </c>
      <c r="P230" s="166">
        <f t="shared" si="3"/>
        <v>-2.9078014184397174E-2</v>
      </c>
    </row>
    <row r="231" spans="12:16" ht="15" thickBot="1" x14ac:dyDescent="0.4">
      <c r="L231" s="165">
        <v>45036</v>
      </c>
      <c r="M231" s="163">
        <v>4129.79</v>
      </c>
      <c r="N231" s="163">
        <f>VLOOKUP(L231,[1]NGMS!$A$2:$B$245,2,FALSE)</f>
        <v>13.56</v>
      </c>
      <c r="O231" s="163">
        <f t="shared" si="3"/>
        <v>-5.9525528821621921E-3</v>
      </c>
      <c r="P231" s="166">
        <f t="shared" si="3"/>
        <v>-9.4959824689553694E-3</v>
      </c>
    </row>
    <row r="232" spans="12:16" ht="15" thickBot="1" x14ac:dyDescent="0.4">
      <c r="L232" s="165">
        <v>45037</v>
      </c>
      <c r="M232" s="163">
        <v>4133.5200000000004</v>
      </c>
      <c r="N232" s="163">
        <f>VLOOKUP(L232,[1]NGMS!$A$2:$B$245,2,FALSE)</f>
        <v>13.41</v>
      </c>
      <c r="O232" s="163">
        <f t="shared" si="3"/>
        <v>9.031936248575528E-4</v>
      </c>
      <c r="P232" s="166">
        <f t="shared" si="3"/>
        <v>-1.1061946902654893E-2</v>
      </c>
    </row>
    <row r="233" spans="12:16" ht="15" thickBot="1" x14ac:dyDescent="0.4">
      <c r="L233" s="165">
        <v>45040</v>
      </c>
      <c r="M233" s="163">
        <v>4137.04</v>
      </c>
      <c r="N233" s="163">
        <f>VLOOKUP(L233,[1]NGMS!$A$2:$B$245,2,FALSE)</f>
        <v>12.95</v>
      </c>
      <c r="O233" s="163">
        <f t="shared" si="3"/>
        <v>8.5157444502494887E-4</v>
      </c>
      <c r="P233" s="166">
        <f t="shared" si="3"/>
        <v>-3.4302759134973965E-2</v>
      </c>
    </row>
    <row r="234" spans="12:16" ht="15" thickBot="1" x14ac:dyDescent="0.4">
      <c r="L234" s="165">
        <v>45041</v>
      </c>
      <c r="M234" s="163">
        <v>4071.63</v>
      </c>
      <c r="N234" s="163">
        <f>VLOOKUP(L234,[1]NGMS!$A$2:$B$245,2,FALSE)</f>
        <v>12.77</v>
      </c>
      <c r="O234" s="163">
        <f t="shared" si="3"/>
        <v>-1.5810821263512041E-2</v>
      </c>
      <c r="P234" s="166">
        <f t="shared" si="3"/>
        <v>-1.3899613899613878E-2</v>
      </c>
    </row>
    <row r="235" spans="12:16" ht="15" thickBot="1" x14ac:dyDescent="0.4">
      <c r="L235" s="165">
        <v>45042</v>
      </c>
      <c r="M235" s="163">
        <v>4055.99</v>
      </c>
      <c r="N235" s="163">
        <f>VLOOKUP(L235,[1]NGMS!$A$2:$B$245,2,FALSE)</f>
        <v>12.84</v>
      </c>
      <c r="O235" s="163">
        <f t="shared" si="3"/>
        <v>-3.8412134697898203E-3</v>
      </c>
      <c r="P235" s="166">
        <f t="shared" si="3"/>
        <v>5.4815974941268822E-3</v>
      </c>
    </row>
    <row r="236" spans="12:16" ht="15" thickBot="1" x14ac:dyDescent="0.4">
      <c r="L236" s="165">
        <v>45043</v>
      </c>
      <c r="M236" s="163">
        <v>4135.3500000000004</v>
      </c>
      <c r="N236" s="163">
        <f>VLOOKUP(L236,[1]NGMS!$A$2:$B$245,2,FALSE)</f>
        <v>13.26</v>
      </c>
      <c r="O236" s="163">
        <f t="shared" si="3"/>
        <v>1.9566123190639176E-2</v>
      </c>
      <c r="P236" s="166">
        <f t="shared" si="3"/>
        <v>3.2710280373831772E-2</v>
      </c>
    </row>
    <row r="237" spans="12:16" ht="15" thickBot="1" x14ac:dyDescent="0.4">
      <c r="L237" s="165">
        <v>45044</v>
      </c>
      <c r="M237" s="163">
        <v>4169.4799999999996</v>
      </c>
      <c r="N237" s="163">
        <f>VLOOKUP(L237,[1]NGMS!$A$2:$B$245,2,FALSE)</f>
        <v>13.45</v>
      </c>
      <c r="O237" s="163">
        <f t="shared" si="3"/>
        <v>8.2532312863479989E-3</v>
      </c>
      <c r="P237" s="166">
        <f t="shared" si="3"/>
        <v>1.4328808446455468E-2</v>
      </c>
    </row>
    <row r="238" spans="12:16" ht="15" thickBot="1" x14ac:dyDescent="0.4">
      <c r="L238" s="165">
        <v>45047</v>
      </c>
      <c r="M238" s="163">
        <v>4167.87</v>
      </c>
      <c r="N238" s="163">
        <f>VLOOKUP(L238,[1]NGMS!$A$2:$B$245,2,FALSE)</f>
        <v>13.1</v>
      </c>
      <c r="O238" s="163">
        <f t="shared" si="3"/>
        <v>-3.8613927875890346E-4</v>
      </c>
      <c r="P238" s="166">
        <f t="shared" si="3"/>
        <v>-2.6022304832713731E-2</v>
      </c>
    </row>
    <row r="239" spans="12:16" ht="15" thickBot="1" x14ac:dyDescent="0.4">
      <c r="L239" s="165">
        <v>45048</v>
      </c>
      <c r="M239" s="163">
        <v>4119.58</v>
      </c>
      <c r="N239" s="163">
        <f>VLOOKUP(L239,[1]NGMS!$A$2:$B$245,2,FALSE)</f>
        <v>12.76</v>
      </c>
      <c r="O239" s="163">
        <f t="shared" si="3"/>
        <v>-1.1586253889876596E-2</v>
      </c>
      <c r="P239" s="166">
        <f t="shared" si="3"/>
        <v>-2.5954198473282432E-2</v>
      </c>
    </row>
    <row r="240" spans="12:16" ht="15" thickBot="1" x14ac:dyDescent="0.4">
      <c r="L240" s="165">
        <v>45049</v>
      </c>
      <c r="M240" s="163">
        <v>4090.75</v>
      </c>
      <c r="N240" s="163">
        <f>VLOOKUP(L240,[1]NGMS!$A$2:$B$245,2,FALSE)</f>
        <v>12.68</v>
      </c>
      <c r="O240" s="163">
        <f t="shared" si="3"/>
        <v>-6.9982862330625764E-3</v>
      </c>
      <c r="P240" s="166">
        <f t="shared" si="3"/>
        <v>-6.269592476489034E-3</v>
      </c>
    </row>
    <row r="241" spans="12:16" ht="15" thickBot="1" x14ac:dyDescent="0.4">
      <c r="L241" s="165">
        <v>45050</v>
      </c>
      <c r="M241" s="163">
        <v>4061.22</v>
      </c>
      <c r="N241" s="163">
        <f>VLOOKUP(L241,[1]NGMS!$A$2:$B$245,2,FALSE)</f>
        <v>12.75</v>
      </c>
      <c r="O241" s="163">
        <f t="shared" si="3"/>
        <v>-7.2187251726456517E-3</v>
      </c>
      <c r="P241" s="166">
        <f t="shared" si="3"/>
        <v>5.5205047318612217E-3</v>
      </c>
    </row>
    <row r="242" spans="12:16" ht="15" thickBot="1" x14ac:dyDescent="0.4">
      <c r="L242" s="165">
        <v>45051</v>
      </c>
      <c r="M242" s="163">
        <v>4136.25</v>
      </c>
      <c r="N242" s="163">
        <f>VLOOKUP(L242,[1]NGMS!$A$2:$B$245,2,FALSE)</f>
        <v>13.02</v>
      </c>
      <c r="O242" s="163">
        <f t="shared" si="3"/>
        <v>1.8474744042430651E-2</v>
      </c>
      <c r="P242" s="166">
        <f t="shared" si="3"/>
        <v>2.1176470588235262E-2</v>
      </c>
    </row>
    <row r="243" spans="12:16" ht="15" thickBot="1" x14ac:dyDescent="0.4">
      <c r="L243" s="165">
        <v>45054</v>
      </c>
      <c r="M243" s="163">
        <v>4138.12</v>
      </c>
      <c r="N243" s="163">
        <f>VLOOKUP(L243,[1]NGMS!$A$2:$B$245,2,FALSE)</f>
        <v>13.17</v>
      </c>
      <c r="O243" s="163">
        <f t="shared" si="3"/>
        <v>4.5210033242668865E-4</v>
      </c>
      <c r="P243" s="166">
        <f t="shared" si="3"/>
        <v>1.1520737327188968E-2</v>
      </c>
    </row>
    <row r="244" spans="12:16" ht="15" thickBot="1" x14ac:dyDescent="0.4">
      <c r="L244" s="165">
        <v>45055</v>
      </c>
      <c r="M244" s="163">
        <v>4119.17</v>
      </c>
      <c r="N244" s="163">
        <f>VLOOKUP(L244,[1]NGMS!$A$2:$B$245,2,FALSE)</f>
        <v>12.94</v>
      </c>
      <c r="O244" s="163">
        <f t="shared" si="3"/>
        <v>-4.5793742085777642E-3</v>
      </c>
      <c r="P244" s="166">
        <f t="shared" si="3"/>
        <v>-1.7463933181473077E-2</v>
      </c>
    </row>
    <row r="245" spans="12:16" ht="15" thickBot="1" x14ac:dyDescent="0.4">
      <c r="L245" s="165">
        <v>45056</v>
      </c>
      <c r="M245" s="163">
        <v>4137.6400000000003</v>
      </c>
      <c r="N245" s="163">
        <f>VLOOKUP(L245,[1]NGMS!$A$2:$B$245,2,FALSE)</f>
        <v>13.2</v>
      </c>
      <c r="O245" s="163">
        <f t="shared" si="3"/>
        <v>4.4839130213126079E-3</v>
      </c>
      <c r="P245" s="166">
        <f t="shared" si="3"/>
        <v>2.0092735703245733E-2</v>
      </c>
    </row>
    <row r="246" spans="12:16" ht="15" thickBot="1" x14ac:dyDescent="0.4">
      <c r="L246" s="167">
        <v>45057</v>
      </c>
      <c r="M246" s="168">
        <v>4130.62</v>
      </c>
      <c r="N246" s="168">
        <f>VLOOKUP(L246,[1]NGMS!$A$2:$B$245,2,FALSE)</f>
        <v>14.39</v>
      </c>
      <c r="O246" s="168">
        <f t="shared" si="3"/>
        <v>-1.6966193288929041E-3</v>
      </c>
      <c r="P246" s="169">
        <f t="shared" si="3"/>
        <v>9.015151515151526E-2</v>
      </c>
    </row>
  </sheetData>
  <mergeCells count="3">
    <mergeCell ref="B2:C2"/>
    <mergeCell ref="B11:C11"/>
    <mergeCell ref="L1:P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15D3-FB63-431D-B9CA-8D805FABA632}">
  <sheetPr>
    <tabColor theme="4"/>
  </sheetPr>
  <dimension ref="A1:H31"/>
  <sheetViews>
    <sheetView showGridLines="0" zoomScale="67" workbookViewId="0">
      <selection activeCell="F23" sqref="F23"/>
    </sheetView>
  </sheetViews>
  <sheetFormatPr defaultRowHeight="14.5" x14ac:dyDescent="0.35"/>
  <cols>
    <col min="1" max="1" width="12.36328125" bestFit="1" customWidth="1"/>
    <col min="2" max="2" width="10.1796875" bestFit="1" customWidth="1"/>
  </cols>
  <sheetData>
    <row r="1" spans="1:8" x14ac:dyDescent="0.35">
      <c r="A1" s="276" t="s">
        <v>527</v>
      </c>
      <c r="B1" s="276"/>
      <c r="C1" s="35"/>
      <c r="D1" s="35"/>
      <c r="E1" s="35"/>
      <c r="F1" s="35"/>
      <c r="G1" s="35"/>
    </row>
    <row r="2" spans="1:8" x14ac:dyDescent="0.35">
      <c r="A2" s="35"/>
      <c r="B2" s="175"/>
      <c r="C2" s="175"/>
      <c r="D2" s="175"/>
      <c r="E2" s="175"/>
      <c r="F2" s="175"/>
      <c r="G2" s="175"/>
    </row>
    <row r="3" spans="1:8" x14ac:dyDescent="0.35">
      <c r="A3" s="35"/>
      <c r="B3" s="176">
        <v>2023</v>
      </c>
      <c r="C3" s="176">
        <v>2024</v>
      </c>
      <c r="D3" s="176">
        <v>2025</v>
      </c>
      <c r="E3" s="176">
        <v>2026</v>
      </c>
      <c r="F3" s="176">
        <v>2027</v>
      </c>
      <c r="G3" s="176">
        <v>2028</v>
      </c>
    </row>
    <row r="4" spans="1:8" x14ac:dyDescent="0.35">
      <c r="A4" s="35"/>
      <c r="B4" s="177"/>
      <c r="C4" s="177"/>
      <c r="D4" s="177"/>
      <c r="E4" s="177"/>
      <c r="F4" s="177"/>
      <c r="G4" s="177"/>
    </row>
    <row r="5" spans="1:8" x14ac:dyDescent="0.35">
      <c r="A5" s="35" t="s">
        <v>528</v>
      </c>
      <c r="B5" s="267">
        <f>('IS Pro Forma'!H41+'IS Pro Forma'!H22-'IS Pro Forma'!H29)*(1-'IS Pro Forma'!I8)</f>
        <v>88.19723160413433</v>
      </c>
      <c r="C5" s="267">
        <f>('IS Pro Forma'!I41+'IS Pro Forma'!I22-'IS Pro Forma'!I29)*(1-'IS Pro Forma'!J8)</f>
        <v>112.67292822438641</v>
      </c>
      <c r="D5" s="267">
        <f>('IS Pro Forma'!J41+'IS Pro Forma'!J22-'IS Pro Forma'!J29)*(1-'IS Pro Forma'!K8)</f>
        <v>144.67094234026291</v>
      </c>
      <c r="E5" s="267">
        <f>('IS Pro Forma'!K41+'IS Pro Forma'!K22-'IS Pro Forma'!K29)*(1-'IS Pro Forma'!L8)</f>
        <v>186.50316976347119</v>
      </c>
      <c r="F5" s="267">
        <f>('IS Pro Forma'!L41+'IS Pro Forma'!L22-'IS Pro Forma'!L29)*(1-'IS Pro Forma'!M8)</f>
        <v>241.19204029305652</v>
      </c>
      <c r="G5" s="267">
        <f>('IS Pro Forma'!M41+'IS Pro Forma'!M22-'IS Pro Forma'!M29)*(1-'IS Pro Forma'!M8)</f>
        <v>255.14998811063995</v>
      </c>
    </row>
    <row r="6" spans="1:8" x14ac:dyDescent="0.35">
      <c r="A6" s="35" t="s">
        <v>537</v>
      </c>
      <c r="B6" s="267"/>
      <c r="C6" s="267">
        <v>30</v>
      </c>
      <c r="D6" s="267">
        <v>30</v>
      </c>
      <c r="E6" s="267"/>
      <c r="F6" s="267">
        <v>0</v>
      </c>
      <c r="G6" s="267">
        <v>0</v>
      </c>
      <c r="H6" s="34" t="s">
        <v>564</v>
      </c>
    </row>
    <row r="7" spans="1:8" x14ac:dyDescent="0.35">
      <c r="A7" s="35" t="s">
        <v>529</v>
      </c>
      <c r="B7" s="267">
        <f>'IS Pro Forma'!H22*'IS Pro Forma'!H8</f>
        <v>13.600074404270666</v>
      </c>
      <c r="C7" s="267">
        <f>'IS Pro Forma'!I22*'IS Pro Forma'!I8</f>
        <v>17.779897320869079</v>
      </c>
      <c r="D7" s="267">
        <f>'IS Pro Forma'!J22*'IS Pro Forma'!J8</f>
        <v>23.244339651655036</v>
      </c>
      <c r="E7" s="267">
        <f>'IS Pro Forma'!K22*'IS Pro Forma'!K8</f>
        <v>30.388214065068226</v>
      </c>
      <c r="F7" s="267">
        <f>'IS Pro Forma'!L22*'IS Pro Forma'!L8</f>
        <v>39.727674259770147</v>
      </c>
      <c r="G7" s="267">
        <f>'IS Pro Forma'!M22*'IS Pro Forma'!M8</f>
        <v>42.111334715356357</v>
      </c>
    </row>
    <row r="8" spans="1:8" x14ac:dyDescent="0.35">
      <c r="A8" s="35" t="s">
        <v>530</v>
      </c>
      <c r="B8" s="267">
        <f>'BS Pro Forma'!H28-'BS Pro Forma'!G28+'IS Pro Forma'!H22</f>
        <v>71.036587591387914</v>
      </c>
      <c r="C8" s="267">
        <f>'BS Pro Forma'!I28-'BS Pro Forma'!H28+'IS Pro Forma'!I22</f>
        <v>84.640320037393266</v>
      </c>
      <c r="D8" s="267">
        <f>'BS Pro Forma'!J28-'BS Pro Forma'!I28+'IS Pro Forma'!J22</f>
        <v>110.65352693936626</v>
      </c>
      <c r="E8" s="267">
        <f>'BS Pro Forma'!K28-'BS Pro Forma'!J28+'IS Pro Forma'!K22</f>
        <v>144.66158703927024</v>
      </c>
      <c r="F8" s="267">
        <f>'BS Pro Forma'!L28-'BS Pro Forma'!K28+'IS Pro Forma'!L22</f>
        <v>189.12162443938649</v>
      </c>
      <c r="G8" s="267">
        <f>'BS Pro Forma'!M28-'BS Pro Forma'!L28+'IS Pro Forma'!M22</f>
        <v>187.27655673349676</v>
      </c>
    </row>
    <row r="9" spans="1:8" x14ac:dyDescent="0.35">
      <c r="A9" s="35" t="s">
        <v>531</v>
      </c>
      <c r="B9" s="267">
        <f>('BS Pro Forma'!H24-'BS Pro Forma'!G24)-('BS Pro Forma'!H44-'BS Pro Forma'!G44)</f>
        <v>80.780669766841996</v>
      </c>
      <c r="C9" s="267">
        <f>('BS Pro Forma'!I24-'BS Pro Forma'!H24)-('BS Pro Forma'!I44-'BS Pro Forma'!H44)</f>
        <v>43.175081648535269</v>
      </c>
      <c r="D9" s="267">
        <f>('BS Pro Forma'!J24-'BS Pro Forma'!I24)-('BS Pro Forma'!J44-'BS Pro Forma'!I44)</f>
        <v>56.444435207651452</v>
      </c>
      <c r="E9" s="267">
        <f>('BS Pro Forma'!K24-'BS Pro Forma'!J24)-('BS Pro Forma'!K44-'BS Pro Forma'!J44)</f>
        <v>73.79196852124204</v>
      </c>
      <c r="F9" s="267">
        <f>('BS Pro Forma'!L24-'BS Pro Forma'!K24)-('BS Pro Forma'!L44-'BS Pro Forma'!K44)</f>
        <v>96.471062173048892</v>
      </c>
      <c r="G9" s="267">
        <f>('BS Pro Forma'!M24-'BS Pro Forma'!L24)-('BS Pro Forma'!M44-'BS Pro Forma'!L44)</f>
        <v>24.621793039039233</v>
      </c>
    </row>
    <row r="10" spans="1:8" x14ac:dyDescent="0.35">
      <c r="A10" s="3" t="s">
        <v>527</v>
      </c>
      <c r="B10" s="268">
        <f>B5+B6+B7-B8-B9</f>
        <v>-50.019951349824908</v>
      </c>
      <c r="C10" s="268">
        <f>C5+C6+C7-C8-C9</f>
        <v>32.637423859326944</v>
      </c>
      <c r="D10" s="268">
        <f>D5+D6+D7-D8-D9</f>
        <v>30.817319844900226</v>
      </c>
      <c r="E10" s="268">
        <f>E5+E6+E7-E8-E9</f>
        <v>-1.5621717319728816</v>
      </c>
      <c r="F10" s="268">
        <f>F5+F6+F7-F8-F9</f>
        <v>-4.6729720596086963</v>
      </c>
      <c r="G10" s="268">
        <f t="shared" ref="G10" si="0">G5+G6+G7-G8-G9</f>
        <v>85.362973053460337</v>
      </c>
    </row>
    <row r="11" spans="1:8" x14ac:dyDescent="0.35">
      <c r="A11" s="35"/>
      <c r="B11" s="35"/>
      <c r="C11" s="35"/>
      <c r="D11" s="35"/>
      <c r="E11" s="35"/>
      <c r="F11" s="178"/>
      <c r="G11" s="35"/>
    </row>
    <row r="12" spans="1:8" x14ac:dyDescent="0.35">
      <c r="A12" s="179" t="s">
        <v>532</v>
      </c>
      <c r="B12" s="182">
        <f>B23+'BS Pro Forma'!H46</f>
        <v>1174.9710209640114</v>
      </c>
      <c r="C12" s="35"/>
      <c r="D12" s="35"/>
      <c r="E12" s="35"/>
      <c r="F12" s="35"/>
      <c r="G12" s="35"/>
    </row>
    <row r="13" spans="1:8" x14ac:dyDescent="0.35">
      <c r="A13" s="35"/>
      <c r="B13" s="35"/>
      <c r="C13" s="35"/>
      <c r="D13" s="35"/>
      <c r="E13" s="35"/>
      <c r="F13" s="35"/>
      <c r="G13" s="35"/>
    </row>
    <row r="14" spans="1:8" x14ac:dyDescent="0.35">
      <c r="A14" s="276" t="s">
        <v>533</v>
      </c>
      <c r="B14" s="276"/>
      <c r="C14" s="35"/>
      <c r="D14" s="35"/>
      <c r="E14" s="35"/>
      <c r="F14" s="35"/>
      <c r="G14" s="35"/>
    </row>
    <row r="15" spans="1:8" x14ac:dyDescent="0.35">
      <c r="A15" s="35"/>
      <c r="B15" s="175"/>
      <c r="C15" s="175"/>
      <c r="D15" s="175"/>
      <c r="E15" s="175"/>
      <c r="F15" s="175"/>
      <c r="G15" s="175"/>
    </row>
    <row r="16" spans="1:8" x14ac:dyDescent="0.35">
      <c r="A16" s="35"/>
      <c r="B16" s="176">
        <v>2023</v>
      </c>
      <c r="C16" s="176">
        <v>2024</v>
      </c>
      <c r="D16" s="176">
        <v>2025</v>
      </c>
      <c r="E16" s="176">
        <v>2026</v>
      </c>
      <c r="F16" s="176">
        <v>2027</v>
      </c>
      <c r="G16" s="176">
        <v>2028</v>
      </c>
    </row>
    <row r="17" spans="1:7" x14ac:dyDescent="0.35">
      <c r="A17" s="35"/>
      <c r="B17" s="177"/>
      <c r="C17" s="177"/>
      <c r="D17" s="177"/>
      <c r="E17" s="177"/>
      <c r="F17" s="177"/>
      <c r="G17" s="177"/>
    </row>
    <row r="18" spans="1:7" x14ac:dyDescent="0.35">
      <c r="A18" s="35" t="s">
        <v>527</v>
      </c>
      <c r="B18" s="267">
        <f t="shared" ref="B18:G18" si="1">B10</f>
        <v>-50.019951349824908</v>
      </c>
      <c r="C18" s="267">
        <f t="shared" si="1"/>
        <v>32.637423859326944</v>
      </c>
      <c r="D18" s="267">
        <f t="shared" si="1"/>
        <v>30.817319844900226</v>
      </c>
      <c r="E18" s="267">
        <f t="shared" si="1"/>
        <v>-1.5621717319728816</v>
      </c>
      <c r="F18" s="267">
        <f t="shared" si="1"/>
        <v>-4.6729720596086963</v>
      </c>
      <c r="G18" s="267">
        <f t="shared" si="1"/>
        <v>85.362973053460337</v>
      </c>
    </row>
    <row r="19" spans="1:7" x14ac:dyDescent="0.35">
      <c r="A19" s="35" t="s">
        <v>534</v>
      </c>
      <c r="B19" s="267">
        <f>-'IS Pro Forma'!H31*(1-'IS Pro Forma'!H8)</f>
        <v>29.199868955609283</v>
      </c>
      <c r="C19" s="267">
        <f>-'IS Pro Forma'!I31*(1-'IS Pro Forma'!I8)</f>
        <v>34.337903926891741</v>
      </c>
      <c r="D19" s="267">
        <f>-'IS Pro Forma'!J31*(1-'IS Pro Forma'!J8)</f>
        <v>40.984638893832305</v>
      </c>
      <c r="E19" s="267">
        <f>-'IS Pro Forma'!K31*(1-'IS Pro Forma'!K8)</f>
        <v>49.602512286980151</v>
      </c>
      <c r="F19" s="267">
        <f>-'IS Pro Forma'!L31*(1-'IS Pro Forma'!L8)</f>
        <v>60.795384794532616</v>
      </c>
      <c r="G19" s="267">
        <f>-'IS Pro Forma'!M31*(1-'IS Pro Forma'!M8)</f>
        <v>61.113183674315444</v>
      </c>
    </row>
    <row r="20" spans="1:7" x14ac:dyDescent="0.35">
      <c r="A20" s="35" t="s">
        <v>535</v>
      </c>
      <c r="B20" s="267">
        <f>'BS Pro Forma'!H46-'BS Pro Forma'!G46</f>
        <v>264.73393959964892</v>
      </c>
      <c r="C20" s="267">
        <f>'BS Pro Forma'!I46-'BS Pro Forma'!H46</f>
        <v>83.333648208147508</v>
      </c>
      <c r="D20" s="267">
        <f>'BS Pro Forma'!J46-'BS Pro Forma'!I46</f>
        <v>107.66933415573533</v>
      </c>
      <c r="E20" s="267">
        <f>'BS Pro Forma'!K46-'BS Pro Forma'!J46</f>
        <v>139.41264957227702</v>
      </c>
      <c r="F20" s="267">
        <f>'BS Pro Forma'!L46-'BS Pro Forma'!K46</f>
        <v>180.83829672895422</v>
      </c>
      <c r="G20" s="267">
        <f>'BS Pro Forma'!M46-'BS Pro Forma'!L46</f>
        <v>5.1954630990392161</v>
      </c>
    </row>
    <row r="21" spans="1:7" x14ac:dyDescent="0.35">
      <c r="A21" s="3" t="s">
        <v>533</v>
      </c>
      <c r="B21" s="268">
        <f t="shared" ref="B21:G21" si="2">B18-B19+B20</f>
        <v>185.51411929421474</v>
      </c>
      <c r="C21" s="268">
        <f>C18-C19+C20</f>
        <v>81.633168140582711</v>
      </c>
      <c r="D21" s="268">
        <f t="shared" si="2"/>
        <v>97.502015106803242</v>
      </c>
      <c r="E21" s="268">
        <f t="shared" si="2"/>
        <v>88.247965553323979</v>
      </c>
      <c r="F21" s="268">
        <f t="shared" si="2"/>
        <v>115.3699398748129</v>
      </c>
      <c r="G21" s="268">
        <f t="shared" si="2"/>
        <v>29.445252478184109</v>
      </c>
    </row>
    <row r="22" spans="1:7" x14ac:dyDescent="0.35">
      <c r="A22" s="35"/>
      <c r="B22" s="35"/>
      <c r="C22" s="35"/>
      <c r="D22" s="35"/>
      <c r="E22" s="35"/>
      <c r="F22" s="35"/>
      <c r="G22" s="35"/>
    </row>
    <row r="23" spans="1:7" x14ac:dyDescent="0.35">
      <c r="A23" s="179" t="s">
        <v>536</v>
      </c>
      <c r="B23" s="270">
        <f>NPV(WACC!C15,'FCFF Valuation'!B21:F21)+'FCFF Valuation'!G21/(WACC!C15-'IS Pro Forma'!M2)/(1+WACC!C15)^5</f>
        <v>700.9500813643624</v>
      </c>
      <c r="C23" s="183"/>
      <c r="D23" s="35"/>
      <c r="E23" s="35"/>
      <c r="F23" s="35"/>
      <c r="G23" s="35"/>
    </row>
    <row r="24" spans="1:7" x14ac:dyDescent="0.35">
      <c r="A24" s="35"/>
      <c r="B24" s="35"/>
      <c r="C24" s="35"/>
      <c r="D24" s="35"/>
      <c r="E24" s="35"/>
      <c r="F24" s="35"/>
      <c r="G24" s="35"/>
    </row>
    <row r="25" spans="1:7" x14ac:dyDescent="0.35">
      <c r="A25" s="181" t="s">
        <v>216</v>
      </c>
      <c r="B25" s="269">
        <f>B23/'Key Stats'!B51</f>
        <v>20.885812242554717</v>
      </c>
      <c r="C25" s="184"/>
      <c r="D25" s="180"/>
      <c r="E25" s="35"/>
      <c r="F25" s="35"/>
      <c r="G25" s="35"/>
    </row>
    <row r="26" spans="1:7" x14ac:dyDescent="0.35">
      <c r="A26" s="35" t="s">
        <v>28</v>
      </c>
      <c r="B26" s="35"/>
      <c r="C26" s="35"/>
      <c r="D26" s="35"/>
      <c r="E26" s="35"/>
      <c r="F26" s="35"/>
      <c r="G26" s="35"/>
    </row>
    <row r="27" spans="1:7" x14ac:dyDescent="0.35">
      <c r="A27" s="35"/>
      <c r="B27" s="35"/>
      <c r="C27" s="35"/>
      <c r="D27" s="35"/>
      <c r="E27" s="35"/>
      <c r="F27" s="35"/>
      <c r="G27" s="35"/>
    </row>
    <row r="28" spans="1:7" x14ac:dyDescent="0.35">
      <c r="A28" s="35"/>
      <c r="B28" s="35"/>
      <c r="C28" s="35"/>
      <c r="D28" s="35"/>
      <c r="E28" s="35"/>
      <c r="F28" s="35"/>
      <c r="G28" s="35"/>
    </row>
    <row r="29" spans="1:7" x14ac:dyDescent="0.35">
      <c r="A29" s="35"/>
      <c r="B29" s="35"/>
      <c r="C29" s="35"/>
      <c r="D29" s="35"/>
      <c r="E29" s="35"/>
      <c r="F29" s="35"/>
      <c r="G29" s="35"/>
    </row>
    <row r="30" spans="1:7" x14ac:dyDescent="0.35">
      <c r="A30" s="35"/>
      <c r="B30" s="35"/>
      <c r="C30" s="35"/>
      <c r="D30" s="35"/>
      <c r="E30" s="35"/>
      <c r="F30" s="35"/>
      <c r="G30" s="35"/>
    </row>
    <row r="31" spans="1:7" x14ac:dyDescent="0.35">
      <c r="A31" s="35"/>
      <c r="B31" s="35"/>
      <c r="C31" s="35"/>
      <c r="D31" s="35"/>
      <c r="E31" s="35"/>
      <c r="F31" s="35"/>
      <c r="G31" s="35"/>
    </row>
  </sheetData>
  <mergeCells count="2">
    <mergeCell ref="A1:B1"/>
    <mergeCell ref="A14:B14"/>
  </mergeCells>
  <hyperlinks>
    <hyperlink ref="H6" r:id="rId1" xr:uid="{938ADF28-5964-4B16-AA01-C65CC902F13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4F88-F263-43FD-B7EB-9318A7785618}">
  <sheetPr>
    <tabColor theme="4"/>
  </sheetPr>
  <dimension ref="A2:C14"/>
  <sheetViews>
    <sheetView showGridLines="0" zoomScale="75" workbookViewId="0">
      <selection activeCell="G19" sqref="G19"/>
    </sheetView>
  </sheetViews>
  <sheetFormatPr defaultRowHeight="14.5" x14ac:dyDescent="0.35"/>
  <cols>
    <col min="2" max="2" width="19.54296875" bestFit="1" customWidth="1"/>
    <col min="3" max="3" width="13.08984375" bestFit="1" customWidth="1"/>
    <col min="5" max="5" width="11.81640625" bestFit="1" customWidth="1"/>
  </cols>
  <sheetData>
    <row r="2" spans="1:3" x14ac:dyDescent="0.35">
      <c r="A2" s="277" t="s">
        <v>567</v>
      </c>
      <c r="B2" s="277"/>
    </row>
    <row r="3" spans="1:3" x14ac:dyDescent="0.35">
      <c r="B3" s="246" t="s">
        <v>572</v>
      </c>
      <c r="C3" s="248">
        <f>'FCFF Valuation'!B23</f>
        <v>700.9500813643624</v>
      </c>
    </row>
    <row r="4" spans="1:3" x14ac:dyDescent="0.35">
      <c r="B4" s="246" t="s">
        <v>566</v>
      </c>
      <c r="C4" s="248">
        <f>'BS Pro Forma'!H46</f>
        <v>474.0209395996489</v>
      </c>
    </row>
    <row r="5" spans="1:3" x14ac:dyDescent="0.35">
      <c r="B5" s="246" t="s">
        <v>532</v>
      </c>
      <c r="C5" s="248">
        <f>C3+C4</f>
        <v>1174.9710209640114</v>
      </c>
    </row>
    <row r="6" spans="1:3" x14ac:dyDescent="0.35">
      <c r="B6" s="246" t="s">
        <v>216</v>
      </c>
      <c r="C6" s="247">
        <f>C3/'Historical Capitalization'!F19</f>
        <v>20.5298917287219</v>
      </c>
    </row>
    <row r="7" spans="1:3" x14ac:dyDescent="0.35">
      <c r="A7" s="245" t="s">
        <v>573</v>
      </c>
    </row>
    <row r="10" spans="1:3" x14ac:dyDescent="0.35">
      <c r="A10" s="278" t="s">
        <v>568</v>
      </c>
      <c r="B10" s="278"/>
    </row>
    <row r="11" spans="1:3" x14ac:dyDescent="0.35">
      <c r="B11" s="246" t="s">
        <v>569</v>
      </c>
      <c r="C11" s="249">
        <v>29.5</v>
      </c>
    </row>
    <row r="12" spans="1:3" x14ac:dyDescent="0.35">
      <c r="B12" s="246" t="s">
        <v>565</v>
      </c>
      <c r="C12" s="249">
        <f>C11*'Historical Capitalization'!F19</f>
        <v>1007.215609</v>
      </c>
    </row>
    <row r="13" spans="1:3" x14ac:dyDescent="0.35">
      <c r="B13" s="246" t="s">
        <v>570</v>
      </c>
      <c r="C13" s="250">
        <f>C12-C3</f>
        <v>306.26552763563757</v>
      </c>
    </row>
    <row r="14" spans="1:3" x14ac:dyDescent="0.35">
      <c r="B14" s="246" t="s">
        <v>571</v>
      </c>
      <c r="C14" s="250">
        <f>C11-C6</f>
        <v>8.9701082712781002</v>
      </c>
    </row>
  </sheetData>
  <mergeCells count="2">
    <mergeCell ref="A2:B2"/>
    <mergeCell ref="A10:B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Key Stats</vt:lpstr>
      <vt:lpstr>Income Statement</vt:lpstr>
      <vt:lpstr>Balance Sheet</vt:lpstr>
      <vt:lpstr>Cash Flow</vt:lpstr>
      <vt:lpstr>IS Pro Forma</vt:lpstr>
      <vt:lpstr>BS Pro Forma</vt:lpstr>
      <vt:lpstr>WACC</vt:lpstr>
      <vt:lpstr>FCFF Valuation</vt:lpstr>
      <vt:lpstr>Transaction Summary</vt:lpstr>
      <vt:lpstr>Assets</vt:lpstr>
      <vt:lpstr>Liabilities </vt:lpstr>
      <vt:lpstr>Revenue </vt:lpstr>
      <vt:lpstr>COST </vt:lpstr>
      <vt:lpstr>Multiples</vt:lpstr>
      <vt:lpstr>Historical Capitalization</vt:lpstr>
      <vt:lpstr>Capital Structure Summary</vt:lpstr>
      <vt:lpstr>Capital Structure Details</vt:lpstr>
      <vt:lpstr>Ratios</vt:lpstr>
      <vt:lpstr>'Balance Sheet'!Print_Titles</vt:lpstr>
      <vt:lpstr>'Capital Structure Details'!Print_Titles</vt:lpstr>
      <vt:lpstr>'Capital Structure Summary'!Print_Titles</vt:lpstr>
      <vt:lpstr>'Cash Flow'!Print_Titles</vt:lpstr>
      <vt:lpstr>'Historical Capitalization'!Print_Titles</vt:lpstr>
      <vt:lpstr>'Income Statement'!Print_Titles</vt:lpstr>
      <vt:lpstr>'Key Stats'!Print_Titles</vt:lpstr>
      <vt:lpstr>Multiples!Print_Titles</vt:lpstr>
      <vt:lpstr>Ratios!Print_Titles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Computers</dc:creator>
  <cp:lastModifiedBy>Pritesh Vaid</cp:lastModifiedBy>
  <dcterms:created xsi:type="dcterms:W3CDTF">2023-05-22T00:05:41Z</dcterms:created>
  <dcterms:modified xsi:type="dcterms:W3CDTF">2023-09-16T17:20:49Z</dcterms:modified>
</cp:coreProperties>
</file>