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ESH\OneDrive\Desktop\2023 Resume\"/>
    </mc:Choice>
  </mc:AlternateContent>
  <xr:revisionPtr revIDLastSave="0" documentId="13_ncr:1_{FE2EA9A4-C4CE-4F49-A6FB-F177C3A05659}" xr6:coauthVersionLast="47" xr6:coauthVersionMax="47" xr10:uidLastSave="{00000000-0000-0000-0000-000000000000}"/>
  <bookViews>
    <workbookView xWindow="-110" yWindow="-110" windowWidth="19420" windowHeight="10300" firstSheet="4" activeTab="6" xr2:uid="{C48F8EEA-51AC-4630-85EA-9501A6A11643}"/>
  </bookViews>
  <sheets>
    <sheet name="Company_Overview" sheetId="5" r:id="rId1"/>
    <sheet name="Melzi Corporation_Timeline" sheetId="1" r:id="rId2"/>
    <sheet name="Personnel_Cost" sheetId="2" r:id="rId3"/>
    <sheet name="Development_Costs" sheetId="4" r:id="rId4"/>
    <sheet name="Revenue Model" sheetId="6" r:id="rId5"/>
    <sheet name="Financial_Statements" sheetId="7" r:id="rId6"/>
    <sheet name="Valuation" sheetId="9" r:id="rId7"/>
    <sheet name="List" sheetId="8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5" l="1"/>
  <c r="B10" i="5"/>
  <c r="B6" i="5"/>
  <c r="B13" i="5"/>
  <c r="A13" i="5"/>
  <c r="M6" i="9"/>
  <c r="M5" i="9"/>
  <c r="H5" i="9"/>
  <c r="H6" i="9" s="1"/>
  <c r="G6" i="9"/>
  <c r="D3" i="9"/>
  <c r="D5" i="9" s="1"/>
  <c r="D6" i="9" s="1"/>
  <c r="E3" i="9"/>
  <c r="E5" i="9" s="1"/>
  <c r="E6" i="9" s="1"/>
  <c r="F3" i="9"/>
  <c r="F5" i="9" s="1"/>
  <c r="F6" i="9" s="1"/>
  <c r="G3" i="9"/>
  <c r="G5" i="9"/>
  <c r="C3" i="9"/>
  <c r="C5" i="9" s="1"/>
  <c r="C6" i="9" s="1"/>
  <c r="J40" i="7"/>
  <c r="K40" i="7"/>
  <c r="G21" i="7"/>
  <c r="K38" i="7"/>
  <c r="K30" i="7"/>
  <c r="K20" i="7" s="1"/>
  <c r="J38" i="7"/>
  <c r="J30" i="7"/>
  <c r="I38" i="7"/>
  <c r="I40" i="7"/>
  <c r="K21" i="7"/>
  <c r="K19" i="7"/>
  <c r="J21" i="7"/>
  <c r="J20" i="7"/>
  <c r="J19" i="7"/>
  <c r="I21" i="7"/>
  <c r="I20" i="7"/>
  <c r="I19" i="7"/>
  <c r="I30" i="7"/>
  <c r="H40" i="7"/>
  <c r="H38" i="7"/>
  <c r="H19" i="7"/>
  <c r="H30" i="7"/>
  <c r="H20" i="7"/>
  <c r="G20" i="7"/>
  <c r="G30" i="7"/>
  <c r="G38" i="7"/>
  <c r="G40" i="7" s="1"/>
  <c r="G19" i="7"/>
  <c r="F33" i="7"/>
  <c r="F40" i="7"/>
  <c r="K13" i="7"/>
  <c r="K9" i="7"/>
  <c r="K7" i="7"/>
  <c r="K6" i="7"/>
  <c r="K4" i="7"/>
  <c r="K5" i="7" s="1"/>
  <c r="K3" i="7"/>
  <c r="DN52" i="6"/>
  <c r="DM52" i="6"/>
  <c r="DL52" i="6"/>
  <c r="DK52" i="6"/>
  <c r="DJ52" i="6"/>
  <c r="DM54" i="6"/>
  <c r="DI52" i="6"/>
  <c r="DH52" i="6"/>
  <c r="DG52" i="6"/>
  <c r="DF52" i="6"/>
  <c r="DE52" i="6"/>
  <c r="DE54" i="6" s="1"/>
  <c r="DD52" i="6"/>
  <c r="DC52" i="6"/>
  <c r="CP52" i="6"/>
  <c r="DN42" i="6"/>
  <c r="DM42" i="6"/>
  <c r="DL42" i="6"/>
  <c r="DK42" i="6"/>
  <c r="DK46" i="6" s="1"/>
  <c r="DJ42" i="6"/>
  <c r="DJ46" i="6" s="1"/>
  <c r="DI42" i="6"/>
  <c r="DI46" i="6" s="1"/>
  <c r="DH42" i="6"/>
  <c r="DH46" i="6" s="1"/>
  <c r="DG42" i="6"/>
  <c r="DG46" i="6" s="1"/>
  <c r="DF42" i="6"/>
  <c r="DE42" i="6"/>
  <c r="DD42" i="6"/>
  <c r="DC42" i="6"/>
  <c r="DC46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CP19" i="6"/>
  <c r="DC7" i="6"/>
  <c r="DD7" i="6"/>
  <c r="DK54" i="6"/>
  <c r="DJ54" i="6"/>
  <c r="DI54" i="6"/>
  <c r="DH54" i="6"/>
  <c r="DC54" i="6"/>
  <c r="DN54" i="6"/>
  <c r="DL54" i="6"/>
  <c r="DG54" i="6"/>
  <c r="DF54" i="6"/>
  <c r="DD54" i="6"/>
  <c r="DN43" i="6"/>
  <c r="DM43" i="6"/>
  <c r="DL43" i="6"/>
  <c r="DK43" i="6"/>
  <c r="DJ43" i="6"/>
  <c r="DI43" i="6"/>
  <c r="DH43" i="6"/>
  <c r="DG43" i="6"/>
  <c r="DF43" i="6"/>
  <c r="DE43" i="6"/>
  <c r="DD43" i="6"/>
  <c r="DC43" i="6"/>
  <c r="DN46" i="6"/>
  <c r="DM46" i="6"/>
  <c r="DL46" i="6"/>
  <c r="DF46" i="6"/>
  <c r="DE46" i="6"/>
  <c r="DD46" i="6"/>
  <c r="DN36" i="6"/>
  <c r="DM36" i="6"/>
  <c r="DL36" i="6"/>
  <c r="DK36" i="6"/>
  <c r="DJ36" i="6"/>
  <c r="DI36" i="6"/>
  <c r="DH36" i="6"/>
  <c r="DG36" i="6"/>
  <c r="DF36" i="6"/>
  <c r="DE36" i="6"/>
  <c r="DD36" i="6"/>
  <c r="DC36" i="6"/>
  <c r="DD33" i="6"/>
  <c r="DE33" i="6" s="1"/>
  <c r="DC33" i="6"/>
  <c r="DC38" i="6" s="1"/>
  <c r="DN21" i="6"/>
  <c r="DM21" i="6"/>
  <c r="DL21" i="6"/>
  <c r="DK21" i="6"/>
  <c r="DJ21" i="6"/>
  <c r="DI21" i="6"/>
  <c r="DH21" i="6"/>
  <c r="DG21" i="6"/>
  <c r="DF21" i="6"/>
  <c r="DE21" i="6"/>
  <c r="DD21" i="6"/>
  <c r="DC21" i="6"/>
  <c r="DC8" i="6"/>
  <c r="B8" i="5"/>
  <c r="B7" i="5"/>
  <c r="I5" i="9" l="1"/>
  <c r="I22" i="7"/>
  <c r="K22" i="7"/>
  <c r="J22" i="7"/>
  <c r="K8" i="7"/>
  <c r="K10" i="7" s="1"/>
  <c r="K12" i="7" s="1"/>
  <c r="K14" i="7" s="1"/>
  <c r="DO54" i="6"/>
  <c r="DE38" i="6"/>
  <c r="DF33" i="6"/>
  <c r="DO46" i="6"/>
  <c r="DC11" i="6"/>
  <c r="DD38" i="6"/>
  <c r="J9" i="7"/>
  <c r="I9" i="7"/>
  <c r="H9" i="7"/>
  <c r="G9" i="7"/>
  <c r="J7" i="7"/>
  <c r="J6" i="7"/>
  <c r="I7" i="7"/>
  <c r="I6" i="7"/>
  <c r="H7" i="7"/>
  <c r="H6" i="7"/>
  <c r="G7" i="7"/>
  <c r="G6" i="7"/>
  <c r="J4" i="7"/>
  <c r="J3" i="7"/>
  <c r="J5" i="7" s="1"/>
  <c r="J8" i="7" s="1"/>
  <c r="J10" i="7" s="1"/>
  <c r="J12" i="7" s="1"/>
  <c r="I4" i="7"/>
  <c r="I3" i="7"/>
  <c r="I5" i="7" s="1"/>
  <c r="I8" i="7" s="1"/>
  <c r="I10" i="7" s="1"/>
  <c r="I12" i="7" s="1"/>
  <c r="I14" i="7" s="1"/>
  <c r="H4" i="7"/>
  <c r="H3" i="7"/>
  <c r="H5" i="7" s="1"/>
  <c r="H8" i="7" s="1"/>
  <c r="H10" i="7" s="1"/>
  <c r="H12" i="7" s="1"/>
  <c r="H14" i="7" s="1"/>
  <c r="G4" i="7"/>
  <c r="G3" i="7"/>
  <c r="G5" i="7" s="1"/>
  <c r="G8" i="7" s="1"/>
  <c r="G10" i="7" s="1"/>
  <c r="G12" i="7" s="1"/>
  <c r="G14" i="7" s="1"/>
  <c r="DB54" i="6"/>
  <c r="CO54" i="6"/>
  <c r="CB54" i="6"/>
  <c r="DA54" i="6"/>
  <c r="CZ54" i="6"/>
  <c r="CY54" i="6"/>
  <c r="CX54" i="6"/>
  <c r="CW54" i="6"/>
  <c r="CV54" i="6"/>
  <c r="CU54" i="6"/>
  <c r="CT54" i="6"/>
  <c r="CS54" i="6"/>
  <c r="CR54" i="6"/>
  <c r="CQ54" i="6"/>
  <c r="CP54" i="6"/>
  <c r="CN54" i="6"/>
  <c r="CM54" i="6"/>
  <c r="CL54" i="6"/>
  <c r="CK54" i="6"/>
  <c r="CJ54" i="6"/>
  <c r="CI54" i="6"/>
  <c r="CH54" i="6"/>
  <c r="CG54" i="6"/>
  <c r="CF54" i="6"/>
  <c r="CE54" i="6"/>
  <c r="CD54" i="6"/>
  <c r="CC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DA52" i="6"/>
  <c r="CZ52" i="6"/>
  <c r="CY52" i="6"/>
  <c r="CX52" i="6"/>
  <c r="CW52" i="6"/>
  <c r="CV52" i="6"/>
  <c r="CU52" i="6"/>
  <c r="CT52" i="6"/>
  <c r="CS52" i="6"/>
  <c r="CR52" i="6"/>
  <c r="CQ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DB46" i="6"/>
  <c r="CQ46" i="6"/>
  <c r="CR46" i="6"/>
  <c r="CS46" i="6"/>
  <c r="CT46" i="6"/>
  <c r="CU46" i="6"/>
  <c r="CV46" i="6"/>
  <c r="CW46" i="6"/>
  <c r="CX46" i="6"/>
  <c r="CY46" i="6"/>
  <c r="CZ46" i="6"/>
  <c r="DA46" i="6"/>
  <c r="CP46" i="6"/>
  <c r="DB38" i="6"/>
  <c r="CQ38" i="6"/>
  <c r="CR38" i="6"/>
  <c r="CS38" i="6"/>
  <c r="CT38" i="6"/>
  <c r="CU38" i="6"/>
  <c r="CV38" i="6"/>
  <c r="CW38" i="6"/>
  <c r="CX38" i="6"/>
  <c r="CY38" i="6"/>
  <c r="CZ38" i="6"/>
  <c r="DA38" i="6"/>
  <c r="CP38" i="6"/>
  <c r="DB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DA19" i="6"/>
  <c r="CZ19" i="6"/>
  <c r="CY19" i="6"/>
  <c r="CX19" i="6"/>
  <c r="CW19" i="6"/>
  <c r="CV19" i="6"/>
  <c r="CU19" i="6"/>
  <c r="CT19" i="6"/>
  <c r="CS19" i="6"/>
  <c r="CR19" i="6"/>
  <c r="CQ19" i="6"/>
  <c r="CB26" i="6"/>
  <c r="CO26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DA21" i="6"/>
  <c r="CZ21" i="6"/>
  <c r="CY21" i="6"/>
  <c r="CX21" i="6"/>
  <c r="CW21" i="6"/>
  <c r="CV21" i="6"/>
  <c r="CU21" i="6"/>
  <c r="CT21" i="6"/>
  <c r="CS21" i="6"/>
  <c r="CR21" i="6"/>
  <c r="CQ21" i="6"/>
  <c r="CP21" i="6"/>
  <c r="CN21" i="6"/>
  <c r="CM21" i="6"/>
  <c r="CL21" i="6"/>
  <c r="CL26" i="6" s="1"/>
  <c r="CK21" i="6"/>
  <c r="CK26" i="6" s="1"/>
  <c r="CJ21" i="6"/>
  <c r="CI21" i="6"/>
  <c r="CH21" i="6"/>
  <c r="CG21" i="6"/>
  <c r="CF21" i="6"/>
  <c r="CE21" i="6"/>
  <c r="CD21" i="6"/>
  <c r="CD26" i="6" s="1"/>
  <c r="CC21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P8" i="6"/>
  <c r="CP7" i="6"/>
  <c r="CP11" i="6" s="1"/>
  <c r="CQ7" i="6" s="1"/>
  <c r="CO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38" i="6"/>
  <c r="CN38" i="6"/>
  <c r="CM38" i="6"/>
  <c r="CL38" i="6"/>
  <c r="CK38" i="6"/>
  <c r="CJ38" i="6"/>
  <c r="CI38" i="6"/>
  <c r="CH38" i="6"/>
  <c r="CG38" i="6"/>
  <c r="CF38" i="6"/>
  <c r="CE38" i="6"/>
  <c r="CD38" i="6"/>
  <c r="CC38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P26" i="6" s="1"/>
  <c r="CA19" i="6"/>
  <c r="BZ19" i="6"/>
  <c r="BZ26" i="6" s="1"/>
  <c r="BY19" i="6"/>
  <c r="BY26" i="6" s="1"/>
  <c r="BX19" i="6"/>
  <c r="BX26" i="6" s="1"/>
  <c r="BW19" i="6"/>
  <c r="BV19" i="6"/>
  <c r="BU19" i="6"/>
  <c r="BT19" i="6"/>
  <c r="BS19" i="6"/>
  <c r="BR19" i="6"/>
  <c r="BR26" i="6" s="1"/>
  <c r="BQ19" i="6"/>
  <c r="BQ26" i="6" s="1"/>
  <c r="BP19" i="6"/>
  <c r="CN26" i="6"/>
  <c r="CM26" i="6"/>
  <c r="CF26" i="6"/>
  <c r="CE26" i="6"/>
  <c r="CO14" i="6"/>
  <c r="CC14" i="6"/>
  <c r="CC8" i="6"/>
  <c r="CC7" i="6"/>
  <c r="CC11" i="6" s="1"/>
  <c r="CD7" i="6" s="1"/>
  <c r="CB46" i="6"/>
  <c r="BQ46" i="6"/>
  <c r="BR46" i="6"/>
  <c r="BS46" i="6"/>
  <c r="BT46" i="6"/>
  <c r="BU46" i="6"/>
  <c r="BV46" i="6"/>
  <c r="BW46" i="6"/>
  <c r="BX46" i="6"/>
  <c r="BY46" i="6"/>
  <c r="BZ46" i="6"/>
  <c r="CA46" i="6"/>
  <c r="BP46" i="6"/>
  <c r="CB38" i="6"/>
  <c r="CB14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CA26" i="6"/>
  <c r="BS26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P8" i="6"/>
  <c r="BP7" i="6"/>
  <c r="BO46" i="6"/>
  <c r="BD46" i="6"/>
  <c r="BE46" i="6"/>
  <c r="BF46" i="6"/>
  <c r="BG46" i="6"/>
  <c r="BH46" i="6"/>
  <c r="BI46" i="6"/>
  <c r="BJ46" i="6"/>
  <c r="BK46" i="6"/>
  <c r="BL46" i="6"/>
  <c r="BM46" i="6"/>
  <c r="BN46" i="6"/>
  <c r="BC46" i="6"/>
  <c r="BO38" i="6"/>
  <c r="BO26" i="6"/>
  <c r="BO14" i="6"/>
  <c r="BD38" i="6"/>
  <c r="BE38" i="6"/>
  <c r="BF38" i="6"/>
  <c r="BG38" i="6"/>
  <c r="BH38" i="6"/>
  <c r="BI38" i="6"/>
  <c r="BJ38" i="6"/>
  <c r="BK38" i="6"/>
  <c r="BL38" i="6"/>
  <c r="BM38" i="6"/>
  <c r="BN38" i="6"/>
  <c r="BC38" i="6"/>
  <c r="BP33" i="6"/>
  <c r="BC26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D7" i="6"/>
  <c r="BD8" i="6" s="1"/>
  <c r="BC11" i="6"/>
  <c r="BC14" i="6" s="1"/>
  <c r="DA42" i="6"/>
  <c r="CZ42" i="6"/>
  <c r="CY42" i="6"/>
  <c r="CX42" i="6"/>
  <c r="CW42" i="6"/>
  <c r="CV42" i="6"/>
  <c r="CU42" i="6"/>
  <c r="CT42" i="6"/>
  <c r="CS42" i="6"/>
  <c r="CR42" i="6"/>
  <c r="CQ42" i="6"/>
  <c r="CP42" i="6"/>
  <c r="CN42" i="6"/>
  <c r="CM42" i="6"/>
  <c r="CL42" i="6"/>
  <c r="CK42" i="6"/>
  <c r="CJ42" i="6"/>
  <c r="CI42" i="6"/>
  <c r="CH42" i="6"/>
  <c r="CG42" i="6"/>
  <c r="CF42" i="6"/>
  <c r="CE42" i="6"/>
  <c r="CD42" i="6"/>
  <c r="CC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N42" i="6"/>
  <c r="BM42" i="6"/>
  <c r="BL42" i="6"/>
  <c r="BK42" i="6"/>
  <c r="BJ42" i="6"/>
  <c r="BH42" i="6"/>
  <c r="BI42" i="6"/>
  <c r="BG42" i="6"/>
  <c r="BF42" i="6"/>
  <c r="BE42" i="6"/>
  <c r="BD42" i="6"/>
  <c r="BC42" i="6"/>
  <c r="BD33" i="6"/>
  <c r="BE33" i="6" s="1"/>
  <c r="BF33" i="6" s="1"/>
  <c r="BG33" i="6" s="1"/>
  <c r="BH33" i="6" s="1"/>
  <c r="BI33" i="6" s="1"/>
  <c r="BJ33" i="6" s="1"/>
  <c r="BK33" i="6" s="1"/>
  <c r="BL33" i="6" s="1"/>
  <c r="BM33" i="6" s="1"/>
  <c r="BN33" i="6" s="1"/>
  <c r="BQ33" i="6" s="1"/>
  <c r="BR33" i="6" s="1"/>
  <c r="BS33" i="6" s="1"/>
  <c r="BT33" i="6" s="1"/>
  <c r="BU33" i="6" s="1"/>
  <c r="BV33" i="6" s="1"/>
  <c r="BW33" i="6" s="1"/>
  <c r="BX33" i="6" s="1"/>
  <c r="BY33" i="6" s="1"/>
  <c r="BZ33" i="6" s="1"/>
  <c r="CA33" i="6" s="1"/>
  <c r="CC33" i="6" s="1"/>
  <c r="CD33" i="6" s="1"/>
  <c r="CE33" i="6" s="1"/>
  <c r="CF33" i="6" s="1"/>
  <c r="CG33" i="6" s="1"/>
  <c r="CH33" i="6" s="1"/>
  <c r="CI33" i="6" s="1"/>
  <c r="CJ33" i="6" s="1"/>
  <c r="CK33" i="6" s="1"/>
  <c r="CL33" i="6" s="1"/>
  <c r="CM33" i="6" s="1"/>
  <c r="CN33" i="6" s="1"/>
  <c r="CP33" i="6" s="1"/>
  <c r="CQ33" i="6" s="1"/>
  <c r="CR33" i="6" s="1"/>
  <c r="CS33" i="6" s="1"/>
  <c r="CT33" i="6" s="1"/>
  <c r="CU33" i="6" s="1"/>
  <c r="CV33" i="6" s="1"/>
  <c r="CW33" i="6" s="1"/>
  <c r="CX33" i="6" s="1"/>
  <c r="CY33" i="6" s="1"/>
  <c r="CZ33" i="6" s="1"/>
  <c r="DA33" i="6" s="1"/>
  <c r="DA36" i="6"/>
  <c r="CZ36" i="6"/>
  <c r="CY36" i="6"/>
  <c r="CX36" i="6"/>
  <c r="CW36" i="6"/>
  <c r="CV36" i="6"/>
  <c r="CU36" i="6"/>
  <c r="CT36" i="6"/>
  <c r="CS36" i="6"/>
  <c r="CR36" i="6"/>
  <c r="CQ36" i="6"/>
  <c r="CP36" i="6"/>
  <c r="CN36" i="6"/>
  <c r="CM36" i="6"/>
  <c r="CL36" i="6"/>
  <c r="CK36" i="6"/>
  <c r="CJ36" i="6"/>
  <c r="CI36" i="6"/>
  <c r="CH36" i="6"/>
  <c r="CG36" i="6"/>
  <c r="CF36" i="6"/>
  <c r="CE36" i="6"/>
  <c r="CD36" i="6"/>
  <c r="CC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DA43" i="6"/>
  <c r="CZ43" i="6"/>
  <c r="CY43" i="6"/>
  <c r="CX43" i="6"/>
  <c r="CW43" i="6"/>
  <c r="CV43" i="6"/>
  <c r="CU43" i="6"/>
  <c r="CT43" i="6"/>
  <c r="CS43" i="6"/>
  <c r="CR43" i="6"/>
  <c r="CQ43" i="6"/>
  <c r="CP43" i="6"/>
  <c r="CN43" i="6"/>
  <c r="CM43" i="6"/>
  <c r="CL43" i="6"/>
  <c r="CK43" i="6"/>
  <c r="CJ43" i="6"/>
  <c r="CI43" i="6"/>
  <c r="CH43" i="6"/>
  <c r="CG43" i="6"/>
  <c r="CF43" i="6"/>
  <c r="CE43" i="6"/>
  <c r="CD43" i="6"/>
  <c r="CC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C43" i="6"/>
  <c r="BN43" i="6"/>
  <c r="BM43" i="6"/>
  <c r="BL43" i="6"/>
  <c r="BK43" i="6"/>
  <c r="BJ43" i="6"/>
  <c r="BI43" i="6"/>
  <c r="BH43" i="6"/>
  <c r="BG43" i="6"/>
  <c r="BF43" i="6"/>
  <c r="BE43" i="6"/>
  <c r="BD43" i="6"/>
  <c r="C19" i="2"/>
  <c r="B19" i="2"/>
  <c r="D19" i="2"/>
  <c r="E19" i="2"/>
  <c r="C20" i="2"/>
  <c r="D20" i="2"/>
  <c r="E20" i="2"/>
  <c r="B20" i="2"/>
  <c r="I14" i="2"/>
  <c r="J14" i="2"/>
  <c r="K14" i="2"/>
  <c r="L14" i="2"/>
  <c r="J3" i="2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L2" i="2"/>
  <c r="K2" i="2"/>
  <c r="J2" i="2"/>
  <c r="I2" i="2"/>
  <c r="I10" i="2"/>
  <c r="I11" i="2"/>
  <c r="I12" i="2"/>
  <c r="I13" i="2"/>
  <c r="I3" i="2"/>
  <c r="I4" i="2"/>
  <c r="I5" i="2"/>
  <c r="I6" i="2"/>
  <c r="I7" i="2"/>
  <c r="I8" i="2"/>
  <c r="I9" i="2"/>
  <c r="H2" i="2"/>
  <c r="F2" i="8"/>
  <c r="I6" i="9" l="1"/>
  <c r="J5" i="9"/>
  <c r="K5" i="9" s="1"/>
  <c r="L5" i="9" s="1"/>
  <c r="DG33" i="6"/>
  <c r="DF38" i="6"/>
  <c r="DC14" i="6"/>
  <c r="DC26" i="6"/>
  <c r="J13" i="7"/>
  <c r="J14" i="7" s="1"/>
  <c r="CG26" i="6"/>
  <c r="CH26" i="6"/>
  <c r="CI26" i="6"/>
  <c r="CJ26" i="6"/>
  <c r="CC26" i="6"/>
  <c r="CQ8" i="6"/>
  <c r="CQ11" i="6" s="1"/>
  <c r="CR7" i="6" s="1"/>
  <c r="BU26" i="6"/>
  <c r="BT26" i="6"/>
  <c r="BV26" i="6"/>
  <c r="BW26" i="6"/>
  <c r="CD8" i="6"/>
  <c r="CD11" i="6" s="1"/>
  <c r="BP11" i="6"/>
  <c r="BQ7" i="6" s="1"/>
  <c r="BQ8" i="6" s="1"/>
  <c r="BQ11" i="6" s="1"/>
  <c r="BR7" i="6" s="1"/>
  <c r="BD11" i="6"/>
  <c r="BD26" i="6" s="1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0" i="6"/>
  <c r="B7" i="6"/>
  <c r="B8" i="6"/>
  <c r="B11" i="6"/>
  <c r="H14" i="2"/>
  <c r="H3" i="2"/>
  <c r="H4" i="2"/>
  <c r="H5" i="2"/>
  <c r="H6" i="2"/>
  <c r="H7" i="2"/>
  <c r="H8" i="2"/>
  <c r="H9" i="2"/>
  <c r="H10" i="2"/>
  <c r="H11" i="2"/>
  <c r="H12" i="2"/>
  <c r="H13" i="2"/>
  <c r="J6" i="9" l="1"/>
  <c r="DD8" i="6"/>
  <c r="DD11" i="6" s="1"/>
  <c r="DG38" i="6"/>
  <c r="DH33" i="6"/>
  <c r="CR8" i="6"/>
  <c r="CR11" i="6"/>
  <c r="CS7" i="6" s="1"/>
  <c r="CE7" i="6"/>
  <c r="CE8" i="6" s="1"/>
  <c r="CE11" i="6" s="1"/>
  <c r="CD14" i="6"/>
  <c r="BR8" i="6"/>
  <c r="BR11" i="6" s="1"/>
  <c r="BS7" i="6" s="1"/>
  <c r="BD14" i="6"/>
  <c r="BE7" i="6"/>
  <c r="BE11" i="6" s="1"/>
  <c r="BE8" i="6"/>
  <c r="K6" i="9" l="1"/>
  <c r="DE7" i="6"/>
  <c r="DD26" i="6"/>
  <c r="DD14" i="6"/>
  <c r="DI33" i="6"/>
  <c r="DH38" i="6"/>
  <c r="CS8" i="6"/>
  <c r="CS11" i="6" s="1"/>
  <c r="CT7" i="6" s="1"/>
  <c r="CF7" i="6"/>
  <c r="CE14" i="6"/>
  <c r="CF8" i="6"/>
  <c r="CF11" i="6" s="1"/>
  <c r="BS8" i="6"/>
  <c r="BS11" i="6" s="1"/>
  <c r="BT7" i="6" s="1"/>
  <c r="BE14" i="6"/>
  <c r="BE26" i="6"/>
  <c r="BF7" i="6"/>
  <c r="L6" i="9" l="1"/>
  <c r="DI38" i="6"/>
  <c r="DJ33" i="6"/>
  <c r="DE8" i="6"/>
  <c r="DE11" i="6" s="1"/>
  <c r="CT8" i="6"/>
  <c r="CT11" i="6"/>
  <c r="CU7" i="6" s="1"/>
  <c r="CG7" i="6"/>
  <c r="CG8" i="6" s="1"/>
  <c r="CG11" i="6" s="1"/>
  <c r="CF14" i="6"/>
  <c r="BT8" i="6"/>
  <c r="BT11" i="6"/>
  <c r="BU7" i="6" s="1"/>
  <c r="BF8" i="6"/>
  <c r="BF11" i="6" s="1"/>
  <c r="BF26" i="6" s="1"/>
  <c r="C12" i="9" l="1"/>
  <c r="B15" i="9" s="1"/>
  <c r="DE14" i="6"/>
  <c r="DF7" i="6"/>
  <c r="DE26" i="6"/>
  <c r="DK33" i="6"/>
  <c r="DJ38" i="6"/>
  <c r="CU8" i="6"/>
  <c r="CU11" i="6" s="1"/>
  <c r="CV7" i="6" s="1"/>
  <c r="CH7" i="6"/>
  <c r="CG14" i="6"/>
  <c r="CH8" i="6"/>
  <c r="CH11" i="6"/>
  <c r="BU8" i="6"/>
  <c r="BU11" i="6" s="1"/>
  <c r="BV7" i="6" s="1"/>
  <c r="BF14" i="6"/>
  <c r="BG7" i="6"/>
  <c r="DL33" i="6" l="1"/>
  <c r="DK38" i="6"/>
  <c r="DF8" i="6"/>
  <c r="DF11" i="6" s="1"/>
  <c r="CV8" i="6"/>
  <c r="CV11" i="6" s="1"/>
  <c r="CW7" i="6" s="1"/>
  <c r="CI7" i="6"/>
  <c r="CI8" i="6" s="1"/>
  <c r="CH14" i="6"/>
  <c r="BV8" i="6"/>
  <c r="BV11" i="6" s="1"/>
  <c r="BW7" i="6" s="1"/>
  <c r="BG8" i="6"/>
  <c r="BG11" i="6" s="1"/>
  <c r="BG26" i="6" s="1"/>
  <c r="DG7" i="6" l="1"/>
  <c r="DF26" i="6"/>
  <c r="DF14" i="6"/>
  <c r="DM33" i="6"/>
  <c r="DL38" i="6"/>
  <c r="CW8" i="6"/>
  <c r="CW11" i="6"/>
  <c r="CX7" i="6" s="1"/>
  <c r="CI11" i="6"/>
  <c r="BW8" i="6"/>
  <c r="BW11" i="6" s="1"/>
  <c r="BX7" i="6" s="1"/>
  <c r="BG14" i="6"/>
  <c r="BH7" i="6"/>
  <c r="DM38" i="6" l="1"/>
  <c r="DN33" i="6"/>
  <c r="DN38" i="6" s="1"/>
  <c r="DO38" i="6" s="1"/>
  <c r="DG8" i="6"/>
  <c r="DG11" i="6" s="1"/>
  <c r="CX8" i="6"/>
  <c r="CX11" i="6" s="1"/>
  <c r="CY7" i="6" s="1"/>
  <c r="CJ7" i="6"/>
  <c r="CI14" i="6"/>
  <c r="BX8" i="6"/>
  <c r="BX11" i="6" s="1"/>
  <c r="BY7" i="6" s="1"/>
  <c r="BH8" i="6"/>
  <c r="BH11" i="6" s="1"/>
  <c r="BH26" i="6" s="1"/>
  <c r="DG14" i="6" l="1"/>
  <c r="DH7" i="6"/>
  <c r="DG26" i="6"/>
  <c r="CY8" i="6"/>
  <c r="CY11" i="6" s="1"/>
  <c r="CZ7" i="6" s="1"/>
  <c r="CJ8" i="6"/>
  <c r="CJ11" i="6" s="1"/>
  <c r="BY8" i="6"/>
  <c r="BY11" i="6" s="1"/>
  <c r="BZ7" i="6" s="1"/>
  <c r="BH14" i="6"/>
  <c r="BI7" i="6"/>
  <c r="DH11" i="6" l="1"/>
  <c r="DH8" i="6"/>
  <c r="CZ8" i="6"/>
  <c r="CZ11" i="6" s="1"/>
  <c r="DA7" i="6" s="1"/>
  <c r="CK7" i="6"/>
  <c r="CK8" i="6" s="1"/>
  <c r="CK11" i="6" s="1"/>
  <c r="CJ14" i="6"/>
  <c r="BZ8" i="6"/>
  <c r="BZ11" i="6"/>
  <c r="CA7" i="6" s="1"/>
  <c r="BI8" i="6"/>
  <c r="BI11" i="6" s="1"/>
  <c r="BI26" i="6" s="1"/>
  <c r="DI7" i="6" l="1"/>
  <c r="DH14" i="6"/>
  <c r="DH26" i="6"/>
  <c r="DA8" i="6"/>
  <c r="DA11" i="6" s="1"/>
  <c r="CL7" i="6"/>
  <c r="CL8" i="6" s="1"/>
  <c r="CL11" i="6" s="1"/>
  <c r="CK14" i="6"/>
  <c r="CA8" i="6"/>
  <c r="CA11" i="6" s="1"/>
  <c r="BI14" i="6"/>
  <c r="BJ7" i="6"/>
  <c r="DI8" i="6" l="1"/>
  <c r="DI11" i="6"/>
  <c r="CM7" i="6"/>
  <c r="CM8" i="6" s="1"/>
  <c r="CM11" i="6" s="1"/>
  <c r="CL14" i="6"/>
  <c r="BJ8" i="6"/>
  <c r="BJ11" i="6" s="1"/>
  <c r="BJ26" i="6" s="1"/>
  <c r="DI26" i="6" l="1"/>
  <c r="DI14" i="6"/>
  <c r="DJ7" i="6"/>
  <c r="CN7" i="6"/>
  <c r="CN8" i="6" s="1"/>
  <c r="CN11" i="6" s="1"/>
  <c r="CN14" i="6" s="1"/>
  <c r="CM14" i="6"/>
  <c r="BJ14" i="6"/>
  <c r="BK7" i="6"/>
  <c r="DJ8" i="6" l="1"/>
  <c r="DJ11" i="6"/>
  <c r="BK8" i="6"/>
  <c r="BK11" i="6" s="1"/>
  <c r="BK26" i="6" s="1"/>
  <c r="DJ14" i="6" l="1"/>
  <c r="DK7" i="6"/>
  <c r="DJ26" i="6"/>
  <c r="BK14" i="6"/>
  <c r="BL7" i="6"/>
  <c r="DK8" i="6" l="1"/>
  <c r="DK11" i="6"/>
  <c r="BL8" i="6"/>
  <c r="BL11" i="6" s="1"/>
  <c r="BL26" i="6" s="1"/>
  <c r="DK14" i="6" l="1"/>
  <c r="DL7" i="6"/>
  <c r="DK26" i="6"/>
  <c r="BL14" i="6"/>
  <c r="BM7" i="6"/>
  <c r="DL8" i="6" l="1"/>
  <c r="DL11" i="6"/>
  <c r="BM8" i="6"/>
  <c r="BM11" i="6" s="1"/>
  <c r="BM26" i="6" s="1"/>
  <c r="DM7" i="6" l="1"/>
  <c r="DL26" i="6"/>
  <c r="DL14" i="6"/>
  <c r="BN7" i="6"/>
  <c r="BM14" i="6"/>
  <c r="DM8" i="6" l="1"/>
  <c r="DM11" i="6" s="1"/>
  <c r="BN8" i="6"/>
  <c r="BN11" i="6" s="1"/>
  <c r="DN7" i="6" l="1"/>
  <c r="DM14" i="6"/>
  <c r="DM26" i="6"/>
  <c r="BN14" i="6"/>
  <c r="BN26" i="6"/>
  <c r="DN8" i="6" l="1"/>
  <c r="DN11" i="6"/>
  <c r="DN26" i="6" l="1"/>
  <c r="DO26" i="6" s="1"/>
  <c r="DN14" i="6"/>
  <c r="DO14" i="6" s="1"/>
  <c r="H21" i="7" l="1"/>
  <c r="H22" i="7" s="1"/>
  <c r="G22" i="7"/>
  <c r="G28" i="7" l="1"/>
  <c r="G33" i="7" s="1"/>
  <c r="H28" i="7"/>
  <c r="H33" i="7" s="1"/>
  <c r="I28" i="7" l="1"/>
  <c r="J28" i="7" s="1"/>
  <c r="I33" i="7"/>
  <c r="K28" i="7" l="1"/>
  <c r="K33" i="7" s="1"/>
  <c r="J33" i="7"/>
</calcChain>
</file>

<file path=xl/sharedStrings.xml><?xml version="1.0" encoding="utf-8"?>
<sst xmlns="http://schemas.openxmlformats.org/spreadsheetml/2006/main" count="320" uniqueCount="229">
  <si>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</si>
  <si>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</si>
  <si>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</si>
  <si>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</si>
  <si>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</si>
  <si>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</si>
  <si>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</si>
  <si>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</si>
  <si>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</si>
  <si>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</si>
  <si>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</si>
  <si>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</si>
  <si>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</si>
  <si>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Packages</t>
  </si>
  <si>
    <t>Tasks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</si>
  <si>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</si>
  <si>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</si>
  <si>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</si>
  <si>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</si>
  <si>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</si>
  <si>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</si>
  <si>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</si>
  <si>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</si>
  <si>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</si>
  <si>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</si>
  <si>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</si>
  <si>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</si>
  <si>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</si>
  <si>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</si>
  <si>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</si>
  <si>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</si>
  <si>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Employee Name</t>
  </si>
  <si>
    <t>Employee Task</t>
  </si>
  <si>
    <t>Full Time Employee Cost</t>
  </si>
  <si>
    <t>Contract/Part time employee cost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</si>
  <si>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</si>
  <si>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</si>
  <si>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</si>
  <si>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</si>
  <si>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</si>
  <si>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</si>
  <si>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</si>
  <si>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</si>
  <si>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</si>
  <si>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</si>
  <si>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</si>
  <si>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</si>
  <si>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CEO</t>
  </si>
  <si>
    <t>Year Multiplier</t>
  </si>
  <si>
    <t>Total Employee cost</t>
  </si>
  <si>
    <t>Increment/Bonus</t>
  </si>
  <si>
    <t>Year</t>
  </si>
  <si>
    <t>Melzi Surgical</t>
  </si>
  <si>
    <t xml:space="preserve">Company Name </t>
  </si>
  <si>
    <t>Info</t>
  </si>
  <si>
    <t>Robotic Surgeon</t>
  </si>
  <si>
    <t>Product Innovation</t>
  </si>
  <si>
    <t>Product Engineer</t>
  </si>
  <si>
    <t>Vp Marketing</t>
  </si>
  <si>
    <t>Innovative Designer</t>
  </si>
  <si>
    <t xml:space="preserve">Material Agreements/ Due Doligence </t>
  </si>
  <si>
    <t>1. Financial Statements</t>
  </si>
  <si>
    <t>2. Sub Contracting agreements</t>
  </si>
  <si>
    <t>3. Partners</t>
  </si>
  <si>
    <t>4. IP/ Approvals</t>
  </si>
  <si>
    <t>https://www.lawdepot.ca/contracts/independent-contractor-agreement/?loc=CA&amp;ldcn=sa&amp;pid=googleppc-120490683526-612057533697_sl-ggkey_subcontractor%20agreement%20template%20canada&amp;gad_source=1&amp;gclid=CjwKCAjw-KipBhBtEiwAWjgwrIUZFQv13ea7jP_W1EF81OR_yYnFEmE_frXjIA6LScTF_K-R7lJVhxoCVq4QAvD_BwE</t>
  </si>
  <si>
    <t>https://learn.marsdd.com/article/general-partnership-agreement-sample-template/</t>
  </si>
  <si>
    <t>https://research.mcmaster.ca/app/uploads/2019/09/IP-and-Regulatory-Handbook-October-18-2018.pdf</t>
  </si>
  <si>
    <t>http://www.startupbuddy.co.in/templates/1588138694Letter%20of%20intent.pdf</t>
  </si>
  <si>
    <t>5. Pre Orders from Potential Customers / loi</t>
  </si>
  <si>
    <t>Industry KPIS</t>
  </si>
  <si>
    <t>Healthcare</t>
  </si>
  <si>
    <t>Biotech</t>
  </si>
  <si>
    <t>Partnership and Licensing Deals</t>
  </si>
  <si>
    <t>Patient Recruitment and Retention</t>
  </si>
  <si>
    <t>Regulatory Milestones</t>
  </si>
  <si>
    <t>Patient Feedback</t>
  </si>
  <si>
    <t>Product sales and Pricing</t>
  </si>
  <si>
    <t>Market traction</t>
  </si>
  <si>
    <t>AI</t>
  </si>
  <si>
    <t>MRR</t>
  </si>
  <si>
    <t>Churn Rate</t>
  </si>
  <si>
    <t>CLV</t>
  </si>
  <si>
    <t>Prouduct Life Value</t>
  </si>
  <si>
    <t>Product Life value</t>
  </si>
  <si>
    <t>Melzi is a surgical device company dedicated to creating innovative technologies that improve patient outcomes while reducing hospital expenses.  The Company’s lead product, the Melzi Sharps Finder, is a U.S. FDA registered device designed to locate instruments, needles, broken pieces and fragments, or sharp objects (“sharps”) that have been lost inside a patient during surgery.</t>
  </si>
  <si>
    <t>Current Valuation</t>
  </si>
  <si>
    <t>Concept Development and Testing</t>
  </si>
  <si>
    <t>Product Development</t>
  </si>
  <si>
    <t>Product Refinement</t>
  </si>
  <si>
    <t>CRO Contact</t>
  </si>
  <si>
    <t>Landscape analysis</t>
  </si>
  <si>
    <t>FDA approval</t>
  </si>
  <si>
    <t>Clinical Trial (1,2,3)</t>
  </si>
  <si>
    <t>Commercial Executive</t>
  </si>
  <si>
    <t>Marketing Executive</t>
  </si>
  <si>
    <t>Sales 1</t>
  </si>
  <si>
    <t>Sales 2</t>
  </si>
  <si>
    <t>Product Manager 1</t>
  </si>
  <si>
    <t>Product Manager 2</t>
  </si>
  <si>
    <t>IP management</t>
  </si>
  <si>
    <t>Marketing and Promotion</t>
  </si>
  <si>
    <t>Post-Marketing Surveillance</t>
  </si>
  <si>
    <t>Sales and Distribution</t>
  </si>
  <si>
    <t>Market Expansion</t>
  </si>
  <si>
    <t>TOTAL</t>
  </si>
  <si>
    <t>Production (Subcontractor)</t>
  </si>
  <si>
    <t>Yearly</t>
  </si>
  <si>
    <t>Monthly</t>
  </si>
  <si>
    <t>Quarterly</t>
  </si>
  <si>
    <t>Once</t>
  </si>
  <si>
    <t>Type of Subscription (Select from Drop Down)</t>
  </si>
  <si>
    <t>Price</t>
  </si>
  <si>
    <t>List</t>
  </si>
  <si>
    <t>SAAS</t>
  </si>
  <si>
    <t>One Time</t>
  </si>
  <si>
    <t>Bi-weekly</t>
  </si>
  <si>
    <t>Revenues</t>
  </si>
  <si>
    <t>Timeline</t>
  </si>
  <si>
    <t>Pay per User</t>
  </si>
  <si>
    <t>Commission</t>
  </si>
  <si>
    <t>Price Per product</t>
  </si>
  <si>
    <t>Sub Total</t>
  </si>
  <si>
    <t>Percent Increase per month</t>
  </si>
  <si>
    <t>Cost Per product</t>
  </si>
  <si>
    <t>Total Cost</t>
  </si>
  <si>
    <t>Cogs</t>
  </si>
  <si>
    <t>Yearly Maintainence Cost</t>
  </si>
  <si>
    <t>Manufacturing</t>
  </si>
  <si>
    <t>Assembly</t>
  </si>
  <si>
    <t>Sub Contractor</t>
  </si>
  <si>
    <t>Price Increase per month</t>
  </si>
  <si>
    <t xml:space="preserve">Fixed costs </t>
  </si>
  <si>
    <t>Selling, General and 
Administrative (SGA) expenses</t>
  </si>
  <si>
    <t>Item</t>
  </si>
  <si>
    <t>Advertising</t>
  </si>
  <si>
    <t>Rent&amp;Utilities</t>
  </si>
  <si>
    <t>Other Expenses</t>
  </si>
  <si>
    <t xml:space="preserve">R&amp;D expenses </t>
  </si>
  <si>
    <t>Total R&amp;D expenses</t>
  </si>
  <si>
    <t>Total</t>
  </si>
  <si>
    <t>R&amp;D Expenses (Budget)</t>
  </si>
  <si>
    <t>R&amp;D personnel costs (Budget)</t>
  </si>
  <si>
    <t>Salaries (Non R&amp;D, Budget)</t>
  </si>
  <si>
    <t>Depreciation and amortization</t>
  </si>
  <si>
    <t>Equipment purchase costs/sales (purchases should be negative)</t>
  </si>
  <si>
    <t>Number of years depreciation</t>
  </si>
  <si>
    <t>Depreciation cost per year</t>
  </si>
  <si>
    <t>Total depreciation</t>
  </si>
  <si>
    <t>Revenue</t>
  </si>
  <si>
    <t>Gross Profit</t>
  </si>
  <si>
    <t>$ in mln</t>
  </si>
  <si>
    <t>EBITDA</t>
  </si>
  <si>
    <t>D&amp;A</t>
  </si>
  <si>
    <t>EBIT</t>
  </si>
  <si>
    <t>Interest expenses</t>
  </si>
  <si>
    <t>EBT</t>
  </si>
  <si>
    <t>Taxes</t>
  </si>
  <si>
    <t>Net Income</t>
  </si>
  <si>
    <t>P&amp;L</t>
  </si>
  <si>
    <t>Balance Sheet</t>
  </si>
  <si>
    <t>Forecast</t>
  </si>
  <si>
    <t>Inventory</t>
  </si>
  <si>
    <t>PP&amp;E</t>
  </si>
  <si>
    <t>Cash</t>
  </si>
  <si>
    <t>Other assets</t>
  </si>
  <si>
    <t>Assets</t>
  </si>
  <si>
    <t>Trade Payables</t>
  </si>
  <si>
    <t>Provisions</t>
  </si>
  <si>
    <t>Equity</t>
  </si>
  <si>
    <t>Liabilities &amp; Equity</t>
  </si>
  <si>
    <t>Cash Flow</t>
  </si>
  <si>
    <t>Total Y1 (Act)</t>
  </si>
  <si>
    <t>Total Y2 (Act)</t>
  </si>
  <si>
    <t>Total Y3 (Act)</t>
  </si>
  <si>
    <t>Total Y4 (Act)</t>
  </si>
  <si>
    <t>Actual</t>
  </si>
  <si>
    <t>Cost</t>
  </si>
  <si>
    <t>Year 1</t>
  </si>
  <si>
    <t>Year 2</t>
  </si>
  <si>
    <t>Year 3</t>
  </si>
  <si>
    <t>Year 4</t>
  </si>
  <si>
    <t>R&amp;D</t>
  </si>
  <si>
    <t>SG&amp;A</t>
  </si>
  <si>
    <t>R&amp;D/SG&amp;A</t>
  </si>
  <si>
    <t>Type</t>
  </si>
  <si>
    <t>Rent Increases</t>
  </si>
  <si>
    <t>Hosting Price</t>
  </si>
  <si>
    <t>Cyber and Cloud</t>
  </si>
  <si>
    <t>Total Y1 (Forecast)</t>
  </si>
  <si>
    <t>Total Y2 (Forecast)</t>
  </si>
  <si>
    <t>Total Y3 (Forecast)</t>
  </si>
  <si>
    <t>Total Y4 (Forecast)</t>
  </si>
  <si>
    <t>CASHFLOWS</t>
  </si>
  <si>
    <t>Cashflows from operating activities (net)</t>
  </si>
  <si>
    <t>Cashflows from investing activities (net)</t>
  </si>
  <si>
    <t>Cashflows from financing activities (net)</t>
  </si>
  <si>
    <t xml:space="preserve">Proceeds from grants </t>
  </si>
  <si>
    <t xml:space="preserve">Proceeds from issuance of debt </t>
  </si>
  <si>
    <t xml:space="preserve">Repayment of debt </t>
  </si>
  <si>
    <t xml:space="preserve">Proceeds from issuance of equity </t>
  </si>
  <si>
    <t xml:space="preserve">Dividends </t>
  </si>
  <si>
    <t>Net increase/decrease in cash and cash equivalents</t>
  </si>
  <si>
    <t>$</t>
  </si>
  <si>
    <t>Input as given</t>
  </si>
  <si>
    <t>Unlevered Free Cash Flow</t>
  </si>
  <si>
    <t>Terminal Growth Rate</t>
  </si>
  <si>
    <t>(Should be according to the Industry, GDP growth rate, Inflation and other Macro-Economic Factors)</t>
  </si>
  <si>
    <t>Discount Rate (WACC)</t>
  </si>
  <si>
    <t>(Discount rate based on equity + Debt return requirements, D/E ratio and Tax rates also important)</t>
  </si>
  <si>
    <t>Budgetary Need</t>
  </si>
  <si>
    <t>Post Money Valuation</t>
  </si>
  <si>
    <t>Equity %</t>
  </si>
  <si>
    <t>Financing Need</t>
  </si>
  <si>
    <t>Equity Need</t>
  </si>
  <si>
    <t>Valuation and Needs</t>
  </si>
  <si>
    <t>Total Y5 (Forecast)</t>
  </si>
  <si>
    <t>Trade Recievables</t>
  </si>
  <si>
    <t>Debt</t>
  </si>
  <si>
    <t>Reseves and Surplus</t>
  </si>
  <si>
    <t xml:space="preserve">FCFF </t>
  </si>
  <si>
    <t>Tax Rate</t>
  </si>
  <si>
    <t>Growth Rate until Maturity</t>
  </si>
  <si>
    <t>High growth stage</t>
  </si>
  <si>
    <t>Present Value</t>
  </si>
  <si>
    <t>Exit Value</t>
  </si>
  <si>
    <t>Valuation Range Model</t>
  </si>
  <si>
    <t>Discount rate</t>
  </si>
  <si>
    <t>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</si>
</sst>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-409]mmm\-yy;@"/>
    <numFmt numFmtId="165" formatCode="_(* #,##0.0_);_(* \(#,##0.0\);_(* &quot;-&quot;??_);_(@_)"/>
    <numFmt numFmtId="166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002857"/>
      <name val="Arial"/>
      <family val="2"/>
    </font>
    <font>
      <b/>
      <sz val="10"/>
      <name val="Arial"/>
      <family val="2"/>
    </font>
    <font>
      <sz val="10"/>
      <color theme="0"/>
      <name val="Arial"/>
    </font>
    <font>
      <sz val="10"/>
      <name val="Arial"/>
    </font>
    <font>
      <sz val="10"/>
      <color theme="0" tint="-0.499984740745262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u/>
      <sz val="10"/>
      <color theme="10"/>
      <name val="Arial"/>
      <family val="2"/>
    </font>
    <font>
      <sz val="11"/>
      <color theme="6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  <charset val="204"/>
    </font>
    <font>
      <b/>
      <u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9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9" fillId="0" borderId="0"/>
    <xf numFmtId="0" fontId="18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96">
    <xf numFmtId="0" fontId="0" fillId="0" borderId="0" xfId="0"/>
    <xf numFmtId="0" fontId="0" fillId="3" borderId="5" xfId="0" applyFill="1" applyBorder="1"/>
    <xf numFmtId="0" fontId="0" fillId="3" borderId="0" xfId="0" applyFill="1"/>
    <xf numFmtId="0" fontId="0" fillId="7" borderId="5" xfId="0" applyFill="1" applyBorder="1"/>
    <xf numFmtId="0" fontId="0" fillId="7" borderId="0" xfId="0" applyFill="1"/>
    <xf numFmtId="0" fontId="2" fillId="7" borderId="5" xfId="0" applyFont="1" applyFill="1" applyBorder="1"/>
    <xf numFmtId="0" fontId="2" fillId="7" borderId="2" xfId="0" applyFont="1" applyFill="1" applyBorder="1"/>
    <xf numFmtId="0" fontId="2" fillId="7" borderId="6" xfId="0" applyFont="1" applyFill="1" applyBorder="1"/>
    <xf numFmtId="0" fontId="0" fillId="3" borderId="2" xfId="0" applyFill="1" applyBorder="1"/>
    <xf numFmtId="164" fontId="5" fillId="6" borderId="7" xfId="0" applyNumberFormat="1" applyFont="1" applyFill="1" applyBorder="1" applyAlignment="1">
      <alignment horizontal="center"/>
    </xf>
    <xf numFmtId="3" fontId="0" fillId="6" borderId="8" xfId="0" applyNumberForma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5" borderId="11" xfId="0" applyFont="1" applyFill="1" applyBorder="1"/>
    <xf numFmtId="0" fontId="7" fillId="6" borderId="12" xfId="0" applyFont="1" applyFill="1" applyBorder="1"/>
    <xf numFmtId="0" fontId="7" fillId="6" borderId="0" xfId="0" applyFont="1" applyFill="1"/>
    <xf numFmtId="0" fontId="7" fillId="6" borderId="13" xfId="0" applyFont="1" applyFill="1" applyBorder="1"/>
    <xf numFmtId="3" fontId="0" fillId="6" borderId="12" xfId="0" applyNumberFormat="1" applyFill="1" applyBorder="1"/>
    <xf numFmtId="3" fontId="7" fillId="6" borderId="0" xfId="0" applyNumberFormat="1" applyFont="1" applyFill="1"/>
    <xf numFmtId="3" fontId="7" fillId="6" borderId="13" xfId="0" applyNumberFormat="1" applyFont="1" applyFill="1" applyBorder="1"/>
    <xf numFmtId="3" fontId="7" fillId="6" borderId="12" xfId="0" applyNumberFormat="1" applyFont="1" applyFill="1" applyBorder="1"/>
    <xf numFmtId="10" fontId="0" fillId="6" borderId="0" xfId="0" applyNumberFormat="1" applyFill="1"/>
    <xf numFmtId="10" fontId="0" fillId="6" borderId="13" xfId="0" applyNumberFormat="1" applyFill="1" applyBorder="1"/>
    <xf numFmtId="3" fontId="0" fillId="6" borderId="0" xfId="0" applyNumberFormat="1" applyFill="1"/>
    <xf numFmtId="3" fontId="0" fillId="6" borderId="13" xfId="0" applyNumberFormat="1" applyFill="1" applyBorder="1"/>
    <xf numFmtId="3" fontId="0" fillId="6" borderId="12" xfId="1" applyNumberFormat="1" applyFont="1" applyFill="1" applyBorder="1"/>
    <xf numFmtId="3" fontId="0" fillId="6" borderId="0" xfId="1" applyNumberFormat="1" applyFont="1" applyFill="1" applyBorder="1"/>
    <xf numFmtId="3" fontId="0" fillId="6" borderId="13" xfId="1" applyNumberFormat="1" applyFont="1" applyFill="1" applyBorder="1"/>
    <xf numFmtId="3" fontId="5" fillId="4" borderId="14" xfId="0" applyNumberFormat="1" applyFont="1" applyFill="1" applyBorder="1"/>
    <xf numFmtId="3" fontId="5" fillId="4" borderId="4" xfId="0" applyNumberFormat="1" applyFont="1" applyFill="1" applyBorder="1"/>
    <xf numFmtId="3" fontId="5" fillId="4" borderId="15" xfId="0" applyNumberFormat="1" applyFont="1" applyFill="1" applyBorder="1"/>
    <xf numFmtId="3" fontId="8" fillId="6" borderId="16" xfId="0" applyNumberFormat="1" applyFont="1" applyFill="1" applyBorder="1"/>
    <xf numFmtId="3" fontId="8" fillId="6" borderId="17" xfId="0" applyNumberFormat="1" applyFont="1" applyFill="1" applyBorder="1"/>
    <xf numFmtId="3" fontId="8" fillId="6" borderId="18" xfId="0" applyNumberFormat="1" applyFont="1" applyFill="1" applyBorder="1"/>
    <xf numFmtId="3" fontId="8" fillId="8" borderId="19" xfId="0" applyNumberFormat="1" applyFont="1" applyFill="1" applyBorder="1"/>
    <xf numFmtId="2" fontId="7" fillId="6" borderId="12" xfId="0" applyNumberFormat="1" applyFont="1" applyFill="1" applyBorder="1"/>
    <xf numFmtId="0" fontId="10" fillId="0" borderId="2" xfId="2" applyFont="1" applyBorder="1" applyAlignment="1">
      <alignment vertical="center"/>
    </xf>
    <xf numFmtId="0" fontId="11" fillId="0" borderId="2" xfId="2" applyFont="1" applyBorder="1" applyAlignment="1">
      <alignment horizontal="left" vertical="center" wrapText="1"/>
    </xf>
    <xf numFmtId="0" fontId="11" fillId="0" borderId="3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3" fillId="0" borderId="0" xfId="3"/>
    <xf numFmtId="0" fontId="14" fillId="6" borderId="0" xfId="3" applyFont="1" applyFill="1"/>
    <xf numFmtId="0" fontId="16" fillId="6" borderId="20" xfId="3" applyFont="1" applyFill="1" applyBorder="1"/>
    <xf numFmtId="0" fontId="17" fillId="6" borderId="10" xfId="3" applyFont="1" applyFill="1" applyBorder="1"/>
    <xf numFmtId="0" fontId="17" fillId="6" borderId="21" xfId="3" applyFont="1" applyFill="1" applyBorder="1"/>
    <xf numFmtId="166" fontId="14" fillId="6" borderId="0" xfId="5" applyNumberFormat="1" applyFont="1" applyFill="1"/>
    <xf numFmtId="166" fontId="17" fillId="6" borderId="10" xfId="5" applyNumberFormat="1" applyFont="1" applyFill="1" applyBorder="1"/>
    <xf numFmtId="166" fontId="17" fillId="6" borderId="21" xfId="5" applyNumberFormat="1" applyFont="1" applyFill="1" applyBorder="1"/>
    <xf numFmtId="0" fontId="15" fillId="6" borderId="0" xfId="3" applyFont="1" applyFill="1"/>
    <xf numFmtId="0" fontId="13" fillId="6" borderId="0" xfId="3" applyFill="1"/>
    <xf numFmtId="0" fontId="17" fillId="6" borderId="0" xfId="3" applyFont="1" applyFill="1"/>
    <xf numFmtId="166" fontId="17" fillId="6" borderId="0" xfId="5" applyNumberFormat="1" applyFont="1" applyFill="1" applyBorder="1"/>
    <xf numFmtId="165" fontId="14" fillId="6" borderId="0" xfId="5" applyNumberFormat="1" applyFont="1" applyFill="1" applyBorder="1"/>
    <xf numFmtId="165" fontId="17" fillId="6" borderId="21" xfId="5" applyNumberFormat="1" applyFont="1" applyFill="1" applyBorder="1"/>
    <xf numFmtId="0" fontId="19" fillId="0" borderId="2" xfId="2" applyFont="1" applyBorder="1" applyAlignment="1">
      <alignment horizontal="left" vertical="center" wrapText="1"/>
    </xf>
    <xf numFmtId="9" fontId="19" fillId="0" borderId="2" xfId="8" applyFont="1" applyBorder="1" applyAlignment="1">
      <alignment horizontal="left" vertical="center" wrapText="1"/>
    </xf>
    <xf numFmtId="10" fontId="0" fillId="6" borderId="12" xfId="8" applyNumberFormat="1" applyFont="1" applyFill="1" applyBorder="1"/>
    <xf numFmtId="0" fontId="10" fillId="0" borderId="22" xfId="2" applyFont="1" applyBorder="1" applyAlignment="1">
      <alignment horizontal="left" vertical="center"/>
    </xf>
    <xf numFmtId="0" fontId="10" fillId="0" borderId="5" xfId="2" applyFont="1" applyBorder="1" applyAlignment="1">
      <alignment horizontal="left" vertical="center"/>
    </xf>
    <xf numFmtId="0" fontId="11" fillId="0" borderId="5" xfId="2" applyFont="1" applyBorder="1" applyAlignment="1">
      <alignment horizontal="left" vertical="center"/>
    </xf>
    <xf numFmtId="0" fontId="10" fillId="0" borderId="23" xfId="2" applyFont="1" applyBorder="1" applyAlignment="1">
      <alignment horizontal="left" vertical="center"/>
    </xf>
    <xf numFmtId="0" fontId="21" fillId="5" borderId="0" xfId="3" applyFont="1" applyFill="1" applyAlignment="1">
      <alignment horizontal="center"/>
    </xf>
    <xf numFmtId="166" fontId="0" fillId="0" borderId="0" xfId="0" applyNumberFormat="1"/>
    <xf numFmtId="43" fontId="0" fillId="0" borderId="0" xfId="0" applyNumberFormat="1"/>
    <xf numFmtId="0" fontId="22" fillId="5" borderId="24" xfId="0" applyFont="1" applyFill="1" applyBorder="1" applyAlignment="1">
      <alignment wrapText="1"/>
    </xf>
    <xf numFmtId="0" fontId="22" fillId="5" borderId="24" xfId="0" applyFont="1" applyFill="1" applyBorder="1" applyAlignment="1">
      <alignment horizontal="center" wrapText="1"/>
    </xf>
    <xf numFmtId="0" fontId="20" fillId="5" borderId="0" xfId="0" applyFont="1" applyFill="1"/>
    <xf numFmtId="0" fontId="20" fillId="5" borderId="22" xfId="0" applyFont="1" applyFill="1" applyBorder="1"/>
    <xf numFmtId="0" fontId="20" fillId="5" borderId="25" xfId="0" applyFont="1" applyFill="1" applyBorder="1"/>
    <xf numFmtId="0" fontId="0" fillId="0" borderId="23" xfId="0" applyBorder="1"/>
    <xf numFmtId="0" fontId="4" fillId="0" borderId="26" xfId="0" applyFont="1" applyBorder="1" applyAlignment="1">
      <alignment wrapText="1"/>
    </xf>
    <xf numFmtId="0" fontId="0" fillId="0" borderId="25" xfId="0" applyBorder="1"/>
    <xf numFmtId="0" fontId="0" fillId="0" borderId="5" xfId="0" applyBorder="1"/>
    <xf numFmtId="0" fontId="0" fillId="0" borderId="27" xfId="0" applyBorder="1"/>
    <xf numFmtId="0" fontId="0" fillId="0" borderId="26" xfId="0" applyBorder="1"/>
    <xf numFmtId="0" fontId="20" fillId="5" borderId="28" xfId="0" applyFont="1" applyFill="1" applyBorder="1"/>
    <xf numFmtId="0" fontId="20" fillId="5" borderId="6" xfId="0" applyFont="1" applyFill="1" applyBorder="1"/>
    <xf numFmtId="0" fontId="0" fillId="0" borderId="6" xfId="0" applyBorder="1"/>
    <xf numFmtId="0" fontId="0" fillId="0" borderId="29" xfId="0" applyBorder="1"/>
    <xf numFmtId="0" fontId="0" fillId="0" borderId="28" xfId="0" applyBorder="1"/>
    <xf numFmtId="0" fontId="20" fillId="6" borderId="0" xfId="0" applyFont="1" applyFill="1"/>
    <xf numFmtId="0" fontId="20" fillId="6" borderId="6" xfId="0" applyFont="1" applyFill="1" applyBorder="1"/>
    <xf numFmtId="9" fontId="0" fillId="0" borderId="0" xfId="0" applyNumberFormat="1"/>
    <xf numFmtId="2" fontId="0" fillId="0" borderId="0" xfId="0" applyNumberFormat="1"/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23" fillId="0" borderId="0" xfId="0" applyFont="1"/>
    <xf numFmtId="0" fontId="2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 wrapText="1"/>
    </xf>
    <xf numFmtId="9" fontId="20" fillId="5" borderId="0" xfId="0" applyNumberFormat="1" applyFont="1" applyFill="1"/>
    <xf numFmtId="10" fontId="20" fillId="5" borderId="0" xfId="0" applyNumberFormat="1" applyFont="1" applyFill="1"/>
  </cellXfs>
  <cellStyles count="9">
    <cellStyle name="Comma 2" xfId="5" xr:uid="{2699D169-9C98-4F95-AFAB-78529A02F677}"/>
    <cellStyle name="Hyperlink 2 2" xfId="7" xr:uid="{86FD1B2F-DB8B-4F9F-834F-B9296ADCC296}"/>
    <cellStyle name="Input" xfId="1" builtinId="20"/>
    <cellStyle name="Normal" xfId="0" builtinId="0"/>
    <cellStyle name="Normal 2" xfId="2" xr:uid="{10A4E52A-0242-40BA-8A49-E92A75F8BCF8}"/>
    <cellStyle name="Normal 2 2 2" xfId="6" xr:uid="{3F4170B7-72B8-4639-996D-26C8E27952DD}"/>
    <cellStyle name="Normal 3" xfId="3" xr:uid="{D0559277-FB1B-4D1C-9A1A-733E1F4308EE}"/>
    <cellStyle name="Percent" xfId="8" builtinId="5"/>
    <cellStyle name="Percent 2" xfId="4" xr:uid="{6CCFC245-C04C-4D90-9DC4-1B03BAD53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1B79-59E4-42C8-B078-C1B661471CEC}">
  <dimension ref="A2:D43"/>
  <sheetViews>
    <sheetView showGridLines="0" zoomScale="57" zoomScaleNormal="100" workbookViewId="0">
      <selection activeCell="C6" sqref="C6"/>
    </sheetView>
  </sheetViews>
  <sheetFormatPr defaultRowHeight="14.5" x14ac:dyDescent="0.35"/>
  <cols>
    <col min="1" max="1" width="37.453125" customWidth="1"/>
    <col min="2" max="2" width="59" customWidth="1"/>
    <col min="3" max="3" width="52.81640625" customWidth="1"/>
    <col min="4" max="4" width="76.1796875" customWidth="1"/>
  </cols>
  <sheetData>
    <row r="2" spans="1:2" ht="20" customHeight="1" x14ac:dyDescent="0.35">
      <c r="A2" s="67" t="s">
        <v>53</v>
      </c>
      <c r="B2" s="68" t="s">
        <v>52</v>
      </c>
    </row>
    <row r="3" spans="1:2" ht="59.5" customHeight="1" x14ac:dyDescent="0.35">
      <c r="A3" s="69" t="s">
        <v>54</v>
      </c>
      <c r="B3" s="70" t="s">
        <v>85</v>
      </c>
    </row>
    <row r="5" spans="1:2" x14ac:dyDescent="0.35">
      <c r="A5" s="66" t="s">
        <v>215</v>
      </c>
    </row>
    <row r="6" spans="1:2" x14ac:dyDescent="0.35">
      <c r="A6" s="91" t="s">
        <v>213</v>
      </c>
      <c r="B6" s="63">
        <f>SUM(Financial_Statements!G21:K21)</f>
        <v>5000000</v>
      </c>
    </row>
    <row r="7" spans="1:2" x14ac:dyDescent="0.35">
      <c r="A7" s="91" t="s">
        <v>210</v>
      </c>
      <c r="B7">
        <f>Personnel_Cost!H14+SUM(Development_Costs!C15:R15)</f>
        <v>7760000</v>
      </c>
    </row>
    <row r="8" spans="1:2" x14ac:dyDescent="0.35">
      <c r="A8" s="91" t="s">
        <v>86</v>
      </c>
      <c r="B8">
        <f>Valuation!E19</f>
        <v>9359293.97816002</v>
      </c>
    </row>
    <row r="9" spans="1:2" x14ac:dyDescent="0.35">
      <c r="A9" s="91" t="s">
        <v>214</v>
      </c>
      <c r="B9">
        <v>2000000</v>
      </c>
    </row>
    <row r="10" spans="1:2" x14ac:dyDescent="0.35">
      <c r="A10" s="91" t="s">
        <v>211</v>
      </c>
      <c r="B10">
        <f>B8+B9</f>
        <v>11359293.97816002</v>
      </c>
    </row>
    <row r="11" spans="1:2" x14ac:dyDescent="0.35">
      <c r="A11" s="91" t="s">
        <v>212</v>
      </c>
      <c r="B11">
        <f>B9/B10</f>
        <v>0.17606728057617893</v>
      </c>
    </row>
    <row r="12" spans="1:2" x14ac:dyDescent="0.35">
      <c r="A12" s="91" t="s">
        <v>226</v>
      </c>
    </row>
    <row r="13" spans="1:2" x14ac:dyDescent="0.35">
      <c r="A13">
        <f>Valuation!G16</f>
        <v>5764634.3485778524</v>
      </c>
      <c r="B13">
        <f>Valuation!C22</f>
        <v>15446277.613398274</v>
      </c>
    </row>
    <row r="16" spans="1:2" x14ac:dyDescent="0.35">
      <c r="A16" s="67" t="s">
        <v>60</v>
      </c>
      <c r="B16" s="71"/>
    </row>
    <row r="17" spans="1:4" x14ac:dyDescent="0.35">
      <c r="A17" s="72" t="s">
        <v>61</v>
      </c>
      <c r="B17" s="73"/>
    </row>
    <row r="18" spans="1:4" x14ac:dyDescent="0.35">
      <c r="A18" s="72" t="s">
        <v>62</v>
      </c>
      <c r="B18" s="73" t="s">
        <v>65</v>
      </c>
    </row>
    <row r="19" spans="1:4" x14ac:dyDescent="0.35">
      <c r="A19" s="72" t="s">
        <v>63</v>
      </c>
      <c r="B19" s="73" t="s">
        <v>66</v>
      </c>
    </row>
    <row r="20" spans="1:4" x14ac:dyDescent="0.35">
      <c r="A20" s="72" t="s">
        <v>64</v>
      </c>
      <c r="B20" s="73" t="s">
        <v>67</v>
      </c>
    </row>
    <row r="21" spans="1:4" x14ac:dyDescent="0.35">
      <c r="A21" s="69" t="s">
        <v>69</v>
      </c>
      <c r="B21" s="74" t="s">
        <v>68</v>
      </c>
    </row>
    <row r="24" spans="1:4" x14ac:dyDescent="0.35">
      <c r="A24" s="66" t="s">
        <v>70</v>
      </c>
    </row>
    <row r="26" spans="1:4" x14ac:dyDescent="0.35">
      <c r="A26" s="75" t="s">
        <v>71</v>
      </c>
    </row>
    <row r="27" spans="1:4" x14ac:dyDescent="0.35">
      <c r="A27" s="76" t="s">
        <v>72</v>
      </c>
    </row>
    <row r="28" spans="1:4" x14ac:dyDescent="0.35">
      <c r="A28" s="77"/>
      <c r="D28" s="80"/>
    </row>
    <row r="29" spans="1:4" x14ac:dyDescent="0.35">
      <c r="A29" s="77" t="s">
        <v>73</v>
      </c>
      <c r="D29" s="80"/>
    </row>
    <row r="30" spans="1:4" x14ac:dyDescent="0.35">
      <c r="A30" s="77" t="s">
        <v>74</v>
      </c>
      <c r="D30" s="80"/>
    </row>
    <row r="31" spans="1:4" x14ac:dyDescent="0.35">
      <c r="A31" s="77" t="s">
        <v>75</v>
      </c>
      <c r="D31" s="81"/>
    </row>
    <row r="32" spans="1:4" x14ac:dyDescent="0.35">
      <c r="A32" s="77" t="s">
        <v>76</v>
      </c>
      <c r="D32" s="81"/>
    </row>
    <row r="33" spans="1:4" x14ac:dyDescent="0.35">
      <c r="A33" s="77" t="s">
        <v>77</v>
      </c>
      <c r="D33" s="80"/>
    </row>
    <row r="34" spans="1:4" x14ac:dyDescent="0.35">
      <c r="A34" s="77" t="s">
        <v>78</v>
      </c>
    </row>
    <row r="35" spans="1:4" x14ac:dyDescent="0.35">
      <c r="A35" s="78" t="s">
        <v>83</v>
      </c>
    </row>
    <row r="38" spans="1:4" x14ac:dyDescent="0.35">
      <c r="A38" s="75" t="s">
        <v>79</v>
      </c>
    </row>
    <row r="39" spans="1:4" x14ac:dyDescent="0.35">
      <c r="A39" s="79" t="s">
        <v>80</v>
      </c>
    </row>
    <row r="40" spans="1:4" x14ac:dyDescent="0.35">
      <c r="A40" s="77" t="s">
        <v>81</v>
      </c>
    </row>
    <row r="41" spans="1:4" x14ac:dyDescent="0.35">
      <c r="A41" s="77" t="s">
        <v>82</v>
      </c>
    </row>
    <row r="42" spans="1:4" x14ac:dyDescent="0.35">
      <c r="A42" s="77" t="s">
        <v>84</v>
      </c>
    </row>
    <row r="43" spans="1:4" x14ac:dyDescent="0.35">
      <c r="A43" s="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CAF2-479C-4F44-BA9B-1B2096691369}">
  <dimension ref="A1:R14"/>
  <sheetViews>
    <sheetView showGridLines="0" zoomScale="106" workbookViewId="0">
      <selection activeCell="A11" sqref="A11"/>
    </sheetView>
  </sheetViews>
  <sheetFormatPr defaultRowHeight="14.5" x14ac:dyDescent="0.35"/>
  <cols>
    <col min="1" max="1" width="33.1796875" bestFit="1" customWidth="1"/>
    <col min="2" max="2" width="9.54296875" bestFit="1" customWidth="1"/>
    <col min="3" max="3" width="4.453125" customWidth="1"/>
    <col min="4" max="4" width="4.7265625" customWidth="1"/>
    <col min="5" max="6" width="4.6328125" customWidth="1"/>
    <col min="7" max="7" width="4.26953125" customWidth="1"/>
    <col min="8" max="8" width="4.1796875" customWidth="1"/>
    <col min="9" max="9" width="4.08984375" customWidth="1"/>
    <col min="10" max="10" width="4" customWidth="1"/>
    <col min="11" max="11" width="3.453125" bestFit="1" customWidth="1"/>
    <col min="12" max="18" width="4.54296875" bestFit="1" customWidth="1"/>
  </cols>
  <sheetData>
    <row r="1" spans="1:18" x14ac:dyDescent="0.3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</row>
    <row r="2" spans="1:18" x14ac:dyDescent="0.35">
      <c r="A2" s="1" t="s">
        <v>87</v>
      </c>
      <c r="B2" s="2" t="s">
        <v>0</v>
      </c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1" t="s">
        <v>88</v>
      </c>
      <c r="B3" s="2" t="s">
        <v>1</v>
      </c>
      <c r="C3" s="1"/>
      <c r="D3" s="3"/>
      <c r="E3" s="4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1" t="s">
        <v>89</v>
      </c>
      <c r="B4" s="2" t="s">
        <v>2</v>
      </c>
      <c r="C4" s="1"/>
      <c r="D4" s="2"/>
      <c r="E4" s="3"/>
      <c r="F4" s="4"/>
      <c r="G4" s="3"/>
      <c r="H4" s="4"/>
      <c r="I4" s="3"/>
      <c r="J4" s="4"/>
      <c r="K4" s="3"/>
      <c r="L4" s="4"/>
      <c r="M4" s="2"/>
      <c r="N4" s="2"/>
      <c r="O4" s="2"/>
      <c r="P4" s="2"/>
      <c r="Q4" s="2"/>
      <c r="R4" s="2"/>
    </row>
    <row r="5" spans="1:18" x14ac:dyDescent="0.35">
      <c r="A5" s="1" t="s">
        <v>100</v>
      </c>
      <c r="B5" s="2" t="s">
        <v>3</v>
      </c>
      <c r="C5" s="1"/>
      <c r="D5" s="2"/>
      <c r="E5" s="4"/>
      <c r="F5" s="4"/>
      <c r="G5" s="3"/>
      <c r="H5" s="4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A6" s="1" t="s">
        <v>90</v>
      </c>
      <c r="B6" s="2" t="s">
        <v>4</v>
      </c>
      <c r="C6" s="1"/>
      <c r="D6" s="2"/>
      <c r="E6" s="2"/>
      <c r="F6" s="2"/>
      <c r="G6" s="3"/>
      <c r="H6" s="4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A7" s="1" t="s">
        <v>93</v>
      </c>
      <c r="B7" s="2" t="s">
        <v>5</v>
      </c>
      <c r="C7" s="1"/>
      <c r="D7" s="2"/>
      <c r="E7" s="2"/>
      <c r="F7" s="2"/>
      <c r="G7" s="3"/>
      <c r="H7" s="4"/>
      <c r="I7" s="3"/>
      <c r="J7" s="3"/>
      <c r="K7" s="4"/>
      <c r="L7" s="2"/>
      <c r="M7" s="2"/>
      <c r="N7" s="2"/>
      <c r="O7" s="2"/>
      <c r="P7" s="2"/>
      <c r="Q7" s="2"/>
      <c r="R7" s="2"/>
    </row>
    <row r="8" spans="1:18" x14ac:dyDescent="0.35">
      <c r="A8" s="1" t="s">
        <v>91</v>
      </c>
      <c r="B8" s="2" t="s">
        <v>6</v>
      </c>
      <c r="C8" s="1"/>
      <c r="D8" s="2"/>
      <c r="E8" s="2"/>
      <c r="F8" s="2"/>
      <c r="G8" s="2"/>
      <c r="H8" s="3"/>
      <c r="I8" s="3"/>
      <c r="J8" s="3"/>
      <c r="K8" s="3"/>
      <c r="L8" s="3"/>
      <c r="M8" s="2"/>
      <c r="N8" s="2"/>
      <c r="O8" s="2"/>
      <c r="P8" s="2"/>
      <c r="Q8" s="2"/>
      <c r="R8" s="2"/>
    </row>
    <row r="9" spans="1:18" x14ac:dyDescent="0.35">
      <c r="A9" s="1" t="s">
        <v>92</v>
      </c>
      <c r="B9" s="2" t="s">
        <v>7</v>
      </c>
      <c r="C9" s="1"/>
      <c r="D9" s="2"/>
      <c r="E9" s="2"/>
      <c r="F9" s="2"/>
      <c r="G9" s="2"/>
      <c r="H9" s="2"/>
      <c r="I9" s="2"/>
      <c r="J9" s="2"/>
      <c r="K9" s="2"/>
      <c r="L9" s="2"/>
      <c r="M9" s="4"/>
      <c r="N9" s="4"/>
      <c r="O9" s="2"/>
      <c r="P9" s="2"/>
      <c r="Q9" s="2"/>
      <c r="R9" s="2"/>
    </row>
    <row r="10" spans="1:18" x14ac:dyDescent="0.35">
      <c r="A10" s="1" t="s">
        <v>106</v>
      </c>
      <c r="B10" s="2" t="s">
        <v>8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4"/>
      <c r="N10" s="4"/>
      <c r="O10" s="2"/>
      <c r="P10" s="2"/>
      <c r="Q10" s="2"/>
      <c r="R10" s="2"/>
    </row>
    <row r="11" spans="1:18" x14ac:dyDescent="0.35">
      <c r="A11" s="1" t="s">
        <v>101</v>
      </c>
      <c r="B11" s="2" t="s">
        <v>9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  <c r="P11" s="4"/>
      <c r="Q11" s="4"/>
      <c r="R11" s="4"/>
    </row>
    <row r="12" spans="1:18" x14ac:dyDescent="0.35">
      <c r="A12" s="1" t="s">
        <v>102</v>
      </c>
      <c r="B12" s="2" t="s">
        <v>10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4"/>
      <c r="R12" s="4"/>
    </row>
    <row r="13" spans="1:18" x14ac:dyDescent="0.35">
      <c r="A13" s="1" t="s">
        <v>103</v>
      </c>
      <c r="B13" s="2" t="s">
        <v>11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4"/>
      <c r="R13" s="4"/>
    </row>
    <row r="14" spans="1:18" x14ac:dyDescent="0.35">
      <c r="A14" s="1" t="s">
        <v>104</v>
      </c>
      <c r="B14" s="2" t="s">
        <v>12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  <c r="R14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C068-4FB5-4040-AC72-CFF2BD6BDEF3}">
  <dimension ref="A1:L25"/>
  <sheetViews>
    <sheetView showGridLines="0" topLeftCell="C1" zoomScale="73" workbookViewId="0">
      <selection activeCell="I8" sqref="I8"/>
    </sheetView>
  </sheetViews>
  <sheetFormatPr defaultRowHeight="14.5" x14ac:dyDescent="0.35"/>
  <cols>
    <col min="1" max="1" width="14.453125" bestFit="1" customWidth="1"/>
    <col min="2" max="2" width="21.36328125" bestFit="1" customWidth="1"/>
    <col min="3" max="3" width="21.36328125" customWidth="1"/>
    <col min="4" max="4" width="21.26953125" bestFit="1" customWidth="1"/>
    <col min="5" max="5" width="29.7265625" bestFit="1" customWidth="1"/>
    <col min="6" max="6" width="29.08984375" bestFit="1" customWidth="1"/>
    <col min="7" max="7" width="29.08984375" customWidth="1"/>
    <col min="8" max="8" width="17.81640625" bestFit="1" customWidth="1"/>
  </cols>
  <sheetData>
    <row r="1" spans="1:12" x14ac:dyDescent="0.35">
      <c r="A1" s="6" t="s">
        <v>31</v>
      </c>
      <c r="B1" s="6" t="s">
        <v>32</v>
      </c>
      <c r="C1" s="6" t="s">
        <v>184</v>
      </c>
      <c r="D1" s="6" t="s">
        <v>33</v>
      </c>
      <c r="E1" s="6" t="s">
        <v>34</v>
      </c>
      <c r="F1" s="6" t="s">
        <v>48</v>
      </c>
      <c r="G1" s="7" t="s">
        <v>50</v>
      </c>
      <c r="H1" s="7" t="s">
        <v>49</v>
      </c>
      <c r="I1" s="7" t="s">
        <v>178</v>
      </c>
      <c r="J1" s="7" t="s">
        <v>179</v>
      </c>
      <c r="K1" s="7" t="s">
        <v>180</v>
      </c>
      <c r="L1" s="7" t="s">
        <v>181</v>
      </c>
    </row>
    <row r="2" spans="1:12" x14ac:dyDescent="0.35">
      <c r="A2" s="1" t="s">
        <v>35</v>
      </c>
      <c r="B2" s="1" t="s">
        <v>47</v>
      </c>
      <c r="C2" s="1" t="s">
        <v>183</v>
      </c>
      <c r="D2" s="1">
        <v>20000</v>
      </c>
      <c r="E2" s="1"/>
      <c r="F2" s="1">
        <v>4</v>
      </c>
      <c r="G2" s="1"/>
      <c r="H2" s="8">
        <f>$F$2*$D$2*12</f>
        <v>960000</v>
      </c>
      <c r="I2">
        <f>IF(F2=4,H2/4,"")</f>
        <v>240000</v>
      </c>
      <c r="J2">
        <f>IF(F2&gt;2,H2/4,"")</f>
        <v>240000</v>
      </c>
      <c r="K2">
        <f>IF(F2&gt;1,H2/4,"")</f>
        <v>240000</v>
      </c>
      <c r="L2">
        <f>IF(F2&gt;0,H2/4,"")</f>
        <v>240000</v>
      </c>
    </row>
    <row r="3" spans="1:12" x14ac:dyDescent="0.35">
      <c r="A3" s="1" t="s">
        <v>36</v>
      </c>
      <c r="B3" s="1" t="s">
        <v>55</v>
      </c>
      <c r="C3" s="1" t="s">
        <v>183</v>
      </c>
      <c r="D3" s="1">
        <v>15000</v>
      </c>
      <c r="E3" s="1"/>
      <c r="F3" s="1">
        <v>4</v>
      </c>
      <c r="G3" s="1"/>
      <c r="H3" s="8">
        <f t="shared" ref="H3:H13" si="0">F3*D3*12</f>
        <v>720000</v>
      </c>
      <c r="I3">
        <f t="shared" ref="I3:I13" si="1">IF(F3=4,H3/4,"")</f>
        <v>180000</v>
      </c>
      <c r="J3">
        <f t="shared" ref="J3:J13" si="2">IF(F3&gt;2,H3/4,"")</f>
        <v>180000</v>
      </c>
      <c r="K3">
        <f t="shared" ref="K3:K13" si="3">IF(F3&gt;1,H3/4,"")</f>
        <v>180000</v>
      </c>
      <c r="L3">
        <f t="shared" ref="L3:L13" si="4">IF(F3&gt;0,H3/4,"")</f>
        <v>180000</v>
      </c>
    </row>
    <row r="4" spans="1:12" x14ac:dyDescent="0.35">
      <c r="A4" s="1" t="s">
        <v>37</v>
      </c>
      <c r="B4" s="1" t="s">
        <v>56</v>
      </c>
      <c r="C4" s="1" t="s">
        <v>182</v>
      </c>
      <c r="D4" s="1">
        <v>12000</v>
      </c>
      <c r="E4" s="1"/>
      <c r="F4" s="1">
        <v>4</v>
      </c>
      <c r="G4" s="1"/>
      <c r="H4" s="8">
        <f t="shared" si="0"/>
        <v>576000</v>
      </c>
      <c r="I4">
        <f t="shared" si="1"/>
        <v>144000</v>
      </c>
      <c r="J4">
        <f t="shared" si="2"/>
        <v>144000</v>
      </c>
      <c r="K4">
        <f t="shared" si="3"/>
        <v>144000</v>
      </c>
      <c r="L4">
        <f t="shared" si="4"/>
        <v>144000</v>
      </c>
    </row>
    <row r="5" spans="1:12" x14ac:dyDescent="0.35">
      <c r="A5" s="1" t="s">
        <v>38</v>
      </c>
      <c r="B5" s="1" t="s">
        <v>57</v>
      </c>
      <c r="C5" s="1" t="s">
        <v>182</v>
      </c>
      <c r="D5" s="1">
        <v>9000</v>
      </c>
      <c r="E5" s="1"/>
      <c r="F5" s="1">
        <v>4</v>
      </c>
      <c r="G5" s="1"/>
      <c r="H5" s="8">
        <f t="shared" si="0"/>
        <v>432000</v>
      </c>
      <c r="I5">
        <f t="shared" si="1"/>
        <v>108000</v>
      </c>
      <c r="J5">
        <f t="shared" si="2"/>
        <v>108000</v>
      </c>
      <c r="K5">
        <f t="shared" si="3"/>
        <v>108000</v>
      </c>
      <c r="L5">
        <f t="shared" si="4"/>
        <v>108000</v>
      </c>
    </row>
    <row r="6" spans="1:12" x14ac:dyDescent="0.35">
      <c r="A6" s="1" t="s">
        <v>39</v>
      </c>
      <c r="B6" s="1" t="s">
        <v>58</v>
      </c>
      <c r="C6" s="1" t="s">
        <v>182</v>
      </c>
      <c r="D6" s="1">
        <v>9000</v>
      </c>
      <c r="E6" s="1"/>
      <c r="F6" s="1">
        <v>4</v>
      </c>
      <c r="G6" s="1"/>
      <c r="H6" s="8">
        <f t="shared" si="0"/>
        <v>432000</v>
      </c>
      <c r="I6">
        <f t="shared" si="1"/>
        <v>108000</v>
      </c>
      <c r="J6">
        <f t="shared" si="2"/>
        <v>108000</v>
      </c>
      <c r="K6">
        <f t="shared" si="3"/>
        <v>108000</v>
      </c>
      <c r="L6">
        <f t="shared" si="4"/>
        <v>108000</v>
      </c>
    </row>
    <row r="7" spans="1:12" x14ac:dyDescent="0.35">
      <c r="A7" s="1" t="s">
        <v>40</v>
      </c>
      <c r="B7" s="1" t="s">
        <v>59</v>
      </c>
      <c r="C7" s="1" t="s">
        <v>182</v>
      </c>
      <c r="D7" s="1">
        <v>9000</v>
      </c>
      <c r="E7" s="1"/>
      <c r="F7" s="1">
        <v>4</v>
      </c>
      <c r="G7" s="1"/>
      <c r="H7" s="8">
        <f t="shared" si="0"/>
        <v>432000</v>
      </c>
      <c r="I7">
        <f t="shared" si="1"/>
        <v>108000</v>
      </c>
      <c r="J7">
        <f t="shared" si="2"/>
        <v>108000</v>
      </c>
      <c r="K7">
        <f t="shared" si="3"/>
        <v>108000</v>
      </c>
      <c r="L7">
        <f t="shared" si="4"/>
        <v>108000</v>
      </c>
    </row>
    <row r="8" spans="1:12" x14ac:dyDescent="0.35">
      <c r="A8" s="1" t="s">
        <v>41</v>
      </c>
      <c r="B8" s="1" t="s">
        <v>94</v>
      </c>
      <c r="C8" s="1" t="s">
        <v>183</v>
      </c>
      <c r="D8" s="1">
        <v>8000</v>
      </c>
      <c r="E8" s="1"/>
      <c r="F8" s="1">
        <v>4</v>
      </c>
      <c r="G8" s="1"/>
      <c r="H8" s="8">
        <f t="shared" si="0"/>
        <v>384000</v>
      </c>
      <c r="I8">
        <f t="shared" si="1"/>
        <v>96000</v>
      </c>
      <c r="J8">
        <f t="shared" si="2"/>
        <v>96000</v>
      </c>
      <c r="K8">
        <f t="shared" si="3"/>
        <v>96000</v>
      </c>
      <c r="L8">
        <f t="shared" si="4"/>
        <v>96000</v>
      </c>
    </row>
    <row r="9" spans="1:12" x14ac:dyDescent="0.35">
      <c r="A9" s="1" t="s">
        <v>42</v>
      </c>
      <c r="B9" s="1" t="s">
        <v>95</v>
      </c>
      <c r="C9" s="1" t="s">
        <v>183</v>
      </c>
      <c r="D9" s="1">
        <v>8000</v>
      </c>
      <c r="E9" s="1"/>
      <c r="F9" s="1">
        <v>4</v>
      </c>
      <c r="G9" s="1"/>
      <c r="H9" s="8">
        <f t="shared" si="0"/>
        <v>384000</v>
      </c>
      <c r="I9">
        <f t="shared" si="1"/>
        <v>96000</v>
      </c>
      <c r="J9">
        <f t="shared" si="2"/>
        <v>96000</v>
      </c>
      <c r="K9">
        <f t="shared" si="3"/>
        <v>96000</v>
      </c>
      <c r="L9">
        <f t="shared" si="4"/>
        <v>96000</v>
      </c>
    </row>
    <row r="10" spans="1:12" x14ac:dyDescent="0.35">
      <c r="A10" s="1" t="s">
        <v>43</v>
      </c>
      <c r="B10" s="1" t="s">
        <v>96</v>
      </c>
      <c r="C10" s="1" t="s">
        <v>183</v>
      </c>
      <c r="D10" s="1">
        <v>8000</v>
      </c>
      <c r="E10" s="1"/>
      <c r="F10" s="1">
        <v>3</v>
      </c>
      <c r="G10" s="1"/>
      <c r="H10" s="8">
        <f t="shared" si="0"/>
        <v>288000</v>
      </c>
      <c r="I10" t="str">
        <f>IF(F10=4,H10/4,"")</f>
        <v/>
      </c>
      <c r="J10">
        <f t="shared" si="2"/>
        <v>72000</v>
      </c>
      <c r="K10">
        <f t="shared" si="3"/>
        <v>72000</v>
      </c>
      <c r="L10">
        <f t="shared" si="4"/>
        <v>72000</v>
      </c>
    </row>
    <row r="11" spans="1:12" x14ac:dyDescent="0.35">
      <c r="A11" s="1" t="s">
        <v>44</v>
      </c>
      <c r="B11" s="1" t="s">
        <v>97</v>
      </c>
      <c r="C11" s="1" t="s">
        <v>183</v>
      </c>
      <c r="D11" s="1">
        <v>8000</v>
      </c>
      <c r="E11" s="1"/>
      <c r="F11" s="1">
        <v>3</v>
      </c>
      <c r="G11" s="1"/>
      <c r="H11" s="8">
        <f t="shared" si="0"/>
        <v>288000</v>
      </c>
      <c r="I11" t="str">
        <f t="shared" si="1"/>
        <v/>
      </c>
      <c r="J11">
        <f t="shared" si="2"/>
        <v>72000</v>
      </c>
      <c r="K11">
        <f t="shared" si="3"/>
        <v>72000</v>
      </c>
      <c r="L11">
        <f t="shared" si="4"/>
        <v>72000</v>
      </c>
    </row>
    <row r="12" spans="1:12" x14ac:dyDescent="0.35">
      <c r="A12" s="1" t="s">
        <v>45</v>
      </c>
      <c r="B12" s="1" t="s">
        <v>98</v>
      </c>
      <c r="C12" s="1" t="s">
        <v>183</v>
      </c>
      <c r="D12" s="1">
        <v>8000</v>
      </c>
      <c r="E12" s="1"/>
      <c r="F12" s="1">
        <v>3</v>
      </c>
      <c r="G12" s="1"/>
      <c r="H12" s="8">
        <f t="shared" si="0"/>
        <v>288000</v>
      </c>
      <c r="I12" t="str">
        <f t="shared" si="1"/>
        <v/>
      </c>
      <c r="J12">
        <f t="shared" si="2"/>
        <v>72000</v>
      </c>
      <c r="K12">
        <f t="shared" si="3"/>
        <v>72000</v>
      </c>
      <c r="L12">
        <f t="shared" si="4"/>
        <v>72000</v>
      </c>
    </row>
    <row r="13" spans="1:12" x14ac:dyDescent="0.35">
      <c r="A13" s="1" t="s">
        <v>46</v>
      </c>
      <c r="B13" s="1" t="s">
        <v>99</v>
      </c>
      <c r="C13" s="1" t="s">
        <v>183</v>
      </c>
      <c r="D13" s="1">
        <v>8000</v>
      </c>
      <c r="E13" s="1"/>
      <c r="F13" s="1">
        <v>2</v>
      </c>
      <c r="G13" s="1"/>
      <c r="H13" s="8">
        <f t="shared" si="0"/>
        <v>192000</v>
      </c>
      <c r="I13" t="str">
        <f t="shared" si="1"/>
        <v/>
      </c>
      <c r="J13" t="str">
        <f t="shared" si="2"/>
        <v/>
      </c>
      <c r="K13">
        <f t="shared" si="3"/>
        <v>48000</v>
      </c>
      <c r="L13">
        <f t="shared" si="4"/>
        <v>48000</v>
      </c>
    </row>
    <row r="14" spans="1:12" x14ac:dyDescent="0.35">
      <c r="A14" s="6" t="s">
        <v>105</v>
      </c>
      <c r="B14" s="6"/>
      <c r="C14" s="6"/>
      <c r="D14" s="6"/>
      <c r="E14" s="6"/>
      <c r="F14" s="7"/>
      <c r="G14" s="7"/>
      <c r="H14" s="6">
        <f>SUM(H2:H13)</f>
        <v>5376000</v>
      </c>
      <c r="I14" s="6">
        <f t="shared" ref="I14:L14" si="5">SUM(I2:I13)</f>
        <v>1080000</v>
      </c>
      <c r="J14" s="6">
        <f t="shared" si="5"/>
        <v>1296000</v>
      </c>
      <c r="K14" s="6">
        <f t="shared" si="5"/>
        <v>1344000</v>
      </c>
      <c r="L14" s="6">
        <f t="shared" si="5"/>
        <v>1344000</v>
      </c>
    </row>
    <row r="17" spans="1:5" x14ac:dyDescent="0.35">
      <c r="A17" s="84" t="s">
        <v>161</v>
      </c>
      <c r="B17" s="85"/>
      <c r="C17" s="85"/>
      <c r="D17" s="85"/>
      <c r="E17" s="85"/>
    </row>
    <row r="18" spans="1:5" x14ac:dyDescent="0.35">
      <c r="A18" s="2" t="s">
        <v>177</v>
      </c>
      <c r="B18" s="2">
        <v>2024</v>
      </c>
      <c r="C18" s="2">
        <v>2025</v>
      </c>
      <c r="D18" s="2">
        <v>2026</v>
      </c>
      <c r="E18" s="2">
        <v>2027</v>
      </c>
    </row>
    <row r="19" spans="1:5" x14ac:dyDescent="0.35">
      <c r="A19" s="2" t="s">
        <v>182</v>
      </c>
      <c r="B19" s="2">
        <f>SUMIF($C$2:$C$13,$A$24,I2:I13)</f>
        <v>468000</v>
      </c>
      <c r="C19" s="2">
        <f>SUMIF($C$2:$C$13,$A$24,J2:J13)</f>
        <v>468000</v>
      </c>
      <c r="D19" s="2">
        <f t="shared" ref="D19:E19" si="6">SUMIF($C$2:$C$13,$A$24,K2:K13)</f>
        <v>468000</v>
      </c>
      <c r="E19" s="2">
        <f t="shared" si="6"/>
        <v>468000</v>
      </c>
    </row>
    <row r="20" spans="1:5" x14ac:dyDescent="0.35">
      <c r="A20" s="2" t="s">
        <v>183</v>
      </c>
      <c r="B20" s="2">
        <f>SUMIF($C$2:$C$13,$A$25,I2:I13)</f>
        <v>612000</v>
      </c>
      <c r="C20" s="2">
        <f t="shared" ref="C20:E20" si="7">SUMIF($C$2:$C$13,$A$25,J2:J13)</f>
        <v>828000</v>
      </c>
      <c r="D20" s="2">
        <f t="shared" si="7"/>
        <v>876000</v>
      </c>
      <c r="E20" s="2">
        <f t="shared" si="7"/>
        <v>876000</v>
      </c>
    </row>
    <row r="23" spans="1:5" x14ac:dyDescent="0.35">
      <c r="A23" s="6" t="s">
        <v>185</v>
      </c>
    </row>
    <row r="24" spans="1:5" x14ac:dyDescent="0.35">
      <c r="A24" s="2" t="s">
        <v>182</v>
      </c>
    </row>
    <row r="25" spans="1:5" x14ac:dyDescent="0.35">
      <c r="A25" s="2" t="s">
        <v>183</v>
      </c>
    </row>
  </sheetData>
  <mergeCells count="1">
    <mergeCell ref="A17:E17"/>
  </mergeCells>
  <phoneticPr fontId="3" type="noConversion"/>
  <dataValidations count="1">
    <dataValidation type="list" allowBlank="1" showInputMessage="1" showErrorMessage="1" sqref="C2:C13" xr:uid="{CB9D55E8-B0B0-462D-BF73-B2AB6C2AF52E}">
      <formula1>$A$24:$A$25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9D38-2AE9-4F4B-B1C3-18170B4D90CE}">
  <dimension ref="A1:R15"/>
  <sheetViews>
    <sheetView showGridLines="0" topLeftCell="C1" zoomScale="56" workbookViewId="0">
      <selection activeCell="J4" sqref="J4"/>
    </sheetView>
  </sheetViews>
  <sheetFormatPr defaultRowHeight="14.5" x14ac:dyDescent="0.35"/>
  <cols>
    <col min="1" max="1" width="31.08984375" bestFit="1" customWidth="1"/>
    <col min="2" max="2" width="39.90625" bestFit="1" customWidth="1"/>
  </cols>
  <sheetData>
    <row r="1" spans="1:18" x14ac:dyDescent="0.35">
      <c r="A1" s="6" t="s">
        <v>51</v>
      </c>
      <c r="B1" s="6"/>
      <c r="C1" s="6" t="s">
        <v>15</v>
      </c>
      <c r="D1" s="6" t="s">
        <v>16</v>
      </c>
      <c r="E1" s="7" t="s">
        <v>17</v>
      </c>
      <c r="F1" s="7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</row>
    <row r="2" spans="1:18" x14ac:dyDescent="0.35">
      <c r="A2" s="1" t="s">
        <v>87</v>
      </c>
      <c r="B2" s="2" t="s">
        <v>0</v>
      </c>
      <c r="C2" s="1">
        <v>150000</v>
      </c>
      <c r="D2" s="2">
        <v>200000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1" t="s">
        <v>88</v>
      </c>
      <c r="B3" s="2" t="s">
        <v>1</v>
      </c>
      <c r="C3" s="1"/>
      <c r="D3" s="1">
        <v>200000</v>
      </c>
      <c r="E3" s="1">
        <v>150000</v>
      </c>
      <c r="F3" s="1">
        <v>150000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1" t="s">
        <v>89</v>
      </c>
      <c r="B4" s="2" t="s">
        <v>2</v>
      </c>
      <c r="C4" s="1"/>
      <c r="D4" s="2"/>
      <c r="E4" s="1">
        <v>150000</v>
      </c>
      <c r="F4" s="1">
        <v>150000</v>
      </c>
      <c r="G4" s="1">
        <v>45000</v>
      </c>
      <c r="H4" s="2">
        <v>15000</v>
      </c>
      <c r="I4" s="2">
        <v>15000</v>
      </c>
      <c r="J4" s="2">
        <v>15000</v>
      </c>
      <c r="K4" s="2">
        <v>15000</v>
      </c>
      <c r="L4" s="2">
        <v>15000</v>
      </c>
      <c r="M4" s="2"/>
      <c r="N4" s="2"/>
      <c r="O4" s="2"/>
      <c r="P4" s="2"/>
      <c r="Q4" s="2"/>
      <c r="R4" s="2"/>
    </row>
    <row r="5" spans="1:18" x14ac:dyDescent="0.35">
      <c r="A5" s="1" t="s">
        <v>100</v>
      </c>
      <c r="B5" s="2" t="s">
        <v>3</v>
      </c>
      <c r="C5" s="1"/>
      <c r="D5" s="2"/>
      <c r="E5" s="1">
        <v>5000</v>
      </c>
      <c r="F5" s="2">
        <v>5000</v>
      </c>
      <c r="G5" s="1"/>
      <c r="H5" s="2"/>
      <c r="I5" s="1"/>
      <c r="J5" s="2"/>
      <c r="K5" s="1"/>
      <c r="L5" s="2"/>
      <c r="M5" s="2"/>
      <c r="N5" s="2"/>
      <c r="O5" s="2"/>
      <c r="P5" s="2"/>
      <c r="Q5" s="2"/>
      <c r="R5" s="2"/>
    </row>
    <row r="6" spans="1:18" x14ac:dyDescent="0.35">
      <c r="A6" s="1" t="s">
        <v>90</v>
      </c>
      <c r="B6" s="2" t="s">
        <v>4</v>
      </c>
      <c r="C6" s="1"/>
      <c r="D6" s="2"/>
      <c r="E6" s="2"/>
      <c r="F6" s="2"/>
      <c r="G6" s="1">
        <v>2000</v>
      </c>
      <c r="H6" s="2">
        <v>2000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A7" s="1" t="s">
        <v>93</v>
      </c>
      <c r="B7" s="2" t="s">
        <v>5</v>
      </c>
      <c r="C7" s="1"/>
      <c r="D7" s="2"/>
      <c r="E7" s="2"/>
      <c r="F7" s="2"/>
      <c r="G7" s="1">
        <v>50000</v>
      </c>
      <c r="H7" s="1">
        <v>50000</v>
      </c>
      <c r="I7" s="1">
        <v>50000</v>
      </c>
      <c r="J7" s="1">
        <v>50000</v>
      </c>
      <c r="K7" s="1">
        <v>50000</v>
      </c>
      <c r="L7" s="2"/>
      <c r="M7" s="2"/>
      <c r="N7" s="2"/>
      <c r="O7" s="2"/>
      <c r="P7" s="2"/>
      <c r="Q7" s="2"/>
      <c r="R7" s="2"/>
    </row>
    <row r="8" spans="1:18" x14ac:dyDescent="0.35">
      <c r="A8" s="1" t="s">
        <v>91</v>
      </c>
      <c r="B8" s="2" t="s">
        <v>6</v>
      </c>
      <c r="C8" s="1"/>
      <c r="D8" s="2"/>
      <c r="E8" s="2"/>
      <c r="F8" s="2"/>
      <c r="G8" s="2"/>
      <c r="H8" s="1">
        <v>30000</v>
      </c>
      <c r="I8" s="1">
        <v>30000</v>
      </c>
      <c r="J8" s="1">
        <v>30000</v>
      </c>
      <c r="K8" s="1">
        <v>30000</v>
      </c>
      <c r="L8" s="1">
        <v>30000</v>
      </c>
      <c r="M8" s="2"/>
      <c r="N8" s="2"/>
      <c r="O8" s="2"/>
      <c r="P8" s="2"/>
      <c r="Q8" s="2"/>
      <c r="R8" s="2"/>
    </row>
    <row r="9" spans="1:18" x14ac:dyDescent="0.35">
      <c r="A9" s="1" t="s">
        <v>92</v>
      </c>
      <c r="B9" s="2" t="s">
        <v>7</v>
      </c>
      <c r="C9" s="1"/>
      <c r="D9" s="2"/>
      <c r="E9" s="2"/>
      <c r="F9" s="2"/>
      <c r="G9" s="2"/>
      <c r="H9" s="2"/>
      <c r="I9" s="2"/>
      <c r="J9" s="2"/>
      <c r="K9" s="2"/>
      <c r="L9" s="2"/>
      <c r="M9" s="1">
        <v>5000</v>
      </c>
      <c r="N9" s="2">
        <v>5000</v>
      </c>
      <c r="O9" s="2"/>
      <c r="P9" s="2"/>
      <c r="Q9" s="2"/>
      <c r="R9" s="2"/>
    </row>
    <row r="10" spans="1:18" x14ac:dyDescent="0.35">
      <c r="A10" s="1" t="s">
        <v>106</v>
      </c>
      <c r="B10" s="2" t="s">
        <v>8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1">
        <v>200000</v>
      </c>
      <c r="N10" s="1">
        <v>200000</v>
      </c>
      <c r="O10" s="2"/>
      <c r="P10" s="2"/>
      <c r="Q10" s="2"/>
      <c r="R10" s="2"/>
    </row>
    <row r="11" spans="1:18" x14ac:dyDescent="0.35">
      <c r="A11" s="1" t="s">
        <v>101</v>
      </c>
      <c r="B11" s="2" t="s">
        <v>9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>
        <v>50000</v>
      </c>
      <c r="P11" s="2">
        <v>30000</v>
      </c>
      <c r="Q11" s="1">
        <v>30000</v>
      </c>
      <c r="R11" s="2">
        <v>30000</v>
      </c>
    </row>
    <row r="12" spans="1:18" x14ac:dyDescent="0.35">
      <c r="A12" s="1" t="s">
        <v>102</v>
      </c>
      <c r="B12" s="2" t="s">
        <v>10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10000</v>
      </c>
      <c r="Q12" s="2">
        <v>10000</v>
      </c>
      <c r="R12" s="2">
        <v>10000</v>
      </c>
    </row>
    <row r="13" spans="1:18" x14ac:dyDescent="0.35">
      <c r="A13" s="1" t="s">
        <v>103</v>
      </c>
      <c r="B13" s="2" t="s">
        <v>11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20000</v>
      </c>
      <c r="Q13" s="2">
        <v>20000</v>
      </c>
      <c r="R13" s="2">
        <v>20000</v>
      </c>
    </row>
    <row r="14" spans="1:18" x14ac:dyDescent="0.35">
      <c r="A14" s="1" t="s">
        <v>104</v>
      </c>
      <c r="B14" s="2" t="s">
        <v>12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>
        <v>30000</v>
      </c>
      <c r="R14" s="2">
        <v>30000</v>
      </c>
    </row>
    <row r="15" spans="1:18" x14ac:dyDescent="0.35">
      <c r="A15" s="6" t="s">
        <v>125</v>
      </c>
      <c r="B15" s="6"/>
      <c r="C15" s="6">
        <f>SUM(C2:C14)</f>
        <v>150000</v>
      </c>
      <c r="D15" s="6">
        <f t="shared" ref="D15:R15" si="0">SUM(D2:D14)</f>
        <v>400000</v>
      </c>
      <c r="E15" s="6">
        <f t="shared" si="0"/>
        <v>305000</v>
      </c>
      <c r="F15" s="6">
        <f t="shared" si="0"/>
        <v>305000</v>
      </c>
      <c r="G15" s="6">
        <f t="shared" si="0"/>
        <v>97000</v>
      </c>
      <c r="H15" s="6">
        <f t="shared" si="0"/>
        <v>97000</v>
      </c>
      <c r="I15" s="6">
        <f t="shared" si="0"/>
        <v>95000</v>
      </c>
      <c r="J15" s="6">
        <f t="shared" si="0"/>
        <v>95000</v>
      </c>
      <c r="K15" s="6">
        <f t="shared" si="0"/>
        <v>95000</v>
      </c>
      <c r="L15" s="6">
        <f t="shared" si="0"/>
        <v>45000</v>
      </c>
      <c r="M15" s="6">
        <f t="shared" si="0"/>
        <v>205000</v>
      </c>
      <c r="N15" s="6">
        <f t="shared" si="0"/>
        <v>205000</v>
      </c>
      <c r="O15" s="6">
        <f t="shared" si="0"/>
        <v>50000</v>
      </c>
      <c r="P15" s="6">
        <f t="shared" si="0"/>
        <v>60000</v>
      </c>
      <c r="Q15" s="6">
        <f t="shared" si="0"/>
        <v>90000</v>
      </c>
      <c r="R15" s="6">
        <f t="shared" si="0"/>
        <v>90000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D5D8-B5D4-4C73-B288-632FC1AAAD91}">
  <dimension ref="A2:DO54"/>
  <sheetViews>
    <sheetView showGridLines="0" zoomScale="72" workbookViewId="0">
      <pane xSplit="2" ySplit="4" topLeftCell="CY11" activePane="bottomRight" state="frozen"/>
      <selection pane="topRight" activeCell="C1" sqref="C1"/>
      <selection pane="bottomLeft" activeCell="A5" sqref="A5"/>
      <selection pane="bottomRight" activeCell="DC32" sqref="DC32"/>
    </sheetView>
  </sheetViews>
  <sheetFormatPr defaultRowHeight="14.5" x14ac:dyDescent="0.35"/>
  <cols>
    <col min="1" max="1" width="18" bestFit="1" customWidth="1"/>
    <col min="2" max="2" width="24.08984375" bestFit="1" customWidth="1"/>
    <col min="3" max="3" width="22.26953125" hidden="1" customWidth="1"/>
    <col min="4" max="14" width="0" hidden="1" customWidth="1"/>
    <col min="15" max="15" width="12.54296875" hidden="1" customWidth="1"/>
    <col min="16" max="27" width="0" hidden="1" customWidth="1"/>
    <col min="28" max="28" width="12.54296875" hidden="1" customWidth="1"/>
    <col min="29" max="40" width="0" hidden="1" customWidth="1"/>
    <col min="41" max="41" width="12.54296875" hidden="1" customWidth="1"/>
    <col min="42" max="53" width="0" hidden="1" customWidth="1"/>
    <col min="54" max="54" width="12.54296875" hidden="1" customWidth="1"/>
    <col min="55" max="55" width="17.90625" customWidth="1"/>
    <col min="67" max="67" width="17.453125" bestFit="1" customWidth="1"/>
    <col min="68" max="68" width="9.81640625" bestFit="1" customWidth="1"/>
    <col min="80" max="80" width="17.453125" bestFit="1" customWidth="1"/>
    <col min="93" max="93" width="17.453125" bestFit="1" customWidth="1"/>
    <col min="106" max="106" width="17.453125" bestFit="1" customWidth="1"/>
  </cols>
  <sheetData>
    <row r="2" spans="1:119" ht="15" thickBot="1" x14ac:dyDescent="0.4">
      <c r="A2" t="s">
        <v>111</v>
      </c>
    </row>
    <row r="3" spans="1:119" ht="15" thickBot="1" x14ac:dyDescent="0.4">
      <c r="B3" t="s">
        <v>112</v>
      </c>
      <c r="C3" s="9">
        <v>43770</v>
      </c>
      <c r="D3" s="9">
        <v>43800</v>
      </c>
      <c r="E3" s="9">
        <v>43831</v>
      </c>
      <c r="F3" s="9">
        <v>43862</v>
      </c>
      <c r="G3" s="9">
        <v>43891</v>
      </c>
      <c r="H3" s="9">
        <v>43922</v>
      </c>
      <c r="I3" s="9">
        <v>43952</v>
      </c>
      <c r="J3" s="9">
        <v>43983</v>
      </c>
      <c r="K3" s="9">
        <v>44013</v>
      </c>
      <c r="L3" s="9">
        <v>44044</v>
      </c>
      <c r="M3" s="9">
        <v>44075</v>
      </c>
      <c r="N3" s="9">
        <v>44105</v>
      </c>
      <c r="O3" s="9" t="s">
        <v>172</v>
      </c>
      <c r="P3" s="9">
        <v>44136</v>
      </c>
      <c r="Q3" s="9">
        <v>44166</v>
      </c>
      <c r="R3" s="9">
        <v>44197</v>
      </c>
      <c r="S3" s="9">
        <v>44228</v>
      </c>
      <c r="T3" s="9">
        <v>44256</v>
      </c>
      <c r="U3" s="9">
        <v>44287</v>
      </c>
      <c r="V3" s="9">
        <v>44317</v>
      </c>
      <c r="W3" s="9">
        <v>44348</v>
      </c>
      <c r="X3" s="9">
        <v>44378</v>
      </c>
      <c r="Y3" s="9">
        <v>44409</v>
      </c>
      <c r="Z3" s="9">
        <v>44440</v>
      </c>
      <c r="AA3" s="9">
        <v>44470</v>
      </c>
      <c r="AB3" s="9" t="s">
        <v>173</v>
      </c>
      <c r="AC3" s="9">
        <v>44501</v>
      </c>
      <c r="AD3" s="9">
        <v>44531</v>
      </c>
      <c r="AE3" s="9">
        <v>44562</v>
      </c>
      <c r="AF3" s="9">
        <v>44593</v>
      </c>
      <c r="AG3" s="9">
        <v>44621</v>
      </c>
      <c r="AH3" s="9">
        <v>44652</v>
      </c>
      <c r="AI3" s="9">
        <v>44682</v>
      </c>
      <c r="AJ3" s="9">
        <v>44713</v>
      </c>
      <c r="AK3" s="9">
        <v>44743</v>
      </c>
      <c r="AL3" s="9">
        <v>44774</v>
      </c>
      <c r="AM3" s="9">
        <v>44805</v>
      </c>
      <c r="AN3" s="9">
        <v>44835</v>
      </c>
      <c r="AO3" s="9" t="s">
        <v>174</v>
      </c>
      <c r="AP3" s="9">
        <v>44866</v>
      </c>
      <c r="AQ3" s="9">
        <v>44896</v>
      </c>
      <c r="AR3" s="9">
        <v>44927</v>
      </c>
      <c r="AS3" s="9">
        <v>44958</v>
      </c>
      <c r="AT3" s="9">
        <v>44986</v>
      </c>
      <c r="AU3" s="9">
        <v>45017</v>
      </c>
      <c r="AV3" s="9">
        <v>45047</v>
      </c>
      <c r="AW3" s="9">
        <v>45078</v>
      </c>
      <c r="AX3" s="9">
        <v>45108</v>
      </c>
      <c r="AY3" s="9">
        <v>45139</v>
      </c>
      <c r="AZ3" s="9">
        <v>45170</v>
      </c>
      <c r="BA3" s="9">
        <v>45200</v>
      </c>
      <c r="BB3" s="9" t="s">
        <v>175</v>
      </c>
      <c r="BC3" s="9">
        <v>45231</v>
      </c>
      <c r="BD3" s="9">
        <v>45261</v>
      </c>
      <c r="BE3" s="9">
        <v>45292</v>
      </c>
      <c r="BF3" s="9">
        <v>45323</v>
      </c>
      <c r="BG3" s="9">
        <v>45352</v>
      </c>
      <c r="BH3" s="9">
        <v>45383</v>
      </c>
      <c r="BI3" s="9">
        <v>45413</v>
      </c>
      <c r="BJ3" s="9">
        <v>45444</v>
      </c>
      <c r="BK3" s="9">
        <v>45474</v>
      </c>
      <c r="BL3" s="9">
        <v>45505</v>
      </c>
      <c r="BM3" s="9">
        <v>45536</v>
      </c>
      <c r="BN3" s="9">
        <v>45566</v>
      </c>
      <c r="BO3" s="9" t="s">
        <v>189</v>
      </c>
      <c r="BP3" s="9">
        <v>45597</v>
      </c>
      <c r="BQ3" s="9">
        <v>45627</v>
      </c>
      <c r="BR3" s="9">
        <v>45658</v>
      </c>
      <c r="BS3" s="9">
        <v>45689</v>
      </c>
      <c r="BT3" s="9">
        <v>45717</v>
      </c>
      <c r="BU3" s="9">
        <v>45748</v>
      </c>
      <c r="BV3" s="9">
        <v>45778</v>
      </c>
      <c r="BW3" s="9">
        <v>45809</v>
      </c>
      <c r="BX3" s="9">
        <v>45839</v>
      </c>
      <c r="BY3" s="9">
        <v>45870</v>
      </c>
      <c r="BZ3" s="9">
        <v>45901</v>
      </c>
      <c r="CA3" s="9">
        <v>45931</v>
      </c>
      <c r="CB3" s="9" t="s">
        <v>190</v>
      </c>
      <c r="CC3" s="9">
        <v>45962</v>
      </c>
      <c r="CD3" s="9">
        <v>45992</v>
      </c>
      <c r="CE3" s="9">
        <v>46023</v>
      </c>
      <c r="CF3" s="9">
        <v>46054</v>
      </c>
      <c r="CG3" s="9">
        <v>46082</v>
      </c>
      <c r="CH3" s="9">
        <v>46113</v>
      </c>
      <c r="CI3" s="9">
        <v>46143</v>
      </c>
      <c r="CJ3" s="9">
        <v>46174</v>
      </c>
      <c r="CK3" s="9">
        <v>46204</v>
      </c>
      <c r="CL3" s="9">
        <v>46235</v>
      </c>
      <c r="CM3" s="9">
        <v>46266</v>
      </c>
      <c r="CN3" s="9">
        <v>46296</v>
      </c>
      <c r="CO3" s="9" t="s">
        <v>191</v>
      </c>
      <c r="CP3" s="9">
        <v>46327</v>
      </c>
      <c r="CQ3" s="9">
        <v>46358</v>
      </c>
      <c r="CR3" s="9">
        <v>46389</v>
      </c>
      <c r="CS3" s="9">
        <v>46420</v>
      </c>
      <c r="CT3" s="9">
        <v>46451</v>
      </c>
      <c r="CU3" s="9">
        <v>46482</v>
      </c>
      <c r="CV3" s="9">
        <v>46513</v>
      </c>
      <c r="CW3" s="9">
        <v>46544</v>
      </c>
      <c r="CX3" s="9">
        <v>46575</v>
      </c>
      <c r="CY3" s="9">
        <v>46606</v>
      </c>
      <c r="CZ3" s="9">
        <v>46637</v>
      </c>
      <c r="DA3" s="9">
        <v>46668</v>
      </c>
      <c r="DB3" s="9" t="s">
        <v>192</v>
      </c>
      <c r="DC3" s="9">
        <v>46692</v>
      </c>
      <c r="DD3" s="9">
        <v>46722</v>
      </c>
      <c r="DE3" s="9">
        <v>46753</v>
      </c>
      <c r="DF3" s="9">
        <v>46784</v>
      </c>
      <c r="DG3" s="9">
        <v>46813</v>
      </c>
      <c r="DH3" s="9">
        <v>46844</v>
      </c>
      <c r="DI3" s="9">
        <v>46874</v>
      </c>
      <c r="DJ3" s="9">
        <v>46905</v>
      </c>
      <c r="DK3" s="9">
        <v>46935</v>
      </c>
      <c r="DL3" s="9">
        <v>46966</v>
      </c>
      <c r="DM3" s="9">
        <v>46997</v>
      </c>
      <c r="DN3" s="9">
        <v>47027</v>
      </c>
      <c r="DO3" s="9" t="s">
        <v>216</v>
      </c>
    </row>
    <row r="4" spans="1:119" x14ac:dyDescent="0.3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119" x14ac:dyDescent="0.35">
      <c r="B5" s="11" t="s">
        <v>117</v>
      </c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O5" s="13"/>
      <c r="P5" s="11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  <c r="AB5" s="13"/>
      <c r="AC5" s="11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3"/>
      <c r="AO5" s="13"/>
      <c r="AP5" s="11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3"/>
      <c r="BB5" s="13"/>
      <c r="BC5" s="11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3"/>
      <c r="BO5" s="13"/>
      <c r="BP5" s="11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3"/>
      <c r="CB5" s="13"/>
      <c r="CC5" s="11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3"/>
      <c r="CO5" s="13"/>
      <c r="CP5" s="1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3"/>
      <c r="DB5" s="13"/>
      <c r="DC5" s="11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3"/>
      <c r="DO5" s="13"/>
    </row>
    <row r="6" spans="1:119" x14ac:dyDescent="0.35">
      <c r="B6" s="17" t="s">
        <v>114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16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  <c r="AB6" s="16"/>
      <c r="AC6" s="14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6"/>
      <c r="AO6" s="16"/>
      <c r="AP6" s="14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6"/>
      <c r="BB6" s="16"/>
      <c r="BC6" s="14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6"/>
      <c r="BO6" s="16"/>
      <c r="BP6" s="14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6"/>
      <c r="CB6" s="16"/>
      <c r="CC6" s="14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6"/>
      <c r="CO6" s="16"/>
      <c r="CP6" s="14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6"/>
      <c r="DB6" s="16"/>
      <c r="DC6" s="14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6"/>
      <c r="DO6" s="16"/>
    </row>
    <row r="7" spans="1:119" x14ac:dyDescent="0.35">
      <c r="B7" s="17" t="str">
        <f>IF(B6="SAAS","Beginning Subscriptions",IF(OR(B6="One time",B6="Pay per User",B6="Commission"),"Number of Products",""))</f>
        <v>Beginning Subscriptions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9"/>
      <c r="AB7" s="19"/>
      <c r="AC7" s="17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9"/>
      <c r="AO7" s="19"/>
      <c r="AP7" s="17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9"/>
      <c r="BB7" s="19"/>
      <c r="BC7" s="17">
        <v>0</v>
      </c>
      <c r="BD7" s="18">
        <f>BC11</f>
        <v>50</v>
      </c>
      <c r="BE7" s="18">
        <f t="shared" ref="BE7:BN7" si="0">BD11</f>
        <v>53</v>
      </c>
      <c r="BF7" s="18">
        <f t="shared" si="0"/>
        <v>56.18</v>
      </c>
      <c r="BG7" s="18">
        <f t="shared" si="0"/>
        <v>59.550800000000002</v>
      </c>
      <c r="BH7" s="18">
        <f t="shared" si="0"/>
        <v>63.123848000000002</v>
      </c>
      <c r="BI7" s="18">
        <f t="shared" si="0"/>
        <v>66.911278879999998</v>
      </c>
      <c r="BJ7" s="18">
        <f t="shared" si="0"/>
        <v>70.925955612799996</v>
      </c>
      <c r="BK7" s="18">
        <f t="shared" si="0"/>
        <v>75.181512949568003</v>
      </c>
      <c r="BL7" s="18">
        <f t="shared" si="0"/>
        <v>79.692403726542082</v>
      </c>
      <c r="BM7" s="18">
        <f t="shared" si="0"/>
        <v>84.473947950134601</v>
      </c>
      <c r="BN7" s="18">
        <f t="shared" si="0"/>
        <v>89.542384827142683</v>
      </c>
      <c r="BO7" s="19"/>
      <c r="BP7" s="17">
        <f>BN11</f>
        <v>94.914927916771248</v>
      </c>
      <c r="BQ7" s="18">
        <f>BP11</f>
        <v>100.60982359177753</v>
      </c>
      <c r="BR7" s="18">
        <f t="shared" ref="BR7:CA7" si="1">BQ11</f>
        <v>106.64641300728418</v>
      </c>
      <c r="BS7" s="18">
        <f t="shared" si="1"/>
        <v>113.04519778772124</v>
      </c>
      <c r="BT7" s="18">
        <f t="shared" si="1"/>
        <v>119.82790965498451</v>
      </c>
      <c r="BU7" s="18">
        <f t="shared" si="1"/>
        <v>127.01758423428358</v>
      </c>
      <c r="BV7" s="18">
        <f t="shared" si="1"/>
        <v>134.63863928834058</v>
      </c>
      <c r="BW7" s="18">
        <f t="shared" si="1"/>
        <v>142.71695764564103</v>
      </c>
      <c r="BX7" s="18">
        <f t="shared" si="1"/>
        <v>151.2799751043795</v>
      </c>
      <c r="BY7" s="18">
        <f t="shared" si="1"/>
        <v>160.35677361064228</v>
      </c>
      <c r="BZ7" s="18">
        <f t="shared" si="1"/>
        <v>169.97818002728081</v>
      </c>
      <c r="CA7" s="18">
        <f t="shared" si="1"/>
        <v>180.17687082891766</v>
      </c>
      <c r="CB7" s="19"/>
      <c r="CC7" s="17">
        <f>CA11</f>
        <v>190.9874830786527</v>
      </c>
      <c r="CD7" s="18">
        <f>CC11</f>
        <v>202.44673206337185</v>
      </c>
      <c r="CE7" s="18">
        <f t="shared" ref="CE7:CN7" si="2">CD11</f>
        <v>212.56906866654046</v>
      </c>
      <c r="CF7" s="18">
        <f t="shared" si="2"/>
        <v>223.19752209986748</v>
      </c>
      <c r="CG7" s="18">
        <f t="shared" si="2"/>
        <v>234.35739820486086</v>
      </c>
      <c r="CH7" s="18">
        <f t="shared" si="2"/>
        <v>246.07526811510391</v>
      </c>
      <c r="CI7" s="18">
        <f t="shared" si="2"/>
        <v>258.37903152085909</v>
      </c>
      <c r="CJ7" s="18">
        <f t="shared" si="2"/>
        <v>271.29798309690204</v>
      </c>
      <c r="CK7" s="18">
        <f t="shared" si="2"/>
        <v>284.86288225174712</v>
      </c>
      <c r="CL7" s="18">
        <f t="shared" si="2"/>
        <v>299.10602636433447</v>
      </c>
      <c r="CM7" s="18">
        <f t="shared" si="2"/>
        <v>314.06132768255117</v>
      </c>
      <c r="CN7" s="18">
        <f t="shared" si="2"/>
        <v>329.76439406667873</v>
      </c>
      <c r="CO7" s="19"/>
      <c r="CP7" s="17">
        <f>CN11</f>
        <v>346.25261377001266</v>
      </c>
      <c r="CQ7" s="18">
        <f>CP11</f>
        <v>363.56524445851329</v>
      </c>
      <c r="CR7" s="18">
        <f t="shared" ref="CR7:DA7" si="3">CQ11</f>
        <v>378.10785423685383</v>
      </c>
      <c r="CS7" s="18">
        <f t="shared" si="3"/>
        <v>393.23216840632796</v>
      </c>
      <c r="CT7" s="18">
        <f t="shared" si="3"/>
        <v>408.96145514258109</v>
      </c>
      <c r="CU7" s="18">
        <f t="shared" si="3"/>
        <v>425.31991334828433</v>
      </c>
      <c r="CV7" s="18">
        <f t="shared" si="3"/>
        <v>442.33270988221568</v>
      </c>
      <c r="CW7" s="18">
        <f t="shared" si="3"/>
        <v>460.02601827750431</v>
      </c>
      <c r="CX7" s="18">
        <f t="shared" si="3"/>
        <v>478.42705900860449</v>
      </c>
      <c r="CY7" s="18">
        <f t="shared" si="3"/>
        <v>497.56414136894864</v>
      </c>
      <c r="CZ7" s="18">
        <f t="shared" si="3"/>
        <v>517.46670702370659</v>
      </c>
      <c r="DA7" s="18">
        <f t="shared" si="3"/>
        <v>538.16537530465484</v>
      </c>
      <c r="DB7" s="19"/>
      <c r="DC7" s="17">
        <f>DA11</f>
        <v>559.69199031684104</v>
      </c>
      <c r="DD7" s="18">
        <f>DC11</f>
        <v>582.07966992951469</v>
      </c>
      <c r="DE7" s="18">
        <f t="shared" ref="DE7" si="4">DD11</f>
        <v>605.36285672669533</v>
      </c>
      <c r="DF7" s="18">
        <f t="shared" ref="DF7" si="5">DE11</f>
        <v>629.57737099576309</v>
      </c>
      <c r="DG7" s="18">
        <f t="shared" ref="DG7" si="6">DF11</f>
        <v>654.76046583559366</v>
      </c>
      <c r="DH7" s="18">
        <f t="shared" ref="DH7" si="7">DG11</f>
        <v>680.95088446901741</v>
      </c>
      <c r="DI7" s="18">
        <f t="shared" ref="DI7" si="8">DH11</f>
        <v>708.18891984777815</v>
      </c>
      <c r="DJ7" s="18">
        <f t="shared" ref="DJ7" si="9">DI11</f>
        <v>736.51647664168922</v>
      </c>
      <c r="DK7" s="18">
        <f t="shared" ref="DK7" si="10">DJ11</f>
        <v>765.97713570735675</v>
      </c>
      <c r="DL7" s="18">
        <f t="shared" ref="DL7" si="11">DK11</f>
        <v>796.61622113565102</v>
      </c>
      <c r="DM7" s="18">
        <f t="shared" ref="DM7" si="12">DL11</f>
        <v>828.48086998107703</v>
      </c>
      <c r="DN7" s="18">
        <f t="shared" ref="DN7" si="13">DM11</f>
        <v>861.62010478032016</v>
      </c>
      <c r="DO7" s="19"/>
    </row>
    <row r="8" spans="1:119" x14ac:dyDescent="0.35">
      <c r="B8" s="20" t="str">
        <f>IF(B6="SAAS","New Subscriptions",IF(B6="Commission","Commission %",""))</f>
        <v>New Subscriptions</v>
      </c>
      <c r="C8" s="35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19"/>
      <c r="P8" s="35"/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  <c r="AB8" s="19"/>
      <c r="AC8" s="35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9"/>
      <c r="AO8" s="19"/>
      <c r="AP8" s="35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9"/>
      <c r="BB8" s="19"/>
      <c r="BC8" s="35">
        <v>50</v>
      </c>
      <c r="BD8" s="18">
        <f>BC12*BD7</f>
        <v>3</v>
      </c>
      <c r="BE8" s="18">
        <f t="shared" ref="BE8:BN8" si="14">BD12*BE7</f>
        <v>3.1799999999999997</v>
      </c>
      <c r="BF8" s="18">
        <f t="shared" si="14"/>
        <v>3.3708</v>
      </c>
      <c r="BG8" s="18">
        <f t="shared" si="14"/>
        <v>3.573048</v>
      </c>
      <c r="BH8" s="18">
        <f t="shared" si="14"/>
        <v>3.7874308800000001</v>
      </c>
      <c r="BI8" s="18">
        <f t="shared" si="14"/>
        <v>4.0146767327999999</v>
      </c>
      <c r="BJ8" s="18">
        <f t="shared" si="14"/>
        <v>4.2555573367679997</v>
      </c>
      <c r="BK8" s="18">
        <f t="shared" si="14"/>
        <v>4.5108907769740796</v>
      </c>
      <c r="BL8" s="18">
        <f t="shared" si="14"/>
        <v>4.7815442235925252</v>
      </c>
      <c r="BM8" s="18">
        <f t="shared" si="14"/>
        <v>5.0684368770080761</v>
      </c>
      <c r="BN8" s="18">
        <f t="shared" si="14"/>
        <v>5.3725430896285609</v>
      </c>
      <c r="BO8" s="19"/>
      <c r="BP8" s="18">
        <f>BN12*BP7</f>
        <v>5.6948956750062747</v>
      </c>
      <c r="BQ8" s="18">
        <f>BP12*BQ7</f>
        <v>6.0365894155066515</v>
      </c>
      <c r="BR8" s="18">
        <f t="shared" ref="BR8" si="15">BQ12*BR7</f>
        <v>6.398784780437051</v>
      </c>
      <c r="BS8" s="18">
        <f t="shared" ref="BS8" si="16">BR12*BS7</f>
        <v>6.7827118672632736</v>
      </c>
      <c r="BT8" s="18">
        <f t="shared" ref="BT8" si="17">BS12*BT7</f>
        <v>7.1896745792990702</v>
      </c>
      <c r="BU8" s="18">
        <f t="shared" ref="BU8" si="18">BT12*BU7</f>
        <v>7.6210550540570141</v>
      </c>
      <c r="BV8" s="18">
        <f t="shared" ref="BV8" si="19">BU12*BV7</f>
        <v>8.078318357300434</v>
      </c>
      <c r="BW8" s="18">
        <f t="shared" ref="BW8" si="20">BV12*BW7</f>
        <v>8.5630174587384609</v>
      </c>
      <c r="BX8" s="18">
        <f t="shared" ref="BX8" si="21">BW12*BX7</f>
        <v>9.0767985062627705</v>
      </c>
      <c r="BY8" s="18">
        <f t="shared" ref="BY8" si="22">BX12*BY7</f>
        <v>9.6214064166385356</v>
      </c>
      <c r="BZ8" s="18">
        <f t="shared" ref="BZ8" si="23">BY12*BZ7</f>
        <v>10.198690801636848</v>
      </c>
      <c r="CA8" s="18">
        <f t="shared" ref="CA8" si="24">BZ12*CA7</f>
        <v>10.810612249735058</v>
      </c>
      <c r="CB8" s="19"/>
      <c r="CC8" s="18">
        <f>CA12*CC7</f>
        <v>11.459248984719162</v>
      </c>
      <c r="CD8" s="18">
        <f>CC12*CD7</f>
        <v>10.122336603168593</v>
      </c>
      <c r="CE8" s="18">
        <f t="shared" ref="CE8" si="25">CD12*CE7</f>
        <v>10.628453433327024</v>
      </c>
      <c r="CF8" s="18">
        <f t="shared" ref="CF8" si="26">CE12*CF7</f>
        <v>11.159876104993375</v>
      </c>
      <c r="CG8" s="18">
        <f t="shared" ref="CG8" si="27">CF12*CG7</f>
        <v>11.717869910243044</v>
      </c>
      <c r="CH8" s="18">
        <f t="shared" ref="CH8" si="28">CG12*CH7</f>
        <v>12.303763405755197</v>
      </c>
      <c r="CI8" s="18">
        <f t="shared" ref="CI8" si="29">CH12*CI7</f>
        <v>12.918951576042955</v>
      </c>
      <c r="CJ8" s="18">
        <f t="shared" ref="CJ8" si="30">CI12*CJ7</f>
        <v>13.564899154845103</v>
      </c>
      <c r="CK8" s="18">
        <f t="shared" ref="CK8" si="31">CJ12*CK7</f>
        <v>14.243144112587357</v>
      </c>
      <c r="CL8" s="18">
        <f t="shared" ref="CL8" si="32">CK12*CL7</f>
        <v>14.955301318216724</v>
      </c>
      <c r="CM8" s="18">
        <f t="shared" ref="CM8" si="33">CL12*CM7</f>
        <v>15.70306638412756</v>
      </c>
      <c r="CN8" s="18">
        <f t="shared" ref="CN8" si="34">CM12*CN7</f>
        <v>16.488219703333936</v>
      </c>
      <c r="CO8" s="19"/>
      <c r="CP8" s="18">
        <f>CN12*CP7</f>
        <v>17.312630688500633</v>
      </c>
      <c r="CQ8" s="18">
        <f>CP12*CQ7</f>
        <v>14.542609778340532</v>
      </c>
      <c r="CR8" s="18">
        <f t="shared" ref="CR8" si="35">CQ12*CR7</f>
        <v>15.124314169474154</v>
      </c>
      <c r="CS8" s="18">
        <f t="shared" ref="CS8" si="36">CR12*CS7</f>
        <v>15.729286736253119</v>
      </c>
      <c r="CT8" s="18">
        <f t="shared" ref="CT8" si="37">CS12*CT7</f>
        <v>16.358458205703243</v>
      </c>
      <c r="CU8" s="18">
        <f t="shared" ref="CU8" si="38">CT12*CU7</f>
        <v>17.012796533931372</v>
      </c>
      <c r="CV8" s="18">
        <f t="shared" ref="CV8" si="39">CU12*CV7</f>
        <v>17.693308395288629</v>
      </c>
      <c r="CW8" s="18">
        <f t="shared" ref="CW8" si="40">CV12*CW7</f>
        <v>18.401040731100174</v>
      </c>
      <c r="CX8" s="18">
        <f t="shared" ref="CX8" si="41">CW12*CX7</f>
        <v>19.137082360344181</v>
      </c>
      <c r="CY8" s="18">
        <f t="shared" ref="CY8" si="42">CX12*CY7</f>
        <v>19.902565654757947</v>
      </c>
      <c r="CZ8" s="18">
        <f t="shared" ref="CZ8" si="43">CY12*CZ7</f>
        <v>20.698668280948265</v>
      </c>
      <c r="DA8" s="18">
        <f t="shared" ref="DA8" si="44">CZ12*DA7</f>
        <v>21.526615012186195</v>
      </c>
      <c r="DB8" s="19"/>
      <c r="DC8" s="18">
        <f>DA12*DC7</f>
        <v>22.387679612673644</v>
      </c>
      <c r="DD8" s="18">
        <f>DC12*DD7</f>
        <v>23.283186797180587</v>
      </c>
      <c r="DE8" s="18">
        <f t="shared" ref="DE8" si="45">DD12*DE7</f>
        <v>24.214514269067813</v>
      </c>
      <c r="DF8" s="18">
        <f t="shared" ref="DF8" si="46">DE12*DF7</f>
        <v>25.183094839830524</v>
      </c>
      <c r="DG8" s="18">
        <f t="shared" ref="DG8" si="47">DF12*DG7</f>
        <v>26.190418633423747</v>
      </c>
      <c r="DH8" s="18">
        <f t="shared" ref="DH8" si="48">DG12*DH7</f>
        <v>27.238035378760696</v>
      </c>
      <c r="DI8" s="18">
        <f t="shared" ref="DI8" si="49">DH12*DI7</f>
        <v>28.327556793911128</v>
      </c>
      <c r="DJ8" s="18">
        <f t="shared" ref="DJ8" si="50">DI12*DJ7</f>
        <v>29.460659065667571</v>
      </c>
      <c r="DK8" s="18">
        <f t="shared" ref="DK8" si="51">DJ12*DK7</f>
        <v>30.639085428294269</v>
      </c>
      <c r="DL8" s="18">
        <f t="shared" ref="DL8" si="52">DK12*DL7</f>
        <v>31.864648845426043</v>
      </c>
      <c r="DM8" s="18">
        <f t="shared" ref="DM8" si="53">DL12*DM7</f>
        <v>33.139234799243084</v>
      </c>
      <c r="DN8" s="18">
        <f t="shared" ref="DN8" si="54">DM12*DN7</f>
        <v>34.464804191212806</v>
      </c>
      <c r="DO8" s="19"/>
    </row>
    <row r="9" spans="1:119" x14ac:dyDescent="0.35">
      <c r="B9" t="s">
        <v>121</v>
      </c>
      <c r="C9" s="17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22"/>
      <c r="P9" s="17"/>
      <c r="Q9" s="21"/>
      <c r="R9" s="21"/>
      <c r="S9" s="21"/>
      <c r="T9" s="21"/>
      <c r="U9" s="21"/>
      <c r="V9" s="21"/>
      <c r="W9" s="21"/>
      <c r="X9" s="21"/>
      <c r="Y9" s="21"/>
      <c r="Z9" s="21"/>
      <c r="AA9" s="22"/>
      <c r="AB9" s="22"/>
      <c r="AC9" s="17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  <c r="AO9" s="22"/>
      <c r="AP9" s="17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2"/>
      <c r="BB9" s="22"/>
      <c r="BC9" s="17">
        <v>500</v>
      </c>
      <c r="BD9" s="17">
        <v>500</v>
      </c>
      <c r="BE9" s="17">
        <v>500</v>
      </c>
      <c r="BF9" s="17">
        <v>500</v>
      </c>
      <c r="BG9" s="17">
        <v>500</v>
      </c>
      <c r="BH9" s="17">
        <v>500</v>
      </c>
      <c r="BI9" s="17">
        <v>500</v>
      </c>
      <c r="BJ9" s="17">
        <v>500</v>
      </c>
      <c r="BK9" s="17">
        <v>500</v>
      </c>
      <c r="BL9" s="17">
        <v>500</v>
      </c>
      <c r="BM9" s="17">
        <v>500</v>
      </c>
      <c r="BN9" s="17">
        <v>500</v>
      </c>
      <c r="BO9" s="22"/>
      <c r="BP9" s="17">
        <v>500</v>
      </c>
      <c r="BQ9" s="17">
        <v>500</v>
      </c>
      <c r="BR9" s="17">
        <v>500</v>
      </c>
      <c r="BS9" s="17">
        <v>500</v>
      </c>
      <c r="BT9" s="17">
        <v>500</v>
      </c>
      <c r="BU9" s="17">
        <v>500</v>
      </c>
      <c r="BV9" s="17">
        <v>500</v>
      </c>
      <c r="BW9" s="17">
        <v>500</v>
      </c>
      <c r="BX9" s="17">
        <v>500</v>
      </c>
      <c r="BY9" s="17">
        <v>500</v>
      </c>
      <c r="BZ9" s="17">
        <v>500</v>
      </c>
      <c r="CA9" s="17">
        <v>500</v>
      </c>
      <c r="CB9" s="22"/>
      <c r="CC9" s="17">
        <v>500</v>
      </c>
      <c r="CD9" s="17">
        <v>500</v>
      </c>
      <c r="CE9" s="17">
        <v>500</v>
      </c>
      <c r="CF9" s="17">
        <v>500</v>
      </c>
      <c r="CG9" s="17">
        <v>500</v>
      </c>
      <c r="CH9" s="17">
        <v>500</v>
      </c>
      <c r="CI9" s="17">
        <v>500</v>
      </c>
      <c r="CJ9" s="17">
        <v>500</v>
      </c>
      <c r="CK9" s="17">
        <v>500</v>
      </c>
      <c r="CL9" s="17">
        <v>500</v>
      </c>
      <c r="CM9" s="17">
        <v>500</v>
      </c>
      <c r="CN9" s="17">
        <v>500</v>
      </c>
      <c r="CO9" s="22"/>
      <c r="CP9" s="17">
        <v>500</v>
      </c>
      <c r="CQ9" s="17">
        <v>500</v>
      </c>
      <c r="CR9" s="17">
        <v>500</v>
      </c>
      <c r="CS9" s="17">
        <v>500</v>
      </c>
      <c r="CT9" s="17">
        <v>500</v>
      </c>
      <c r="CU9" s="17">
        <v>500</v>
      </c>
      <c r="CV9" s="17">
        <v>500</v>
      </c>
      <c r="CW9" s="17">
        <v>500</v>
      </c>
      <c r="CX9" s="17">
        <v>500</v>
      </c>
      <c r="CY9" s="17">
        <v>500</v>
      </c>
      <c r="CZ9" s="17">
        <v>500</v>
      </c>
      <c r="DA9" s="17">
        <v>500</v>
      </c>
      <c r="DB9" s="22"/>
      <c r="DC9" s="17">
        <v>500</v>
      </c>
      <c r="DD9" s="17">
        <v>500</v>
      </c>
      <c r="DE9" s="17">
        <v>500</v>
      </c>
      <c r="DF9" s="17">
        <v>500</v>
      </c>
      <c r="DG9" s="17">
        <v>500</v>
      </c>
      <c r="DH9" s="17">
        <v>500</v>
      </c>
      <c r="DI9" s="17">
        <v>500</v>
      </c>
      <c r="DJ9" s="17">
        <v>500</v>
      </c>
      <c r="DK9" s="17">
        <v>500</v>
      </c>
      <c r="DL9" s="17">
        <v>500</v>
      </c>
      <c r="DM9" s="17">
        <v>500</v>
      </c>
      <c r="DN9" s="17">
        <v>500</v>
      </c>
      <c r="DO9" s="22"/>
    </row>
    <row r="10" spans="1:119" x14ac:dyDescent="0.35">
      <c r="B10" s="20" t="str">
        <f>IF(B6="SAAS","Churned Subscription","")</f>
        <v>Churned Subscription</v>
      </c>
      <c r="C10" s="17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4"/>
      <c r="P10" s="17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4"/>
      <c r="AB10" s="24"/>
      <c r="AC10" s="17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4"/>
      <c r="AO10" s="24"/>
      <c r="AP10" s="17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4"/>
      <c r="BB10" s="24"/>
      <c r="BC10" s="17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4"/>
      <c r="BO10" s="24"/>
      <c r="BP10" s="17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4"/>
      <c r="CB10" s="24"/>
      <c r="CC10" s="17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4"/>
      <c r="CO10" s="24"/>
      <c r="CP10" s="17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4"/>
      <c r="DB10" s="24"/>
      <c r="DC10" s="17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4"/>
      <c r="DO10" s="24"/>
    </row>
    <row r="11" spans="1:119" x14ac:dyDescent="0.35">
      <c r="B11" s="20" t="str">
        <f>IF(B6="SAAS","Ending Subscriptions","")</f>
        <v>Ending Subscriptions</v>
      </c>
      <c r="C11" s="17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24"/>
      <c r="P11" s="17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4"/>
      <c r="AB11" s="24"/>
      <c r="AC11" s="17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4"/>
      <c r="AO11" s="24"/>
      <c r="AP11" s="17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4"/>
      <c r="BB11" s="24"/>
      <c r="BC11" s="17">
        <f>BC7+BC8</f>
        <v>50</v>
      </c>
      <c r="BD11" s="17">
        <f>BD7+BD8</f>
        <v>53</v>
      </c>
      <c r="BE11" s="17">
        <f t="shared" ref="BE11:BN11" si="55">BE7+BE8</f>
        <v>56.18</v>
      </c>
      <c r="BF11" s="17">
        <f t="shared" si="55"/>
        <v>59.550800000000002</v>
      </c>
      <c r="BG11" s="17">
        <f t="shared" si="55"/>
        <v>63.123848000000002</v>
      </c>
      <c r="BH11" s="17">
        <f t="shared" si="55"/>
        <v>66.911278879999998</v>
      </c>
      <c r="BI11" s="17">
        <f t="shared" si="55"/>
        <v>70.925955612799996</v>
      </c>
      <c r="BJ11" s="17">
        <f t="shared" si="55"/>
        <v>75.181512949568003</v>
      </c>
      <c r="BK11" s="17">
        <f t="shared" si="55"/>
        <v>79.692403726542082</v>
      </c>
      <c r="BL11" s="17">
        <f t="shared" si="55"/>
        <v>84.473947950134601</v>
      </c>
      <c r="BM11" s="17">
        <f t="shared" si="55"/>
        <v>89.542384827142683</v>
      </c>
      <c r="BN11" s="17">
        <f t="shared" si="55"/>
        <v>94.914927916771248</v>
      </c>
      <c r="BO11" s="24"/>
      <c r="BP11" s="17">
        <f>BP7+BP8</f>
        <v>100.60982359177753</v>
      </c>
      <c r="BQ11" s="17">
        <f>BQ7+BQ8</f>
        <v>106.64641300728418</v>
      </c>
      <c r="BR11" s="17">
        <f t="shared" ref="BR11:CA11" si="56">BR7+BR8</f>
        <v>113.04519778772124</v>
      </c>
      <c r="BS11" s="17">
        <f t="shared" si="56"/>
        <v>119.82790965498451</v>
      </c>
      <c r="BT11" s="17">
        <f t="shared" si="56"/>
        <v>127.01758423428358</v>
      </c>
      <c r="BU11" s="17">
        <f t="shared" si="56"/>
        <v>134.63863928834058</v>
      </c>
      <c r="BV11" s="17">
        <f t="shared" si="56"/>
        <v>142.71695764564103</v>
      </c>
      <c r="BW11" s="17">
        <f t="shared" si="56"/>
        <v>151.2799751043795</v>
      </c>
      <c r="BX11" s="17">
        <f t="shared" si="56"/>
        <v>160.35677361064228</v>
      </c>
      <c r="BY11" s="17">
        <f t="shared" si="56"/>
        <v>169.97818002728081</v>
      </c>
      <c r="BZ11" s="17">
        <f t="shared" si="56"/>
        <v>180.17687082891766</v>
      </c>
      <c r="CA11" s="17">
        <f t="shared" si="56"/>
        <v>190.9874830786527</v>
      </c>
      <c r="CB11" s="24"/>
      <c r="CC11" s="17">
        <f>CC7+CC8</f>
        <v>202.44673206337185</v>
      </c>
      <c r="CD11" s="17">
        <f>CD7+CD8</f>
        <v>212.56906866654046</v>
      </c>
      <c r="CE11" s="17">
        <f t="shared" ref="CE11:CN11" si="57">CE7+CE8</f>
        <v>223.19752209986748</v>
      </c>
      <c r="CF11" s="17">
        <f t="shared" si="57"/>
        <v>234.35739820486086</v>
      </c>
      <c r="CG11" s="17">
        <f t="shared" si="57"/>
        <v>246.07526811510391</v>
      </c>
      <c r="CH11" s="17">
        <f t="shared" si="57"/>
        <v>258.37903152085909</v>
      </c>
      <c r="CI11" s="17">
        <f t="shared" si="57"/>
        <v>271.29798309690204</v>
      </c>
      <c r="CJ11" s="17">
        <f t="shared" si="57"/>
        <v>284.86288225174712</v>
      </c>
      <c r="CK11" s="17">
        <f t="shared" si="57"/>
        <v>299.10602636433447</v>
      </c>
      <c r="CL11" s="17">
        <f t="shared" si="57"/>
        <v>314.06132768255117</v>
      </c>
      <c r="CM11" s="17">
        <f t="shared" si="57"/>
        <v>329.76439406667873</v>
      </c>
      <c r="CN11" s="17">
        <f t="shared" si="57"/>
        <v>346.25261377001266</v>
      </c>
      <c r="CO11" s="24"/>
      <c r="CP11" s="17">
        <f>CP7+CP8</f>
        <v>363.56524445851329</v>
      </c>
      <c r="CQ11" s="17">
        <f>CQ7+CQ8</f>
        <v>378.10785423685383</v>
      </c>
      <c r="CR11" s="17">
        <f t="shared" ref="CR11:DA11" si="58">CR7+CR8</f>
        <v>393.23216840632796</v>
      </c>
      <c r="CS11" s="17">
        <f t="shared" si="58"/>
        <v>408.96145514258109</v>
      </c>
      <c r="CT11" s="17">
        <f t="shared" si="58"/>
        <v>425.31991334828433</v>
      </c>
      <c r="CU11" s="17">
        <f t="shared" si="58"/>
        <v>442.33270988221568</v>
      </c>
      <c r="CV11" s="17">
        <f t="shared" si="58"/>
        <v>460.02601827750431</v>
      </c>
      <c r="CW11" s="17">
        <f t="shared" si="58"/>
        <v>478.42705900860449</v>
      </c>
      <c r="CX11" s="17">
        <f t="shared" si="58"/>
        <v>497.56414136894864</v>
      </c>
      <c r="CY11" s="17">
        <f t="shared" si="58"/>
        <v>517.46670702370659</v>
      </c>
      <c r="CZ11" s="17">
        <f t="shared" si="58"/>
        <v>538.16537530465484</v>
      </c>
      <c r="DA11" s="17">
        <f t="shared" si="58"/>
        <v>559.69199031684104</v>
      </c>
      <c r="DB11" s="24"/>
      <c r="DC11" s="17">
        <f>DC7+DC8</f>
        <v>582.07966992951469</v>
      </c>
      <c r="DD11" s="17">
        <f>DD7+DD8</f>
        <v>605.36285672669533</v>
      </c>
      <c r="DE11" s="17">
        <f t="shared" ref="DE11:DN11" si="59">DE7+DE8</f>
        <v>629.57737099576309</v>
      </c>
      <c r="DF11" s="17">
        <f t="shared" si="59"/>
        <v>654.76046583559366</v>
      </c>
      <c r="DG11" s="17">
        <f t="shared" si="59"/>
        <v>680.95088446901741</v>
      </c>
      <c r="DH11" s="17">
        <f t="shared" si="59"/>
        <v>708.18891984777815</v>
      </c>
      <c r="DI11" s="17">
        <f t="shared" si="59"/>
        <v>736.51647664168922</v>
      </c>
      <c r="DJ11" s="17">
        <f t="shared" si="59"/>
        <v>765.97713570735675</v>
      </c>
      <c r="DK11" s="17">
        <f t="shared" si="59"/>
        <v>796.61622113565102</v>
      </c>
      <c r="DL11" s="17">
        <f t="shared" si="59"/>
        <v>828.48086998107703</v>
      </c>
      <c r="DM11" s="17">
        <f t="shared" si="59"/>
        <v>861.62010478032016</v>
      </c>
      <c r="DN11" s="17">
        <f t="shared" si="59"/>
        <v>896.08490897153297</v>
      </c>
      <c r="DO11" s="24"/>
    </row>
    <row r="12" spans="1:119" x14ac:dyDescent="0.35">
      <c r="B12" s="25" t="s">
        <v>123</v>
      </c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7"/>
      <c r="P12" s="25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  <c r="AB12" s="27"/>
      <c r="AC12" s="25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7"/>
      <c r="AO12" s="27"/>
      <c r="AP12" s="25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7"/>
      <c r="BB12" s="27"/>
      <c r="BC12" s="56">
        <v>0.06</v>
      </c>
      <c r="BD12" s="56">
        <v>0.06</v>
      </c>
      <c r="BE12" s="56">
        <v>0.06</v>
      </c>
      <c r="BF12" s="56">
        <v>0.06</v>
      </c>
      <c r="BG12" s="56">
        <v>0.06</v>
      </c>
      <c r="BH12" s="56">
        <v>0.06</v>
      </c>
      <c r="BI12" s="56">
        <v>0.06</v>
      </c>
      <c r="BJ12" s="56">
        <v>0.06</v>
      </c>
      <c r="BK12" s="56">
        <v>0.06</v>
      </c>
      <c r="BL12" s="56">
        <v>0.06</v>
      </c>
      <c r="BM12" s="56">
        <v>0.06</v>
      </c>
      <c r="BN12" s="56">
        <v>0.06</v>
      </c>
      <c r="BO12" s="27"/>
      <c r="BP12" s="56">
        <v>0.06</v>
      </c>
      <c r="BQ12" s="56">
        <v>0.06</v>
      </c>
      <c r="BR12" s="56">
        <v>0.06</v>
      </c>
      <c r="BS12" s="56">
        <v>0.06</v>
      </c>
      <c r="BT12" s="56">
        <v>0.06</v>
      </c>
      <c r="BU12" s="56">
        <v>0.06</v>
      </c>
      <c r="BV12" s="56">
        <v>0.06</v>
      </c>
      <c r="BW12" s="56">
        <v>0.06</v>
      </c>
      <c r="BX12" s="56">
        <v>0.06</v>
      </c>
      <c r="BY12" s="56">
        <v>0.06</v>
      </c>
      <c r="BZ12" s="56">
        <v>0.06</v>
      </c>
      <c r="CA12" s="56">
        <v>0.06</v>
      </c>
      <c r="CB12" s="27"/>
      <c r="CC12" s="56">
        <v>0.05</v>
      </c>
      <c r="CD12" s="56">
        <v>0.05</v>
      </c>
      <c r="CE12" s="56">
        <v>0.05</v>
      </c>
      <c r="CF12" s="56">
        <v>0.05</v>
      </c>
      <c r="CG12" s="56">
        <v>0.05</v>
      </c>
      <c r="CH12" s="56">
        <v>0.05</v>
      </c>
      <c r="CI12" s="56">
        <v>0.05</v>
      </c>
      <c r="CJ12" s="56">
        <v>0.05</v>
      </c>
      <c r="CK12" s="56">
        <v>0.05</v>
      </c>
      <c r="CL12" s="56">
        <v>0.05</v>
      </c>
      <c r="CM12" s="56">
        <v>0.05</v>
      </c>
      <c r="CN12" s="56">
        <v>0.05</v>
      </c>
      <c r="CO12" s="27"/>
      <c r="CP12" s="56">
        <v>0.04</v>
      </c>
      <c r="CQ12" s="56">
        <v>0.04</v>
      </c>
      <c r="CR12" s="56">
        <v>0.04</v>
      </c>
      <c r="CS12" s="56">
        <v>0.04</v>
      </c>
      <c r="CT12" s="56">
        <v>0.04</v>
      </c>
      <c r="CU12" s="56">
        <v>0.04</v>
      </c>
      <c r="CV12" s="56">
        <v>0.04</v>
      </c>
      <c r="CW12" s="56">
        <v>0.04</v>
      </c>
      <c r="CX12" s="56">
        <v>0.04</v>
      </c>
      <c r="CY12" s="56">
        <v>0.04</v>
      </c>
      <c r="CZ12" s="56">
        <v>0.04</v>
      </c>
      <c r="DA12" s="56">
        <v>0.04</v>
      </c>
      <c r="DB12" s="27"/>
      <c r="DC12" s="56">
        <v>0.04</v>
      </c>
      <c r="DD12" s="56">
        <v>0.04</v>
      </c>
      <c r="DE12" s="56">
        <v>0.04</v>
      </c>
      <c r="DF12" s="56">
        <v>0.04</v>
      </c>
      <c r="DG12" s="56">
        <v>0.04</v>
      </c>
      <c r="DH12" s="56">
        <v>0.04</v>
      </c>
      <c r="DI12" s="56">
        <v>0.04</v>
      </c>
      <c r="DJ12" s="56">
        <v>0.04</v>
      </c>
      <c r="DK12" s="56">
        <v>0.04</v>
      </c>
      <c r="DL12" s="56">
        <v>0.04</v>
      </c>
      <c r="DM12" s="56">
        <v>0.04</v>
      </c>
      <c r="DN12" s="56">
        <v>0.04</v>
      </c>
      <c r="DO12" s="27"/>
    </row>
    <row r="13" spans="1:119" x14ac:dyDescent="0.35">
      <c r="B13" s="17"/>
      <c r="C13" s="17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24"/>
      <c r="P13" s="17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4"/>
      <c r="AB13" s="24"/>
      <c r="AC13" s="17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4"/>
      <c r="AO13" s="24"/>
      <c r="AP13" s="17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4"/>
      <c r="BB13" s="24"/>
      <c r="BC13" s="17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4"/>
      <c r="BO13" s="24"/>
      <c r="BP13" s="17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4"/>
      <c r="CB13" s="24"/>
      <c r="CC13" s="17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4"/>
      <c r="CO13" s="24"/>
      <c r="CP13" s="17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4"/>
      <c r="DB13" s="24"/>
      <c r="DC13" s="17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4"/>
      <c r="DO13" s="24"/>
    </row>
    <row r="14" spans="1:119" x14ac:dyDescent="0.35">
      <c r="B14" s="25" t="s">
        <v>122</v>
      </c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  <c r="O14" s="30"/>
      <c r="P14" s="28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30"/>
      <c r="AB14" s="30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30"/>
      <c r="AO14" s="30"/>
      <c r="AP14" s="28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30"/>
      <c r="BB14" s="30"/>
      <c r="BC14" s="28">
        <f>BC11*BC9</f>
        <v>25000</v>
      </c>
      <c r="BD14" s="28">
        <f>BD11*BD9</f>
        <v>26500</v>
      </c>
      <c r="BE14" s="28">
        <f t="shared" ref="BE14:CA14" si="60">BE11*BE9</f>
        <v>28090</v>
      </c>
      <c r="BF14" s="28">
        <f t="shared" si="60"/>
        <v>29775.4</v>
      </c>
      <c r="BG14" s="28">
        <f t="shared" si="60"/>
        <v>31561.924000000003</v>
      </c>
      <c r="BH14" s="28">
        <f t="shared" si="60"/>
        <v>33455.639439999999</v>
      </c>
      <c r="BI14" s="28">
        <f t="shared" si="60"/>
        <v>35462.977806399998</v>
      </c>
      <c r="BJ14" s="28">
        <f t="shared" si="60"/>
        <v>37590.756474784001</v>
      </c>
      <c r="BK14" s="28">
        <f t="shared" si="60"/>
        <v>39846.201863271039</v>
      </c>
      <c r="BL14" s="28">
        <f t="shared" si="60"/>
        <v>42236.973975067303</v>
      </c>
      <c r="BM14" s="28">
        <f t="shared" si="60"/>
        <v>44771.192413571342</v>
      </c>
      <c r="BN14" s="28">
        <f t="shared" si="60"/>
        <v>47457.463958385626</v>
      </c>
      <c r="BO14" s="30">
        <f>SUM(BC14:BN14)</f>
        <v>421748.52993147937</v>
      </c>
      <c r="BP14" s="28">
        <f t="shared" si="60"/>
        <v>50304.911795888765</v>
      </c>
      <c r="BQ14" s="28">
        <f t="shared" si="60"/>
        <v>53323.20650364209</v>
      </c>
      <c r="BR14" s="28">
        <f t="shared" si="60"/>
        <v>56522.598893860617</v>
      </c>
      <c r="BS14" s="28">
        <f t="shared" si="60"/>
        <v>59913.954827492256</v>
      </c>
      <c r="BT14" s="28">
        <f t="shared" si="60"/>
        <v>63508.792117141791</v>
      </c>
      <c r="BU14" s="28">
        <f t="shared" si="60"/>
        <v>67319.319644170289</v>
      </c>
      <c r="BV14" s="28">
        <f t="shared" si="60"/>
        <v>71358.478822820514</v>
      </c>
      <c r="BW14" s="28">
        <f t="shared" si="60"/>
        <v>75639.987552189748</v>
      </c>
      <c r="BX14" s="28">
        <f t="shared" si="60"/>
        <v>80178.386805321134</v>
      </c>
      <c r="BY14" s="28">
        <f t="shared" si="60"/>
        <v>84989.090013640409</v>
      </c>
      <c r="BZ14" s="28">
        <f t="shared" si="60"/>
        <v>90088.435414458829</v>
      </c>
      <c r="CA14" s="28">
        <f t="shared" si="60"/>
        <v>95493.741539326351</v>
      </c>
      <c r="CB14" s="30">
        <f>SUM(BP14:CA14)</f>
        <v>848640.90392995288</v>
      </c>
      <c r="CC14" s="28">
        <f t="shared" ref="CC14:CM14" si="61">CC11*CC9</f>
        <v>101223.36603168593</v>
      </c>
      <c r="CD14" s="28">
        <f t="shared" si="61"/>
        <v>106284.53433327023</v>
      </c>
      <c r="CE14" s="28">
        <f t="shared" si="61"/>
        <v>111598.76104993375</v>
      </c>
      <c r="CF14" s="28">
        <f t="shared" si="61"/>
        <v>117178.69910243043</v>
      </c>
      <c r="CG14" s="28">
        <f t="shared" si="61"/>
        <v>123037.63405755196</v>
      </c>
      <c r="CH14" s="28">
        <f t="shared" si="61"/>
        <v>129189.51576042954</v>
      </c>
      <c r="CI14" s="28">
        <f t="shared" si="61"/>
        <v>135648.99154845101</v>
      </c>
      <c r="CJ14" s="28">
        <f t="shared" si="61"/>
        <v>142431.44112587356</v>
      </c>
      <c r="CK14" s="28">
        <f t="shared" si="61"/>
        <v>149553.01318216723</v>
      </c>
      <c r="CL14" s="28">
        <f t="shared" si="61"/>
        <v>157030.66384127559</v>
      </c>
      <c r="CM14" s="28">
        <f t="shared" si="61"/>
        <v>164882.19703333935</v>
      </c>
      <c r="CN14" s="28">
        <f t="shared" ref="CN14" si="62">CN11*CN9</f>
        <v>173126.30688500634</v>
      </c>
      <c r="CO14" s="30">
        <f>SUM(CC14:CN14)</f>
        <v>1611185.1239514151</v>
      </c>
      <c r="CP14" s="28">
        <f t="shared" ref="CP14:DA14" si="63">CP11*CP9</f>
        <v>181782.62222925664</v>
      </c>
      <c r="CQ14" s="28">
        <f t="shared" si="63"/>
        <v>189053.92711842692</v>
      </c>
      <c r="CR14" s="28">
        <f t="shared" si="63"/>
        <v>196616.08420316398</v>
      </c>
      <c r="CS14" s="28">
        <f t="shared" si="63"/>
        <v>204480.72757129054</v>
      </c>
      <c r="CT14" s="28">
        <f t="shared" si="63"/>
        <v>212659.95667414216</v>
      </c>
      <c r="CU14" s="28">
        <f t="shared" si="63"/>
        <v>221166.35494110783</v>
      </c>
      <c r="CV14" s="28">
        <f t="shared" si="63"/>
        <v>230013.00913875215</v>
      </c>
      <c r="CW14" s="28">
        <f t="shared" si="63"/>
        <v>239213.52950430225</v>
      </c>
      <c r="CX14" s="28">
        <f t="shared" si="63"/>
        <v>248782.07068447431</v>
      </c>
      <c r="CY14" s="28">
        <f t="shared" si="63"/>
        <v>258733.35351185329</v>
      </c>
      <c r="CZ14" s="28">
        <f t="shared" si="63"/>
        <v>269082.68765232741</v>
      </c>
      <c r="DA14" s="28">
        <f t="shared" si="63"/>
        <v>279845.99515842053</v>
      </c>
      <c r="DB14" s="30">
        <f>SUM(CP14:DA14)</f>
        <v>2731430.3183875182</v>
      </c>
      <c r="DC14" s="28">
        <f t="shared" ref="DC14:DN14" si="64">DC11*DC9</f>
        <v>291039.83496475732</v>
      </c>
      <c r="DD14" s="28">
        <f t="shared" si="64"/>
        <v>302681.42836334766</v>
      </c>
      <c r="DE14" s="28">
        <f t="shared" si="64"/>
        <v>314788.68549788155</v>
      </c>
      <c r="DF14" s="28">
        <f t="shared" si="64"/>
        <v>327380.23291779682</v>
      </c>
      <c r="DG14" s="28">
        <f t="shared" si="64"/>
        <v>340475.44223450869</v>
      </c>
      <c r="DH14" s="28">
        <f t="shared" si="64"/>
        <v>354094.45992388908</v>
      </c>
      <c r="DI14" s="28">
        <f t="shared" si="64"/>
        <v>368258.2383208446</v>
      </c>
      <c r="DJ14" s="28">
        <f t="shared" si="64"/>
        <v>382988.56785367837</v>
      </c>
      <c r="DK14" s="28">
        <f t="shared" si="64"/>
        <v>398308.1105678255</v>
      </c>
      <c r="DL14" s="28">
        <f t="shared" si="64"/>
        <v>414240.43499053852</v>
      </c>
      <c r="DM14" s="28">
        <f t="shared" si="64"/>
        <v>430810.0523901601</v>
      </c>
      <c r="DN14" s="28">
        <f t="shared" si="64"/>
        <v>448042.45448576647</v>
      </c>
      <c r="DO14" s="30">
        <f>SUM(DC14:DN14)</f>
        <v>4373107.9425109951</v>
      </c>
    </row>
    <row r="17" spans="2:119" x14ac:dyDescent="0.35">
      <c r="B17" s="11" t="s">
        <v>126</v>
      </c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3"/>
      <c r="P17" s="11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  <c r="AB17" s="13"/>
      <c r="AC17" s="11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3"/>
      <c r="AO17" s="13"/>
      <c r="AP17" s="11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3"/>
      <c r="BB17" s="13"/>
      <c r="BC17" s="11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3"/>
      <c r="BO17" s="13"/>
      <c r="BP17" s="11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3"/>
      <c r="CB17" s="13"/>
      <c r="CC17" s="11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3"/>
      <c r="CO17" s="13"/>
      <c r="CP17" s="11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3"/>
      <c r="DB17" s="13"/>
      <c r="DC17" s="11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3"/>
      <c r="DO17" s="13"/>
    </row>
    <row r="18" spans="2:119" x14ac:dyDescent="0.35">
      <c r="B18" s="17" t="s">
        <v>114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16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  <c r="AB18" s="16"/>
      <c r="AC18" s="14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6"/>
      <c r="AO18" s="16"/>
      <c r="AP18" s="14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6"/>
      <c r="BB18" s="16"/>
      <c r="BC18" s="14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6"/>
      <c r="BO18" s="16"/>
      <c r="BP18" s="14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6"/>
      <c r="CB18" s="16"/>
      <c r="CC18" s="14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6"/>
      <c r="CO18" s="16"/>
      <c r="CP18" s="14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6"/>
      <c r="DB18" s="16"/>
      <c r="DC18" s="14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6"/>
      <c r="DO18" s="16"/>
    </row>
    <row r="19" spans="2:119" x14ac:dyDescent="0.35">
      <c r="B19" t="s">
        <v>127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  <c r="O19" s="19"/>
      <c r="P19" s="17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9"/>
      <c r="AB19" s="19"/>
      <c r="AC19" s="17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9"/>
      <c r="AO19" s="19"/>
      <c r="AP19" s="17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9"/>
      <c r="BB19" s="19"/>
      <c r="BC19" s="17">
        <f>15000/12</f>
        <v>1250</v>
      </c>
      <c r="BD19" s="17">
        <f t="shared" ref="BD19:BN19" si="65">15000/12</f>
        <v>1250</v>
      </c>
      <c r="BE19" s="17">
        <f t="shared" si="65"/>
        <v>1250</v>
      </c>
      <c r="BF19" s="17">
        <f t="shared" si="65"/>
        <v>1250</v>
      </c>
      <c r="BG19" s="17">
        <f t="shared" si="65"/>
        <v>1250</v>
      </c>
      <c r="BH19" s="17">
        <f t="shared" si="65"/>
        <v>1250</v>
      </c>
      <c r="BI19" s="17">
        <f t="shared" si="65"/>
        <v>1250</v>
      </c>
      <c r="BJ19" s="17">
        <f t="shared" si="65"/>
        <v>1250</v>
      </c>
      <c r="BK19" s="17">
        <f t="shared" si="65"/>
        <v>1250</v>
      </c>
      <c r="BL19" s="17">
        <f t="shared" si="65"/>
        <v>1250</v>
      </c>
      <c r="BM19" s="17">
        <f t="shared" si="65"/>
        <v>1250</v>
      </c>
      <c r="BN19" s="17">
        <f t="shared" si="65"/>
        <v>1250</v>
      </c>
      <c r="BO19" s="19"/>
      <c r="BP19" s="17">
        <f>(15000/12)*1.05</f>
        <v>1312.5</v>
      </c>
      <c r="BQ19" s="17">
        <f t="shared" ref="BQ19:CA19" si="66">(15000/12)*1.05</f>
        <v>1312.5</v>
      </c>
      <c r="BR19" s="17">
        <f t="shared" si="66"/>
        <v>1312.5</v>
      </c>
      <c r="BS19" s="17">
        <f t="shared" si="66"/>
        <v>1312.5</v>
      </c>
      <c r="BT19" s="17">
        <f t="shared" si="66"/>
        <v>1312.5</v>
      </c>
      <c r="BU19" s="17">
        <f t="shared" si="66"/>
        <v>1312.5</v>
      </c>
      <c r="BV19" s="17">
        <f t="shared" si="66"/>
        <v>1312.5</v>
      </c>
      <c r="BW19" s="17">
        <f t="shared" si="66"/>
        <v>1312.5</v>
      </c>
      <c r="BX19" s="17">
        <f t="shared" si="66"/>
        <v>1312.5</v>
      </c>
      <c r="BY19" s="17">
        <f t="shared" si="66"/>
        <v>1312.5</v>
      </c>
      <c r="BZ19" s="17">
        <f t="shared" si="66"/>
        <v>1312.5</v>
      </c>
      <c r="CA19" s="17">
        <f t="shared" si="66"/>
        <v>1312.5</v>
      </c>
      <c r="CB19" s="19"/>
      <c r="CC19" s="17">
        <f>$CA$19*1.05</f>
        <v>1378.125</v>
      </c>
      <c r="CD19" s="17">
        <f t="shared" ref="CD19:CN19" si="67">$CA$19*1.05</f>
        <v>1378.125</v>
      </c>
      <c r="CE19" s="17">
        <f t="shared" si="67"/>
        <v>1378.125</v>
      </c>
      <c r="CF19" s="17">
        <f t="shared" si="67"/>
        <v>1378.125</v>
      </c>
      <c r="CG19" s="17">
        <f t="shared" si="67"/>
        <v>1378.125</v>
      </c>
      <c r="CH19" s="17">
        <f t="shared" si="67"/>
        <v>1378.125</v>
      </c>
      <c r="CI19" s="17">
        <f t="shared" si="67"/>
        <v>1378.125</v>
      </c>
      <c r="CJ19" s="17">
        <f t="shared" si="67"/>
        <v>1378.125</v>
      </c>
      <c r="CK19" s="17">
        <f t="shared" si="67"/>
        <v>1378.125</v>
      </c>
      <c r="CL19" s="17">
        <f t="shared" si="67"/>
        <v>1378.125</v>
      </c>
      <c r="CM19" s="17">
        <f t="shared" si="67"/>
        <v>1378.125</v>
      </c>
      <c r="CN19" s="17">
        <f t="shared" si="67"/>
        <v>1378.125</v>
      </c>
      <c r="CO19" s="19"/>
      <c r="CP19" s="17">
        <f>$CN$19*1.05</f>
        <v>1447.03125</v>
      </c>
      <c r="CQ19" s="17">
        <f t="shared" ref="CQ19:DA19" si="68">$CN$19*1.05</f>
        <v>1447.03125</v>
      </c>
      <c r="CR19" s="17">
        <f t="shared" si="68"/>
        <v>1447.03125</v>
      </c>
      <c r="CS19" s="17">
        <f t="shared" si="68"/>
        <v>1447.03125</v>
      </c>
      <c r="CT19" s="17">
        <f t="shared" si="68"/>
        <v>1447.03125</v>
      </c>
      <c r="CU19" s="17">
        <f t="shared" si="68"/>
        <v>1447.03125</v>
      </c>
      <c r="CV19" s="17">
        <f t="shared" si="68"/>
        <v>1447.03125</v>
      </c>
      <c r="CW19" s="17">
        <f t="shared" si="68"/>
        <v>1447.03125</v>
      </c>
      <c r="CX19" s="17">
        <f t="shared" si="68"/>
        <v>1447.03125</v>
      </c>
      <c r="CY19" s="17">
        <f t="shared" si="68"/>
        <v>1447.03125</v>
      </c>
      <c r="CZ19" s="17">
        <f t="shared" si="68"/>
        <v>1447.03125</v>
      </c>
      <c r="DA19" s="17">
        <f t="shared" si="68"/>
        <v>1447.03125</v>
      </c>
      <c r="DB19" s="19"/>
      <c r="DC19" s="17">
        <f>$DA$19*1.05</f>
        <v>1519.3828125</v>
      </c>
      <c r="DD19" s="17">
        <f t="shared" ref="DD19:DN19" si="69">$DA$19*1.05</f>
        <v>1519.3828125</v>
      </c>
      <c r="DE19" s="17">
        <f t="shared" si="69"/>
        <v>1519.3828125</v>
      </c>
      <c r="DF19" s="17">
        <f t="shared" si="69"/>
        <v>1519.3828125</v>
      </c>
      <c r="DG19" s="17">
        <f t="shared" si="69"/>
        <v>1519.3828125</v>
      </c>
      <c r="DH19" s="17">
        <f t="shared" si="69"/>
        <v>1519.3828125</v>
      </c>
      <c r="DI19" s="17">
        <f t="shared" si="69"/>
        <v>1519.3828125</v>
      </c>
      <c r="DJ19" s="17">
        <f t="shared" si="69"/>
        <v>1519.3828125</v>
      </c>
      <c r="DK19" s="17">
        <f t="shared" si="69"/>
        <v>1519.3828125</v>
      </c>
      <c r="DL19" s="17">
        <f t="shared" si="69"/>
        <v>1519.3828125</v>
      </c>
      <c r="DM19" s="17">
        <f t="shared" si="69"/>
        <v>1519.3828125</v>
      </c>
      <c r="DN19" s="17">
        <f t="shared" si="69"/>
        <v>1519.3828125</v>
      </c>
      <c r="DO19" s="19"/>
    </row>
    <row r="20" spans="2:119" x14ac:dyDescent="0.35">
      <c r="B20" t="s">
        <v>187</v>
      </c>
      <c r="C20" s="35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  <c r="O20" s="19"/>
      <c r="P20" s="35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9"/>
      <c r="AB20" s="19"/>
      <c r="AC20" s="35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9"/>
      <c r="AO20" s="19"/>
      <c r="AP20" s="35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9"/>
      <c r="BB20" s="19"/>
      <c r="BC20" s="35">
        <v>150</v>
      </c>
      <c r="BD20" s="35">
        <v>150</v>
      </c>
      <c r="BE20" s="35">
        <v>150</v>
      </c>
      <c r="BF20" s="35">
        <v>150</v>
      </c>
      <c r="BG20" s="35">
        <v>150</v>
      </c>
      <c r="BH20" s="35">
        <v>150</v>
      </c>
      <c r="BI20" s="35">
        <v>150</v>
      </c>
      <c r="BJ20" s="35">
        <v>150</v>
      </c>
      <c r="BK20" s="35">
        <v>150</v>
      </c>
      <c r="BL20" s="35">
        <v>150</v>
      </c>
      <c r="BM20" s="35">
        <v>150</v>
      </c>
      <c r="BN20" s="35">
        <v>150</v>
      </c>
      <c r="BO20" s="19"/>
      <c r="BP20" s="35">
        <f>150*1.05</f>
        <v>157.5</v>
      </c>
      <c r="BQ20" s="35">
        <f t="shared" ref="BQ20:CA20" si="70">150*1.05</f>
        <v>157.5</v>
      </c>
      <c r="BR20" s="35">
        <f t="shared" si="70"/>
        <v>157.5</v>
      </c>
      <c r="BS20" s="35">
        <f t="shared" si="70"/>
        <v>157.5</v>
      </c>
      <c r="BT20" s="35">
        <f t="shared" si="70"/>
        <v>157.5</v>
      </c>
      <c r="BU20" s="35">
        <f t="shared" si="70"/>
        <v>157.5</v>
      </c>
      <c r="BV20" s="35">
        <f t="shared" si="70"/>
        <v>157.5</v>
      </c>
      <c r="BW20" s="35">
        <f t="shared" si="70"/>
        <v>157.5</v>
      </c>
      <c r="BX20" s="35">
        <f t="shared" si="70"/>
        <v>157.5</v>
      </c>
      <c r="BY20" s="35">
        <f t="shared" si="70"/>
        <v>157.5</v>
      </c>
      <c r="BZ20" s="35">
        <f t="shared" si="70"/>
        <v>157.5</v>
      </c>
      <c r="CA20" s="35">
        <f t="shared" si="70"/>
        <v>157.5</v>
      </c>
      <c r="CB20" s="19"/>
      <c r="CC20" s="35">
        <f>$CA$20*1.05</f>
        <v>165.375</v>
      </c>
      <c r="CD20" s="35">
        <f t="shared" ref="CD20:CN20" si="71">$CA$20*1.05</f>
        <v>165.375</v>
      </c>
      <c r="CE20" s="35">
        <f t="shared" si="71"/>
        <v>165.375</v>
      </c>
      <c r="CF20" s="35">
        <f t="shared" si="71"/>
        <v>165.375</v>
      </c>
      <c r="CG20" s="35">
        <f t="shared" si="71"/>
        <v>165.375</v>
      </c>
      <c r="CH20" s="35">
        <f t="shared" si="71"/>
        <v>165.375</v>
      </c>
      <c r="CI20" s="35">
        <f t="shared" si="71"/>
        <v>165.375</v>
      </c>
      <c r="CJ20" s="35">
        <f t="shared" si="71"/>
        <v>165.375</v>
      </c>
      <c r="CK20" s="35">
        <f t="shared" si="71"/>
        <v>165.375</v>
      </c>
      <c r="CL20" s="35">
        <f t="shared" si="71"/>
        <v>165.375</v>
      </c>
      <c r="CM20" s="35">
        <f t="shared" si="71"/>
        <v>165.375</v>
      </c>
      <c r="CN20" s="35">
        <f t="shared" si="71"/>
        <v>165.375</v>
      </c>
      <c r="CO20" s="19"/>
      <c r="CP20" s="35">
        <f>$CN$20*1.05</f>
        <v>173.64375000000001</v>
      </c>
      <c r="CQ20" s="35">
        <f t="shared" ref="CQ20:DA20" si="72">$CN$20*1.05</f>
        <v>173.64375000000001</v>
      </c>
      <c r="CR20" s="35">
        <f t="shared" si="72"/>
        <v>173.64375000000001</v>
      </c>
      <c r="CS20" s="35">
        <f t="shared" si="72"/>
        <v>173.64375000000001</v>
      </c>
      <c r="CT20" s="35">
        <f t="shared" si="72"/>
        <v>173.64375000000001</v>
      </c>
      <c r="CU20" s="35">
        <f t="shared" si="72"/>
        <v>173.64375000000001</v>
      </c>
      <c r="CV20" s="35">
        <f t="shared" si="72"/>
        <v>173.64375000000001</v>
      </c>
      <c r="CW20" s="35">
        <f t="shared" si="72"/>
        <v>173.64375000000001</v>
      </c>
      <c r="CX20" s="35">
        <f t="shared" si="72"/>
        <v>173.64375000000001</v>
      </c>
      <c r="CY20" s="35">
        <f t="shared" si="72"/>
        <v>173.64375000000001</v>
      </c>
      <c r="CZ20" s="35">
        <f t="shared" si="72"/>
        <v>173.64375000000001</v>
      </c>
      <c r="DA20" s="35">
        <f t="shared" si="72"/>
        <v>173.64375000000001</v>
      </c>
      <c r="DB20" s="19"/>
      <c r="DC20" s="35">
        <f>$DA$20*1.05</f>
        <v>182.32593750000001</v>
      </c>
      <c r="DD20" s="35">
        <f t="shared" ref="DD20:DN20" si="73">$DA$20*1.05</f>
        <v>182.32593750000001</v>
      </c>
      <c r="DE20" s="35">
        <f t="shared" si="73"/>
        <v>182.32593750000001</v>
      </c>
      <c r="DF20" s="35">
        <f t="shared" si="73"/>
        <v>182.32593750000001</v>
      </c>
      <c r="DG20" s="35">
        <f t="shared" si="73"/>
        <v>182.32593750000001</v>
      </c>
      <c r="DH20" s="35">
        <f t="shared" si="73"/>
        <v>182.32593750000001</v>
      </c>
      <c r="DI20" s="35">
        <f t="shared" si="73"/>
        <v>182.32593750000001</v>
      </c>
      <c r="DJ20" s="35">
        <f t="shared" si="73"/>
        <v>182.32593750000001</v>
      </c>
      <c r="DK20" s="35">
        <f t="shared" si="73"/>
        <v>182.32593750000001</v>
      </c>
      <c r="DL20" s="35">
        <f t="shared" si="73"/>
        <v>182.32593750000001</v>
      </c>
      <c r="DM20" s="35">
        <f t="shared" si="73"/>
        <v>182.32593750000001</v>
      </c>
      <c r="DN20" s="35">
        <f t="shared" si="73"/>
        <v>182.32593750000001</v>
      </c>
      <c r="DO20" s="19"/>
    </row>
    <row r="21" spans="2:119" x14ac:dyDescent="0.35">
      <c r="B21" t="s">
        <v>130</v>
      </c>
      <c r="C21" s="1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2"/>
      <c r="O21" s="22"/>
      <c r="P21" s="17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2"/>
      <c r="AB21" s="22"/>
      <c r="AC21" s="17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2"/>
      <c r="AP21" s="17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2"/>
      <c r="BB21" s="22"/>
      <c r="BC21" s="17">
        <f>BC9*0.3</f>
        <v>150</v>
      </c>
      <c r="BD21" s="17">
        <f t="shared" ref="BD21:BN21" si="74">BD9*0.3</f>
        <v>150</v>
      </c>
      <c r="BE21" s="17">
        <f t="shared" si="74"/>
        <v>150</v>
      </c>
      <c r="BF21" s="17">
        <f t="shared" si="74"/>
        <v>150</v>
      </c>
      <c r="BG21" s="17">
        <f t="shared" si="74"/>
        <v>150</v>
      </c>
      <c r="BH21" s="17">
        <f t="shared" si="74"/>
        <v>150</v>
      </c>
      <c r="BI21" s="17">
        <f t="shared" si="74"/>
        <v>150</v>
      </c>
      <c r="BJ21" s="17">
        <f t="shared" si="74"/>
        <v>150</v>
      </c>
      <c r="BK21" s="17">
        <f t="shared" si="74"/>
        <v>150</v>
      </c>
      <c r="BL21" s="17">
        <f t="shared" si="74"/>
        <v>150</v>
      </c>
      <c r="BM21" s="17">
        <f t="shared" si="74"/>
        <v>150</v>
      </c>
      <c r="BN21" s="17">
        <f t="shared" si="74"/>
        <v>150</v>
      </c>
      <c r="BO21" s="22"/>
      <c r="BP21" s="17">
        <f>BP9*0.3</f>
        <v>150</v>
      </c>
      <c r="BQ21" s="17">
        <f t="shared" ref="BQ21:CA21" si="75">BQ9*0.3</f>
        <v>150</v>
      </c>
      <c r="BR21" s="17">
        <f t="shared" si="75"/>
        <v>150</v>
      </c>
      <c r="BS21" s="17">
        <f t="shared" si="75"/>
        <v>150</v>
      </c>
      <c r="BT21" s="17">
        <f t="shared" si="75"/>
        <v>150</v>
      </c>
      <c r="BU21" s="17">
        <f t="shared" si="75"/>
        <v>150</v>
      </c>
      <c r="BV21" s="17">
        <f t="shared" si="75"/>
        <v>150</v>
      </c>
      <c r="BW21" s="17">
        <f t="shared" si="75"/>
        <v>150</v>
      </c>
      <c r="BX21" s="17">
        <f t="shared" si="75"/>
        <v>150</v>
      </c>
      <c r="BY21" s="17">
        <f t="shared" si="75"/>
        <v>150</v>
      </c>
      <c r="BZ21" s="17">
        <f t="shared" si="75"/>
        <v>150</v>
      </c>
      <c r="CA21" s="17">
        <f t="shared" si="75"/>
        <v>150</v>
      </c>
      <c r="CB21" s="22"/>
      <c r="CC21" s="17">
        <f>CC9*0.3</f>
        <v>150</v>
      </c>
      <c r="CD21" s="17">
        <f t="shared" ref="CD21:CN21" si="76">CD9*0.3</f>
        <v>150</v>
      </c>
      <c r="CE21" s="17">
        <f t="shared" si="76"/>
        <v>150</v>
      </c>
      <c r="CF21" s="17">
        <f t="shared" si="76"/>
        <v>150</v>
      </c>
      <c r="CG21" s="17">
        <f t="shared" si="76"/>
        <v>150</v>
      </c>
      <c r="CH21" s="17">
        <f t="shared" si="76"/>
        <v>150</v>
      </c>
      <c r="CI21" s="17">
        <f t="shared" si="76"/>
        <v>150</v>
      </c>
      <c r="CJ21" s="17">
        <f t="shared" si="76"/>
        <v>150</v>
      </c>
      <c r="CK21" s="17">
        <f t="shared" si="76"/>
        <v>150</v>
      </c>
      <c r="CL21" s="17">
        <f t="shared" si="76"/>
        <v>150</v>
      </c>
      <c r="CM21" s="17">
        <f t="shared" si="76"/>
        <v>150</v>
      </c>
      <c r="CN21" s="17">
        <f t="shared" si="76"/>
        <v>150</v>
      </c>
      <c r="CO21" s="22"/>
      <c r="CP21" s="17">
        <f>CP9*0.3</f>
        <v>150</v>
      </c>
      <c r="CQ21" s="17">
        <f t="shared" ref="CQ21:DA21" si="77">CQ9*0.3</f>
        <v>150</v>
      </c>
      <c r="CR21" s="17">
        <f t="shared" si="77"/>
        <v>150</v>
      </c>
      <c r="CS21" s="17">
        <f t="shared" si="77"/>
        <v>150</v>
      </c>
      <c r="CT21" s="17">
        <f t="shared" si="77"/>
        <v>150</v>
      </c>
      <c r="CU21" s="17">
        <f t="shared" si="77"/>
        <v>150</v>
      </c>
      <c r="CV21" s="17">
        <f t="shared" si="77"/>
        <v>150</v>
      </c>
      <c r="CW21" s="17">
        <f t="shared" si="77"/>
        <v>150</v>
      </c>
      <c r="CX21" s="17">
        <f t="shared" si="77"/>
        <v>150</v>
      </c>
      <c r="CY21" s="17">
        <f t="shared" si="77"/>
        <v>150</v>
      </c>
      <c r="CZ21" s="17">
        <f t="shared" si="77"/>
        <v>150</v>
      </c>
      <c r="DA21" s="17">
        <f t="shared" si="77"/>
        <v>150</v>
      </c>
      <c r="DB21" s="22"/>
      <c r="DC21" s="17">
        <f>DC9*0.3</f>
        <v>150</v>
      </c>
      <c r="DD21" s="17">
        <f t="shared" ref="DD21:DN21" si="78">DD9*0.3</f>
        <v>150</v>
      </c>
      <c r="DE21" s="17">
        <f t="shared" si="78"/>
        <v>150</v>
      </c>
      <c r="DF21" s="17">
        <f t="shared" si="78"/>
        <v>150</v>
      </c>
      <c r="DG21" s="17">
        <f t="shared" si="78"/>
        <v>150</v>
      </c>
      <c r="DH21" s="17">
        <f t="shared" si="78"/>
        <v>150</v>
      </c>
      <c r="DI21" s="17">
        <f t="shared" si="78"/>
        <v>150</v>
      </c>
      <c r="DJ21" s="17">
        <f t="shared" si="78"/>
        <v>150</v>
      </c>
      <c r="DK21" s="17">
        <f t="shared" si="78"/>
        <v>150</v>
      </c>
      <c r="DL21" s="17">
        <f t="shared" si="78"/>
        <v>150</v>
      </c>
      <c r="DM21" s="17">
        <f t="shared" si="78"/>
        <v>150</v>
      </c>
      <c r="DN21" s="17">
        <f t="shared" si="78"/>
        <v>150</v>
      </c>
      <c r="DO21" s="22"/>
    </row>
    <row r="22" spans="2:119" x14ac:dyDescent="0.35">
      <c r="C22" s="17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24"/>
      <c r="P22" s="17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4"/>
      <c r="AB22" s="24"/>
      <c r="AC22" s="17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4"/>
      <c r="AO22" s="24"/>
      <c r="AP22" s="17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4"/>
      <c r="BB22" s="24"/>
      <c r="BC22" s="17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4"/>
      <c r="BO22" s="24"/>
      <c r="BP22" s="17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4"/>
      <c r="CB22" s="24"/>
      <c r="CC22" s="17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4"/>
      <c r="CO22" s="24"/>
      <c r="CP22" s="17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4"/>
      <c r="DB22" s="24"/>
      <c r="DC22" s="17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4"/>
      <c r="DO22" s="24"/>
    </row>
    <row r="23" spans="2:119" x14ac:dyDescent="0.35">
      <c r="C23" s="17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4"/>
      <c r="O23" s="24"/>
      <c r="P23" s="17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4"/>
      <c r="AB23" s="24"/>
      <c r="AC23" s="17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4"/>
      <c r="AO23" s="24"/>
      <c r="AP23" s="17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4"/>
      <c r="BB23" s="24"/>
      <c r="BC23" s="17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4"/>
      <c r="BO23" s="24"/>
      <c r="BP23" s="17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4"/>
      <c r="CB23" s="24"/>
      <c r="CC23" s="17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4"/>
      <c r="CO23" s="24"/>
      <c r="CP23" s="17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4"/>
      <c r="DB23" s="24"/>
      <c r="DC23" s="17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4"/>
      <c r="DO23" s="24"/>
    </row>
    <row r="24" spans="2:119" x14ac:dyDescent="0.35"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7"/>
      <c r="O24" s="27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  <c r="AB24" s="27"/>
      <c r="AC24" s="25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7"/>
      <c r="AO24" s="27"/>
      <c r="AP24" s="25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7"/>
      <c r="BB24" s="27"/>
      <c r="BC24" s="25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7"/>
      <c r="BO24" s="27"/>
      <c r="BP24" s="25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7"/>
      <c r="CB24" s="27"/>
      <c r="CC24" s="25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7"/>
      <c r="CO24" s="27"/>
      <c r="CP24" s="25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7"/>
      <c r="DB24" s="27"/>
      <c r="DC24" s="25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7"/>
      <c r="DO24" s="27"/>
    </row>
    <row r="25" spans="2:119" x14ac:dyDescent="0.35">
      <c r="C25" s="17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4"/>
      <c r="O25" s="24"/>
      <c r="P25" s="17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4"/>
      <c r="AB25" s="24"/>
      <c r="AC25" s="17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4"/>
      <c r="AO25" s="24"/>
      <c r="AP25" s="17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4"/>
      <c r="BB25" s="24"/>
      <c r="BC25" s="17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4"/>
      <c r="BO25" s="24"/>
      <c r="BP25" s="17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4"/>
      <c r="CB25" s="24"/>
      <c r="CC25" s="17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4"/>
      <c r="CO25" s="24"/>
      <c r="CP25" s="17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4"/>
      <c r="DB25" s="24"/>
      <c r="DC25" s="17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4"/>
      <c r="DO25" s="24"/>
    </row>
    <row r="26" spans="2:119" x14ac:dyDescent="0.35">
      <c r="B26" s="25" t="s">
        <v>122</v>
      </c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0"/>
      <c r="O26" s="30"/>
      <c r="P26" s="28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30"/>
      <c r="AB26" s="30"/>
      <c r="AC26" s="28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30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30"/>
      <c r="BB26" s="30"/>
      <c r="BC26" s="28">
        <f>BC21*BC11+BC20+BC19</f>
        <v>8900</v>
      </c>
      <c r="BD26" s="28">
        <f t="shared" ref="BD26:BN26" si="79">BD21*BD11+BD20+BD19</f>
        <v>9350</v>
      </c>
      <c r="BE26" s="28">
        <f t="shared" si="79"/>
        <v>9827</v>
      </c>
      <c r="BF26" s="28">
        <f t="shared" si="79"/>
        <v>10332.620000000001</v>
      </c>
      <c r="BG26" s="28">
        <f t="shared" si="79"/>
        <v>10868.5772</v>
      </c>
      <c r="BH26" s="28">
        <f t="shared" si="79"/>
        <v>11436.691832</v>
      </c>
      <c r="BI26" s="28">
        <f t="shared" si="79"/>
        <v>12038.89334192</v>
      </c>
      <c r="BJ26" s="28">
        <f t="shared" si="79"/>
        <v>12677.2269424352</v>
      </c>
      <c r="BK26" s="28">
        <f t="shared" si="79"/>
        <v>13353.860558981312</v>
      </c>
      <c r="BL26" s="28">
        <f t="shared" si="79"/>
        <v>14071.092192520191</v>
      </c>
      <c r="BM26" s="28">
        <f t="shared" si="79"/>
        <v>14831.357724071402</v>
      </c>
      <c r="BN26" s="28">
        <f t="shared" si="79"/>
        <v>15637.239187515686</v>
      </c>
      <c r="BO26" s="30">
        <f>SUM(BC26:BN26)</f>
        <v>143324.5589794438</v>
      </c>
      <c r="BP26" s="28">
        <f>BP21*BP11+BP20+BP19</f>
        <v>16561.47353876663</v>
      </c>
      <c r="BQ26" s="28">
        <f t="shared" ref="BQ26:CA26" si="80">BQ21*BQ11+BQ20+BQ19</f>
        <v>17466.961951092628</v>
      </c>
      <c r="BR26" s="28">
        <f t="shared" si="80"/>
        <v>18426.779668158186</v>
      </c>
      <c r="BS26" s="28">
        <f t="shared" si="80"/>
        <v>19444.186448247678</v>
      </c>
      <c r="BT26" s="28">
        <f t="shared" si="80"/>
        <v>20522.637635142535</v>
      </c>
      <c r="BU26" s="28">
        <f t="shared" si="80"/>
        <v>21665.795893251088</v>
      </c>
      <c r="BV26" s="28">
        <f t="shared" si="80"/>
        <v>22877.543646846156</v>
      </c>
      <c r="BW26" s="28">
        <f t="shared" si="80"/>
        <v>24161.996265656926</v>
      </c>
      <c r="BX26" s="28">
        <f t="shared" si="80"/>
        <v>25523.51604159634</v>
      </c>
      <c r="BY26" s="28">
        <f t="shared" si="80"/>
        <v>26966.727004092121</v>
      </c>
      <c r="BZ26" s="28">
        <f t="shared" si="80"/>
        <v>28496.530624337647</v>
      </c>
      <c r="CA26" s="28">
        <f t="shared" si="80"/>
        <v>30118.122461797906</v>
      </c>
      <c r="CB26" s="30">
        <f>SUM(BP26:CA26)</f>
        <v>272232.27117898583</v>
      </c>
      <c r="CC26" s="28">
        <f>CC21*CC11+CC20+CC19</f>
        <v>31910.509809505777</v>
      </c>
      <c r="CD26" s="28">
        <f t="shared" ref="CD26:CN26" si="81">CD21*CD11+CD20+CD19</f>
        <v>33428.860299981068</v>
      </c>
      <c r="CE26" s="28">
        <f t="shared" si="81"/>
        <v>35023.128314980124</v>
      </c>
      <c r="CF26" s="28">
        <f t="shared" si="81"/>
        <v>36697.109730729127</v>
      </c>
      <c r="CG26" s="28">
        <f t="shared" si="81"/>
        <v>38454.790217265589</v>
      </c>
      <c r="CH26" s="28">
        <f t="shared" si="81"/>
        <v>40300.354728128863</v>
      </c>
      <c r="CI26" s="28">
        <f t="shared" si="81"/>
        <v>42238.197464535304</v>
      </c>
      <c r="CJ26" s="28">
        <f t="shared" si="81"/>
        <v>44272.932337762068</v>
      </c>
      <c r="CK26" s="28">
        <f t="shared" si="81"/>
        <v>46409.403954650174</v>
      </c>
      <c r="CL26" s="28">
        <f t="shared" si="81"/>
        <v>48652.699152382673</v>
      </c>
      <c r="CM26" s="28">
        <f t="shared" si="81"/>
        <v>51008.159110001812</v>
      </c>
      <c r="CN26" s="28">
        <f t="shared" si="81"/>
        <v>53481.392065501896</v>
      </c>
      <c r="CO26" s="30">
        <f>SUM(CC26:CN26)</f>
        <v>501877.53718542447</v>
      </c>
      <c r="CP26" s="28">
        <f t="shared" ref="CP26:CZ26" si="82">CP21*CP11+CP20+CP19</f>
        <v>56155.461668776996</v>
      </c>
      <c r="CQ26" s="28">
        <f t="shared" si="82"/>
        <v>58336.853135528079</v>
      </c>
      <c r="CR26" s="28">
        <f t="shared" si="82"/>
        <v>60605.500260949193</v>
      </c>
      <c r="CS26" s="28">
        <f t="shared" si="82"/>
        <v>62964.893271387169</v>
      </c>
      <c r="CT26" s="28">
        <f t="shared" si="82"/>
        <v>65418.66200224265</v>
      </c>
      <c r="CU26" s="28">
        <f t="shared" si="82"/>
        <v>67970.58148233236</v>
      </c>
      <c r="CV26" s="28">
        <f t="shared" si="82"/>
        <v>70624.577741625646</v>
      </c>
      <c r="CW26" s="28">
        <f t="shared" si="82"/>
        <v>73384.733851290672</v>
      </c>
      <c r="CX26" s="28">
        <f t="shared" si="82"/>
        <v>76255.296205342296</v>
      </c>
      <c r="CY26" s="28">
        <f t="shared" si="82"/>
        <v>79240.681053555993</v>
      </c>
      <c r="CZ26" s="28">
        <f t="shared" si="82"/>
        <v>82345.481295698235</v>
      </c>
      <c r="DA26" s="28">
        <f t="shared" ref="DA26" si="83">DA21*DA11+DA20+DA19</f>
        <v>85574.473547526155</v>
      </c>
      <c r="DB26" s="29">
        <f>SUM(CP26:DA26)</f>
        <v>838877.19551625557</v>
      </c>
      <c r="DC26" s="28">
        <f t="shared" ref="DC26:DN26" si="84">DC21*DC11+DC20+DC19</f>
        <v>89013.659239427216</v>
      </c>
      <c r="DD26" s="28">
        <f t="shared" si="84"/>
        <v>92506.137259004303</v>
      </c>
      <c r="DE26" s="28">
        <f t="shared" si="84"/>
        <v>96138.314399364463</v>
      </c>
      <c r="DF26" s="28">
        <f t="shared" si="84"/>
        <v>99915.778625339051</v>
      </c>
      <c r="DG26" s="28">
        <f t="shared" si="84"/>
        <v>103844.34142035262</v>
      </c>
      <c r="DH26" s="28">
        <f t="shared" si="84"/>
        <v>107930.04672716673</v>
      </c>
      <c r="DI26" s="28">
        <f t="shared" si="84"/>
        <v>112179.1802462534</v>
      </c>
      <c r="DJ26" s="28">
        <f t="shared" si="84"/>
        <v>116598.27910610352</v>
      </c>
      <c r="DK26" s="28">
        <f t="shared" si="84"/>
        <v>121194.14192034765</v>
      </c>
      <c r="DL26" s="28">
        <f t="shared" si="84"/>
        <v>125973.83924716157</v>
      </c>
      <c r="DM26" s="28">
        <f t="shared" si="84"/>
        <v>130944.72446704803</v>
      </c>
      <c r="DN26" s="28">
        <f t="shared" si="84"/>
        <v>136114.44509572993</v>
      </c>
      <c r="DO26" s="29">
        <f>SUM(DC26:DN26)</f>
        <v>1332352.8877532985</v>
      </c>
    </row>
    <row r="28" spans="2:119" x14ac:dyDescent="0.35">
      <c r="B28" s="11" t="s">
        <v>132</v>
      </c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1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3"/>
      <c r="AB28" s="13"/>
      <c r="AC28" s="11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  <c r="AO28" s="13"/>
      <c r="AP28" s="11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3"/>
      <c r="BB28" s="13"/>
      <c r="BC28" s="11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3"/>
      <c r="BO28" s="13"/>
      <c r="BP28" s="11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3"/>
      <c r="CB28" s="13"/>
      <c r="CC28" s="11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3"/>
      <c r="CO28" s="13"/>
      <c r="CP28" s="11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3"/>
      <c r="DB28" s="13"/>
      <c r="DC28" s="11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3"/>
      <c r="DO28" s="13"/>
    </row>
    <row r="29" spans="2:119" x14ac:dyDescent="0.35">
      <c r="B29" s="11" t="s">
        <v>133</v>
      </c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  <c r="O29" s="16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  <c r="AB29" s="16"/>
      <c r="AC29" s="14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6"/>
      <c r="AO29" s="16"/>
      <c r="AP29" s="14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6"/>
      <c r="BB29" s="16"/>
      <c r="BC29" s="14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6"/>
      <c r="BO29" s="16"/>
      <c r="BP29" s="14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6"/>
      <c r="CB29" s="16"/>
      <c r="CC29" s="14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6"/>
      <c r="CO29" s="16"/>
      <c r="CP29" s="14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6"/>
      <c r="DB29" s="16"/>
      <c r="DC29" s="14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6"/>
      <c r="DO29" s="16"/>
    </row>
    <row r="30" spans="2:119" x14ac:dyDescent="0.35">
      <c r="B30" s="36" t="s">
        <v>134</v>
      </c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/>
      <c r="O30" s="19"/>
      <c r="P30" s="17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  <c r="AB30" s="19"/>
      <c r="AC30" s="17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9"/>
      <c r="AO30" s="19"/>
      <c r="AP30" s="17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9"/>
      <c r="BB30" s="19"/>
      <c r="BC30" s="17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9"/>
      <c r="BO30" s="19"/>
      <c r="BP30" s="17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9"/>
      <c r="CB30" s="19"/>
      <c r="CC30" s="17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9"/>
      <c r="CO30" s="19"/>
      <c r="CP30" s="17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9"/>
      <c r="DB30" s="19"/>
      <c r="DC30" s="17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9"/>
      <c r="DO30" s="19"/>
    </row>
    <row r="31" spans="2:119" x14ac:dyDescent="0.35">
      <c r="B31" s="37" t="s">
        <v>135</v>
      </c>
      <c r="C31" s="35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/>
      <c r="O31" s="19"/>
      <c r="P31" s="35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  <c r="AB31" s="19"/>
      <c r="AC31" s="35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9"/>
      <c r="AO31" s="19"/>
      <c r="AP31" s="35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9"/>
      <c r="BB31" s="19"/>
      <c r="BC31" s="35">
        <v>500</v>
      </c>
      <c r="BD31" s="35">
        <v>500</v>
      </c>
      <c r="BE31" s="35">
        <v>500</v>
      </c>
      <c r="BF31" s="35">
        <v>500</v>
      </c>
      <c r="BG31" s="35">
        <v>500</v>
      </c>
      <c r="BH31" s="35">
        <v>500</v>
      </c>
      <c r="BI31" s="35">
        <v>500</v>
      </c>
      <c r="BJ31" s="35">
        <v>500</v>
      </c>
      <c r="BK31" s="35">
        <v>500</v>
      </c>
      <c r="BL31" s="35">
        <v>500</v>
      </c>
      <c r="BM31" s="35">
        <v>500</v>
      </c>
      <c r="BN31" s="35">
        <v>500</v>
      </c>
      <c r="BO31" s="19"/>
      <c r="BP31" s="35">
        <v>500</v>
      </c>
      <c r="BQ31" s="35">
        <v>500</v>
      </c>
      <c r="BR31" s="35">
        <v>500</v>
      </c>
      <c r="BS31" s="35">
        <v>500</v>
      </c>
      <c r="BT31" s="35">
        <v>500</v>
      </c>
      <c r="BU31" s="35">
        <v>500</v>
      </c>
      <c r="BV31" s="35">
        <v>500</v>
      </c>
      <c r="BW31" s="35">
        <v>500</v>
      </c>
      <c r="BX31" s="35">
        <v>500</v>
      </c>
      <c r="BY31" s="35">
        <v>500</v>
      </c>
      <c r="BZ31" s="35">
        <v>500</v>
      </c>
      <c r="CA31" s="35">
        <v>500</v>
      </c>
      <c r="CB31" s="19"/>
      <c r="CC31" s="35">
        <v>500</v>
      </c>
      <c r="CD31" s="35">
        <v>500</v>
      </c>
      <c r="CE31" s="35">
        <v>500</v>
      </c>
      <c r="CF31" s="35">
        <v>500</v>
      </c>
      <c r="CG31" s="35">
        <v>500</v>
      </c>
      <c r="CH31" s="35">
        <v>500</v>
      </c>
      <c r="CI31" s="35">
        <v>500</v>
      </c>
      <c r="CJ31" s="35">
        <v>500</v>
      </c>
      <c r="CK31" s="35">
        <v>500</v>
      </c>
      <c r="CL31" s="35">
        <v>500</v>
      </c>
      <c r="CM31" s="35">
        <v>500</v>
      </c>
      <c r="CN31" s="35">
        <v>500</v>
      </c>
      <c r="CO31" s="19"/>
      <c r="CP31" s="35">
        <v>500</v>
      </c>
      <c r="CQ31" s="35">
        <v>500</v>
      </c>
      <c r="CR31" s="35">
        <v>500</v>
      </c>
      <c r="CS31" s="35">
        <v>500</v>
      </c>
      <c r="CT31" s="35">
        <v>500</v>
      </c>
      <c r="CU31" s="35">
        <v>500</v>
      </c>
      <c r="CV31" s="35">
        <v>500</v>
      </c>
      <c r="CW31" s="35">
        <v>500</v>
      </c>
      <c r="CX31" s="35">
        <v>500</v>
      </c>
      <c r="CY31" s="35">
        <v>500</v>
      </c>
      <c r="CZ31" s="35">
        <v>500</v>
      </c>
      <c r="DA31" s="35">
        <v>500</v>
      </c>
      <c r="DB31" s="19"/>
      <c r="DC31" s="35">
        <v>500</v>
      </c>
      <c r="DD31" s="35">
        <v>500</v>
      </c>
      <c r="DE31" s="35">
        <v>500</v>
      </c>
      <c r="DF31" s="35">
        <v>500</v>
      </c>
      <c r="DG31" s="35">
        <v>500</v>
      </c>
      <c r="DH31" s="35">
        <v>500</v>
      </c>
      <c r="DI31" s="35">
        <v>500</v>
      </c>
      <c r="DJ31" s="35">
        <v>500</v>
      </c>
      <c r="DK31" s="35">
        <v>500</v>
      </c>
      <c r="DL31" s="35">
        <v>500</v>
      </c>
      <c r="DM31" s="35">
        <v>500</v>
      </c>
      <c r="DN31" s="35">
        <v>500</v>
      </c>
      <c r="DO31" s="19"/>
    </row>
    <row r="32" spans="2:119" x14ac:dyDescent="0.35">
      <c r="B32" s="37" t="s">
        <v>188</v>
      </c>
      <c r="C32" s="17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2"/>
      <c r="O32" s="22"/>
      <c r="P32" s="17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  <c r="AB32" s="22"/>
      <c r="AC32" s="17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2"/>
      <c r="AO32" s="22"/>
      <c r="AP32" s="17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2"/>
      <c r="BB32" s="22"/>
      <c r="BC32" s="17">
        <v>500</v>
      </c>
      <c r="BD32" s="17">
        <v>500</v>
      </c>
      <c r="BE32" s="17">
        <v>500</v>
      </c>
      <c r="BF32" s="17">
        <v>500</v>
      </c>
      <c r="BG32" s="17">
        <v>500</v>
      </c>
      <c r="BH32" s="17">
        <v>500</v>
      </c>
      <c r="BI32" s="17">
        <v>500</v>
      </c>
      <c r="BJ32" s="17">
        <v>500</v>
      </c>
      <c r="BK32" s="17">
        <v>500</v>
      </c>
      <c r="BL32" s="17">
        <v>500</v>
      </c>
      <c r="BM32" s="17">
        <v>500</v>
      </c>
      <c r="BN32" s="17">
        <v>500</v>
      </c>
      <c r="BO32" s="22"/>
      <c r="BP32" s="17">
        <v>500</v>
      </c>
      <c r="BQ32" s="17">
        <v>500</v>
      </c>
      <c r="BR32" s="17">
        <v>500</v>
      </c>
      <c r="BS32" s="17">
        <v>500</v>
      </c>
      <c r="BT32" s="17">
        <v>500</v>
      </c>
      <c r="BU32" s="17">
        <v>500</v>
      </c>
      <c r="BV32" s="17">
        <v>500</v>
      </c>
      <c r="BW32" s="17">
        <v>500</v>
      </c>
      <c r="BX32" s="17">
        <v>500</v>
      </c>
      <c r="BY32" s="17">
        <v>500</v>
      </c>
      <c r="BZ32" s="17">
        <v>500</v>
      </c>
      <c r="CA32" s="17">
        <v>500</v>
      </c>
      <c r="CB32" s="22"/>
      <c r="CC32" s="17">
        <v>500</v>
      </c>
      <c r="CD32" s="17">
        <v>500</v>
      </c>
      <c r="CE32" s="17">
        <v>500</v>
      </c>
      <c r="CF32" s="17">
        <v>500</v>
      </c>
      <c r="CG32" s="17">
        <v>500</v>
      </c>
      <c r="CH32" s="17">
        <v>500</v>
      </c>
      <c r="CI32" s="17">
        <v>500</v>
      </c>
      <c r="CJ32" s="17">
        <v>500</v>
      </c>
      <c r="CK32" s="17">
        <v>500</v>
      </c>
      <c r="CL32" s="17">
        <v>500</v>
      </c>
      <c r="CM32" s="17">
        <v>500</v>
      </c>
      <c r="CN32" s="17">
        <v>500</v>
      </c>
      <c r="CO32" s="22"/>
      <c r="CP32" s="17">
        <v>500</v>
      </c>
      <c r="CQ32" s="17">
        <v>500</v>
      </c>
      <c r="CR32" s="17">
        <v>500</v>
      </c>
      <c r="CS32" s="17">
        <v>500</v>
      </c>
      <c r="CT32" s="17">
        <v>500</v>
      </c>
      <c r="CU32" s="17">
        <v>500</v>
      </c>
      <c r="CV32" s="17">
        <v>500</v>
      </c>
      <c r="CW32" s="17">
        <v>500</v>
      </c>
      <c r="CX32" s="17">
        <v>500</v>
      </c>
      <c r="CY32" s="17">
        <v>500</v>
      </c>
      <c r="CZ32" s="17">
        <v>500</v>
      </c>
      <c r="DA32" s="17">
        <v>500</v>
      </c>
      <c r="DB32" s="22"/>
      <c r="DC32" s="17">
        <v>500</v>
      </c>
      <c r="DD32" s="17">
        <v>500</v>
      </c>
      <c r="DE32" s="17">
        <v>500</v>
      </c>
      <c r="DF32" s="17">
        <v>500</v>
      </c>
      <c r="DG32" s="17">
        <v>500</v>
      </c>
      <c r="DH32" s="17">
        <v>500</v>
      </c>
      <c r="DI32" s="17">
        <v>500</v>
      </c>
      <c r="DJ32" s="17">
        <v>500</v>
      </c>
      <c r="DK32" s="17">
        <v>500</v>
      </c>
      <c r="DL32" s="17">
        <v>500</v>
      </c>
      <c r="DM32" s="17">
        <v>500</v>
      </c>
      <c r="DN32" s="17">
        <v>500</v>
      </c>
      <c r="DO32" s="22"/>
    </row>
    <row r="33" spans="2:119" x14ac:dyDescent="0.35">
      <c r="B33" s="37" t="s">
        <v>136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24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4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24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24"/>
      <c r="BC33" s="17">
        <v>5000</v>
      </c>
      <c r="BD33" s="17">
        <f>BC33*(1+BD34)</f>
        <v>5000</v>
      </c>
      <c r="BE33" s="17">
        <f t="shared" ref="BE33" si="85">BD33*(1+BE34)</f>
        <v>5000</v>
      </c>
      <c r="BF33" s="17">
        <f t="shared" ref="BF33" si="86">BE33*(1+BF34)</f>
        <v>5000</v>
      </c>
      <c r="BG33" s="17">
        <f t="shared" ref="BG33" si="87">BF33*(1+BG34)</f>
        <v>5000</v>
      </c>
      <c r="BH33" s="17">
        <f t="shared" ref="BH33" si="88">BG33*(1+BH34)</f>
        <v>5000</v>
      </c>
      <c r="BI33" s="17">
        <f t="shared" ref="BI33" si="89">BH33*(1+BI34)</f>
        <v>5000</v>
      </c>
      <c r="BJ33" s="17">
        <f t="shared" ref="BJ33" si="90">BI33*(1+BJ34)</f>
        <v>5000</v>
      </c>
      <c r="BK33" s="17">
        <f t="shared" ref="BK33" si="91">BJ33*(1+BK34)</f>
        <v>5000</v>
      </c>
      <c r="BL33" s="17">
        <f t="shared" ref="BL33" si="92">BK33*(1+BL34)</f>
        <v>5000</v>
      </c>
      <c r="BM33" s="17">
        <f t="shared" ref="BM33" si="93">BL33*(1+BM34)</f>
        <v>5000</v>
      </c>
      <c r="BN33" s="17">
        <f t="shared" ref="BN33" si="94">BM33*(1+BN34)</f>
        <v>5000</v>
      </c>
      <c r="BO33" s="24"/>
      <c r="BP33" s="17">
        <f>BN33*(1+BP34)</f>
        <v>5500</v>
      </c>
      <c r="BQ33" s="17">
        <f>BP33*(1+BQ34)</f>
        <v>5500</v>
      </c>
      <c r="BR33" s="17">
        <f t="shared" ref="BR33" si="95">BQ33*(1+BR34)</f>
        <v>5500</v>
      </c>
      <c r="BS33" s="17">
        <f t="shared" ref="BS33" si="96">BR33*(1+BS34)</f>
        <v>5500</v>
      </c>
      <c r="BT33" s="17">
        <f t="shared" ref="BT33" si="97">BS33*(1+BT34)</f>
        <v>5500</v>
      </c>
      <c r="BU33" s="17">
        <f t="shared" ref="BU33" si="98">BT33*(1+BU34)</f>
        <v>5500</v>
      </c>
      <c r="BV33" s="17">
        <f t="shared" ref="BV33" si="99">BU33*(1+BV34)</f>
        <v>5500</v>
      </c>
      <c r="BW33" s="17">
        <f t="shared" ref="BW33" si="100">BV33*(1+BW34)</f>
        <v>5500</v>
      </c>
      <c r="BX33" s="17">
        <f t="shared" ref="BX33" si="101">BW33*(1+BX34)</f>
        <v>5500</v>
      </c>
      <c r="BY33" s="17">
        <f t="shared" ref="BY33" si="102">BX33*(1+BY34)</f>
        <v>5500</v>
      </c>
      <c r="BZ33" s="17">
        <f t="shared" ref="BZ33" si="103">BY33*(1+BZ34)</f>
        <v>5500</v>
      </c>
      <c r="CA33" s="17">
        <f t="shared" ref="CA33" si="104">BZ33*(1+CA34)</f>
        <v>5500</v>
      </c>
      <c r="CB33" s="24"/>
      <c r="CC33" s="17">
        <f>CA33*(1+CC34)</f>
        <v>6050.0000000000009</v>
      </c>
      <c r="CD33" s="17">
        <f>CC33*(1+CD34)</f>
        <v>6050.0000000000009</v>
      </c>
      <c r="CE33" s="17">
        <f t="shared" ref="CE33" si="105">CD33*(1+CE34)</f>
        <v>6050.0000000000009</v>
      </c>
      <c r="CF33" s="17">
        <f t="shared" ref="CF33" si="106">CE33*(1+CF34)</f>
        <v>6050.0000000000009</v>
      </c>
      <c r="CG33" s="17">
        <f t="shared" ref="CG33" si="107">CF33*(1+CG34)</f>
        <v>6050.0000000000009</v>
      </c>
      <c r="CH33" s="17">
        <f t="shared" ref="CH33" si="108">CG33*(1+CH34)</f>
        <v>6050.0000000000009</v>
      </c>
      <c r="CI33" s="17">
        <f t="shared" ref="CI33" si="109">CH33*(1+CI34)</f>
        <v>6050.0000000000009</v>
      </c>
      <c r="CJ33" s="17">
        <f t="shared" ref="CJ33" si="110">CI33*(1+CJ34)</f>
        <v>6050.0000000000009</v>
      </c>
      <c r="CK33" s="17">
        <f t="shared" ref="CK33" si="111">CJ33*(1+CK34)</f>
        <v>6050.0000000000009</v>
      </c>
      <c r="CL33" s="17">
        <f t="shared" ref="CL33" si="112">CK33*(1+CL34)</f>
        <v>6050.0000000000009</v>
      </c>
      <c r="CM33" s="17">
        <f t="shared" ref="CM33" si="113">CL33*(1+CM34)</f>
        <v>6050.0000000000009</v>
      </c>
      <c r="CN33" s="17">
        <f t="shared" ref="CN33" si="114">CM33*(1+CN34)</f>
        <v>6050.0000000000009</v>
      </c>
      <c r="CO33" s="24"/>
      <c r="CP33" s="17">
        <f>CN33*(1+CP34)</f>
        <v>6655.0000000000018</v>
      </c>
      <c r="CQ33" s="17">
        <f>CP33*(1+CQ34)</f>
        <v>6655.0000000000018</v>
      </c>
      <c r="CR33" s="17">
        <f t="shared" ref="CR33" si="115">CQ33*(1+CR34)</f>
        <v>6655.0000000000018</v>
      </c>
      <c r="CS33" s="17">
        <f t="shared" ref="CS33" si="116">CR33*(1+CS34)</f>
        <v>6655.0000000000018</v>
      </c>
      <c r="CT33" s="17">
        <f t="shared" ref="CT33" si="117">CS33*(1+CT34)</f>
        <v>6655.0000000000018</v>
      </c>
      <c r="CU33" s="17">
        <f t="shared" ref="CU33" si="118">CT33*(1+CU34)</f>
        <v>6655.0000000000018</v>
      </c>
      <c r="CV33" s="17">
        <f t="shared" ref="CV33" si="119">CU33*(1+CV34)</f>
        <v>6655.0000000000018</v>
      </c>
      <c r="CW33" s="17">
        <f t="shared" ref="CW33" si="120">CV33*(1+CW34)</f>
        <v>6655.0000000000018</v>
      </c>
      <c r="CX33" s="17">
        <f t="shared" ref="CX33" si="121">CW33*(1+CX34)</f>
        <v>6655.0000000000018</v>
      </c>
      <c r="CY33" s="17">
        <f t="shared" ref="CY33" si="122">CX33*(1+CY34)</f>
        <v>6655.0000000000018</v>
      </c>
      <c r="CZ33" s="17">
        <f t="shared" ref="CZ33" si="123">CY33*(1+CZ34)</f>
        <v>6655.0000000000018</v>
      </c>
      <c r="DA33" s="17">
        <f t="shared" ref="DA33" si="124">CZ33*(1+DA34)</f>
        <v>6655.0000000000018</v>
      </c>
      <c r="DB33" s="24"/>
      <c r="DC33" s="17">
        <f>DA33*(1+DC34)</f>
        <v>7320.5000000000027</v>
      </c>
      <c r="DD33" s="17">
        <f>DC33*(1+DD34)</f>
        <v>7320.5000000000027</v>
      </c>
      <c r="DE33" s="17">
        <f t="shared" ref="DE33" si="125">DD33*(1+DE34)</f>
        <v>7320.5000000000027</v>
      </c>
      <c r="DF33" s="17">
        <f t="shared" ref="DF33" si="126">DE33*(1+DF34)</f>
        <v>7320.5000000000027</v>
      </c>
      <c r="DG33" s="17">
        <f t="shared" ref="DG33" si="127">DF33*(1+DG34)</f>
        <v>7320.5000000000027</v>
      </c>
      <c r="DH33" s="17">
        <f t="shared" ref="DH33" si="128">DG33*(1+DH34)</f>
        <v>7320.5000000000027</v>
      </c>
      <c r="DI33" s="17">
        <f t="shared" ref="DI33" si="129">DH33*(1+DI34)</f>
        <v>7320.5000000000027</v>
      </c>
      <c r="DJ33" s="17">
        <f t="shared" ref="DJ33" si="130">DI33*(1+DJ34)</f>
        <v>7320.5000000000027</v>
      </c>
      <c r="DK33" s="17">
        <f t="shared" ref="DK33" si="131">DJ33*(1+DK34)</f>
        <v>7320.5000000000027</v>
      </c>
      <c r="DL33" s="17">
        <f t="shared" ref="DL33" si="132">DK33*(1+DL34)</f>
        <v>7320.5000000000027</v>
      </c>
      <c r="DM33" s="17">
        <f t="shared" ref="DM33" si="133">DL33*(1+DM34)</f>
        <v>7320.5000000000027</v>
      </c>
      <c r="DN33" s="17">
        <f t="shared" ref="DN33" si="134">DM33*(1+DN34)</f>
        <v>7320.5000000000027</v>
      </c>
      <c r="DO33" s="24"/>
    </row>
    <row r="34" spans="2:119" x14ac:dyDescent="0.35">
      <c r="B34" s="54" t="s">
        <v>186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4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4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4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4"/>
      <c r="BC34" s="55">
        <v>0.1</v>
      </c>
      <c r="BD34" s="55">
        <v>0</v>
      </c>
      <c r="BE34" s="55">
        <v>0</v>
      </c>
      <c r="BF34" s="55">
        <v>0</v>
      </c>
      <c r="BG34" s="55">
        <v>0</v>
      </c>
      <c r="BH34" s="55">
        <v>0</v>
      </c>
      <c r="BI34" s="55">
        <v>0</v>
      </c>
      <c r="BJ34" s="55">
        <v>0</v>
      </c>
      <c r="BK34" s="55">
        <v>0</v>
      </c>
      <c r="BL34" s="55">
        <v>0</v>
      </c>
      <c r="BM34" s="55">
        <v>0</v>
      </c>
      <c r="BN34" s="55">
        <v>0</v>
      </c>
      <c r="BO34" s="54"/>
      <c r="BP34" s="55">
        <v>0.1</v>
      </c>
      <c r="BQ34" s="55">
        <v>0</v>
      </c>
      <c r="BR34" s="55">
        <v>0</v>
      </c>
      <c r="BS34" s="55">
        <v>0</v>
      </c>
      <c r="BT34" s="55">
        <v>0</v>
      </c>
      <c r="BU34" s="55">
        <v>0</v>
      </c>
      <c r="BV34" s="55">
        <v>0</v>
      </c>
      <c r="BW34" s="55">
        <v>0</v>
      </c>
      <c r="BX34" s="55">
        <v>0</v>
      </c>
      <c r="BY34" s="55">
        <v>0</v>
      </c>
      <c r="BZ34" s="55">
        <v>0</v>
      </c>
      <c r="CA34" s="55">
        <v>0</v>
      </c>
      <c r="CB34" s="54"/>
      <c r="CC34" s="55">
        <v>0.1</v>
      </c>
      <c r="CD34" s="55">
        <v>0</v>
      </c>
      <c r="CE34" s="55">
        <v>0</v>
      </c>
      <c r="CF34" s="55">
        <v>0</v>
      </c>
      <c r="CG34" s="55">
        <v>0</v>
      </c>
      <c r="CH34" s="55">
        <v>0</v>
      </c>
      <c r="CI34" s="55">
        <v>0</v>
      </c>
      <c r="CJ34" s="55">
        <v>0</v>
      </c>
      <c r="CK34" s="55">
        <v>0</v>
      </c>
      <c r="CL34" s="55">
        <v>0</v>
      </c>
      <c r="CM34" s="55">
        <v>0</v>
      </c>
      <c r="CN34" s="55">
        <v>0</v>
      </c>
      <c r="CO34" s="54"/>
      <c r="CP34" s="55">
        <v>0.1</v>
      </c>
      <c r="CQ34" s="55">
        <v>0</v>
      </c>
      <c r="CR34" s="55">
        <v>0</v>
      </c>
      <c r="CS34" s="55">
        <v>0</v>
      </c>
      <c r="CT34" s="55">
        <v>0</v>
      </c>
      <c r="CU34" s="55">
        <v>0</v>
      </c>
      <c r="CV34" s="55">
        <v>0</v>
      </c>
      <c r="CW34" s="55">
        <v>0</v>
      </c>
      <c r="CX34" s="55">
        <v>0</v>
      </c>
      <c r="CY34" s="55">
        <v>0</v>
      </c>
      <c r="CZ34" s="55">
        <v>0</v>
      </c>
      <c r="DA34" s="55">
        <v>0</v>
      </c>
      <c r="DB34" s="54"/>
      <c r="DC34" s="55">
        <v>0.1</v>
      </c>
      <c r="DD34" s="55">
        <v>0</v>
      </c>
      <c r="DE34" s="55">
        <v>0</v>
      </c>
      <c r="DF34" s="55">
        <v>0</v>
      </c>
      <c r="DG34" s="55">
        <v>0</v>
      </c>
      <c r="DH34" s="55">
        <v>0</v>
      </c>
      <c r="DI34" s="55">
        <v>0</v>
      </c>
      <c r="DJ34" s="55">
        <v>0</v>
      </c>
      <c r="DK34" s="55">
        <v>0</v>
      </c>
      <c r="DL34" s="55">
        <v>0</v>
      </c>
      <c r="DM34" s="55">
        <v>0</v>
      </c>
      <c r="DN34" s="55">
        <v>0</v>
      </c>
      <c r="DO34" s="54"/>
    </row>
    <row r="35" spans="2:119" x14ac:dyDescent="0.35">
      <c r="B35" s="37" t="s">
        <v>137</v>
      </c>
      <c r="C35" s="17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4"/>
      <c r="O35" s="24"/>
      <c r="P35" s="17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4"/>
      <c r="AB35" s="24"/>
      <c r="AC35" s="17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4"/>
      <c r="AO35" s="24"/>
      <c r="AP35" s="17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4"/>
      <c r="BB35" s="24"/>
      <c r="BC35" s="17">
        <v>1000</v>
      </c>
      <c r="BD35" s="17">
        <v>1000</v>
      </c>
      <c r="BE35" s="17">
        <v>1000</v>
      </c>
      <c r="BF35" s="17">
        <v>1000</v>
      </c>
      <c r="BG35" s="17">
        <v>1000</v>
      </c>
      <c r="BH35" s="17">
        <v>1000</v>
      </c>
      <c r="BI35" s="17">
        <v>1000</v>
      </c>
      <c r="BJ35" s="17">
        <v>1000</v>
      </c>
      <c r="BK35" s="17">
        <v>1000</v>
      </c>
      <c r="BL35" s="17">
        <v>1000</v>
      </c>
      <c r="BM35" s="17">
        <v>1000</v>
      </c>
      <c r="BN35" s="17">
        <v>1000</v>
      </c>
      <c r="BO35" s="24"/>
      <c r="BP35" s="17">
        <v>1000</v>
      </c>
      <c r="BQ35" s="17">
        <v>1000</v>
      </c>
      <c r="BR35" s="17">
        <v>1000</v>
      </c>
      <c r="BS35" s="17">
        <v>1000</v>
      </c>
      <c r="BT35" s="17">
        <v>1000</v>
      </c>
      <c r="BU35" s="17">
        <v>1000</v>
      </c>
      <c r="BV35" s="17">
        <v>1000</v>
      </c>
      <c r="BW35" s="17">
        <v>1000</v>
      </c>
      <c r="BX35" s="17">
        <v>1000</v>
      </c>
      <c r="BY35" s="17">
        <v>1000</v>
      </c>
      <c r="BZ35" s="17">
        <v>1000</v>
      </c>
      <c r="CA35" s="17">
        <v>1000</v>
      </c>
      <c r="CB35" s="24"/>
      <c r="CC35" s="17">
        <v>1000</v>
      </c>
      <c r="CD35" s="17">
        <v>1000</v>
      </c>
      <c r="CE35" s="17">
        <v>1000</v>
      </c>
      <c r="CF35" s="17">
        <v>1000</v>
      </c>
      <c r="CG35" s="17">
        <v>1000</v>
      </c>
      <c r="CH35" s="17">
        <v>1000</v>
      </c>
      <c r="CI35" s="17">
        <v>1000</v>
      </c>
      <c r="CJ35" s="17">
        <v>1000</v>
      </c>
      <c r="CK35" s="17">
        <v>1000</v>
      </c>
      <c r="CL35" s="17">
        <v>1000</v>
      </c>
      <c r="CM35" s="17">
        <v>1000</v>
      </c>
      <c r="CN35" s="17">
        <v>1000</v>
      </c>
      <c r="CO35" s="24"/>
      <c r="CP35" s="17">
        <v>1000</v>
      </c>
      <c r="CQ35" s="17">
        <v>1000</v>
      </c>
      <c r="CR35" s="17">
        <v>1000</v>
      </c>
      <c r="CS35" s="17">
        <v>1000</v>
      </c>
      <c r="CT35" s="17">
        <v>1000</v>
      </c>
      <c r="CU35" s="17">
        <v>1000</v>
      </c>
      <c r="CV35" s="17">
        <v>1000</v>
      </c>
      <c r="CW35" s="17">
        <v>1000</v>
      </c>
      <c r="CX35" s="17">
        <v>1000</v>
      </c>
      <c r="CY35" s="17">
        <v>1000</v>
      </c>
      <c r="CZ35" s="17">
        <v>1000</v>
      </c>
      <c r="DA35" s="17">
        <v>1000</v>
      </c>
      <c r="DB35" s="24"/>
      <c r="DC35" s="17">
        <v>1500</v>
      </c>
      <c r="DD35" s="17">
        <v>1500</v>
      </c>
      <c r="DE35" s="17">
        <v>1500</v>
      </c>
      <c r="DF35" s="17">
        <v>1500</v>
      </c>
      <c r="DG35" s="17">
        <v>1500</v>
      </c>
      <c r="DH35" s="17">
        <v>1500</v>
      </c>
      <c r="DI35" s="17">
        <v>1500</v>
      </c>
      <c r="DJ35" s="17">
        <v>1500</v>
      </c>
      <c r="DK35" s="17">
        <v>1500</v>
      </c>
      <c r="DL35" s="17">
        <v>1500</v>
      </c>
      <c r="DM35" s="17">
        <v>1500</v>
      </c>
      <c r="DN35" s="17">
        <v>1500</v>
      </c>
      <c r="DO35" s="24"/>
    </row>
    <row r="36" spans="2:119" x14ac:dyDescent="0.35">
      <c r="B36" s="38" t="s">
        <v>143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7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7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7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7"/>
      <c r="BC36" s="25">
        <f>Personnel_Cost!$B$20/12</f>
        <v>51000</v>
      </c>
      <c r="BD36" s="25">
        <f>Personnel_Cost!$B$20/12</f>
        <v>51000</v>
      </c>
      <c r="BE36" s="25">
        <f>Personnel_Cost!$B$20/12</f>
        <v>51000</v>
      </c>
      <c r="BF36" s="25">
        <f>Personnel_Cost!$B$20/12</f>
        <v>51000</v>
      </c>
      <c r="BG36" s="25">
        <f>Personnel_Cost!$B$20/12</f>
        <v>51000</v>
      </c>
      <c r="BH36" s="25">
        <f>Personnel_Cost!$B$20/12</f>
        <v>51000</v>
      </c>
      <c r="BI36" s="25">
        <f>Personnel_Cost!$B$20/12</f>
        <v>51000</v>
      </c>
      <c r="BJ36" s="25">
        <f>Personnel_Cost!$B$20/12</f>
        <v>51000</v>
      </c>
      <c r="BK36" s="25">
        <f>Personnel_Cost!$B$20/12</f>
        <v>51000</v>
      </c>
      <c r="BL36" s="25">
        <f>Personnel_Cost!$B$20/12</f>
        <v>51000</v>
      </c>
      <c r="BM36" s="25">
        <f>Personnel_Cost!$B$20/12</f>
        <v>51000</v>
      </c>
      <c r="BN36" s="25">
        <f>Personnel_Cost!$B$20/12</f>
        <v>51000</v>
      </c>
      <c r="BO36" s="27"/>
      <c r="BP36" s="25">
        <f>Personnel_Cost!$C$20/12</f>
        <v>69000</v>
      </c>
      <c r="BQ36" s="25">
        <f>Personnel_Cost!$C$20/12</f>
        <v>69000</v>
      </c>
      <c r="BR36" s="25">
        <f>Personnel_Cost!$C$20/12</f>
        <v>69000</v>
      </c>
      <c r="BS36" s="25">
        <f>Personnel_Cost!$C$20/12</f>
        <v>69000</v>
      </c>
      <c r="BT36" s="25">
        <f>Personnel_Cost!$C$20/12</f>
        <v>69000</v>
      </c>
      <c r="BU36" s="25">
        <f>Personnel_Cost!$C$20/12</f>
        <v>69000</v>
      </c>
      <c r="BV36" s="25">
        <f>Personnel_Cost!$C$20/12</f>
        <v>69000</v>
      </c>
      <c r="BW36" s="25">
        <f>Personnel_Cost!$C$20/12</f>
        <v>69000</v>
      </c>
      <c r="BX36" s="25">
        <f>Personnel_Cost!$C$20/12</f>
        <v>69000</v>
      </c>
      <c r="BY36" s="25">
        <f>Personnel_Cost!$C$20/12</f>
        <v>69000</v>
      </c>
      <c r="BZ36" s="25">
        <f>Personnel_Cost!$C$20/12</f>
        <v>69000</v>
      </c>
      <c r="CA36" s="25">
        <f>Personnel_Cost!$C$20/12</f>
        <v>69000</v>
      </c>
      <c r="CB36" s="27"/>
      <c r="CC36" s="25">
        <f>Personnel_Cost!$D$20/12</f>
        <v>73000</v>
      </c>
      <c r="CD36" s="25">
        <f>Personnel_Cost!$D$20/12</f>
        <v>73000</v>
      </c>
      <c r="CE36" s="25">
        <f>Personnel_Cost!$D$20/12</f>
        <v>73000</v>
      </c>
      <c r="CF36" s="25">
        <f>Personnel_Cost!$D$20/12</f>
        <v>73000</v>
      </c>
      <c r="CG36" s="25">
        <f>Personnel_Cost!$D$20/12</f>
        <v>73000</v>
      </c>
      <c r="CH36" s="25">
        <f>Personnel_Cost!$D$20/12</f>
        <v>73000</v>
      </c>
      <c r="CI36" s="25">
        <f>Personnel_Cost!$D$20/12</f>
        <v>73000</v>
      </c>
      <c r="CJ36" s="25">
        <f>Personnel_Cost!$D$20/12</f>
        <v>73000</v>
      </c>
      <c r="CK36" s="25">
        <f>Personnel_Cost!$D$20/12</f>
        <v>73000</v>
      </c>
      <c r="CL36" s="25">
        <f>Personnel_Cost!$D$20/12</f>
        <v>73000</v>
      </c>
      <c r="CM36" s="25">
        <f>Personnel_Cost!$D$20/12</f>
        <v>73000</v>
      </c>
      <c r="CN36" s="25">
        <f>Personnel_Cost!$D$20/12</f>
        <v>73000</v>
      </c>
      <c r="CO36" s="27"/>
      <c r="CP36" s="25">
        <f>Personnel_Cost!$E$20/12</f>
        <v>73000</v>
      </c>
      <c r="CQ36" s="25">
        <f>Personnel_Cost!$E$20/12</f>
        <v>73000</v>
      </c>
      <c r="CR36" s="25">
        <f>Personnel_Cost!$E$20/12</f>
        <v>73000</v>
      </c>
      <c r="CS36" s="25">
        <f>Personnel_Cost!$E$20/12</f>
        <v>73000</v>
      </c>
      <c r="CT36" s="25">
        <f>Personnel_Cost!$E$20/12</f>
        <v>73000</v>
      </c>
      <c r="CU36" s="25">
        <f>Personnel_Cost!$E$20/12</f>
        <v>73000</v>
      </c>
      <c r="CV36" s="25">
        <f>Personnel_Cost!$E$20/12</f>
        <v>73000</v>
      </c>
      <c r="CW36" s="25">
        <f>Personnel_Cost!$E$20/12</f>
        <v>73000</v>
      </c>
      <c r="CX36" s="25">
        <f>Personnel_Cost!$E$20/12</f>
        <v>73000</v>
      </c>
      <c r="CY36" s="25">
        <f>Personnel_Cost!$E$20/12</f>
        <v>73000</v>
      </c>
      <c r="CZ36" s="25">
        <f>Personnel_Cost!$E$20/12</f>
        <v>73000</v>
      </c>
      <c r="DA36" s="25">
        <f>Personnel_Cost!$E$20/12</f>
        <v>73000</v>
      </c>
      <c r="DB36" s="27"/>
      <c r="DC36" s="25">
        <f>Personnel_Cost!$E$20/12</f>
        <v>73000</v>
      </c>
      <c r="DD36" s="25">
        <f>Personnel_Cost!$E$20/12</f>
        <v>73000</v>
      </c>
      <c r="DE36" s="25">
        <f>Personnel_Cost!$E$20/12</f>
        <v>73000</v>
      </c>
      <c r="DF36" s="25">
        <f>Personnel_Cost!$E$20/12</f>
        <v>73000</v>
      </c>
      <c r="DG36" s="25">
        <f>Personnel_Cost!$E$20/12</f>
        <v>73000</v>
      </c>
      <c r="DH36" s="25">
        <f>Personnel_Cost!$E$20/12</f>
        <v>73000</v>
      </c>
      <c r="DI36" s="25">
        <f>Personnel_Cost!$E$20/12</f>
        <v>73000</v>
      </c>
      <c r="DJ36" s="25">
        <f>Personnel_Cost!$E$20/12</f>
        <v>73000</v>
      </c>
      <c r="DK36" s="25">
        <f>Personnel_Cost!$E$20/12</f>
        <v>73000</v>
      </c>
      <c r="DL36" s="25">
        <f>Personnel_Cost!$E$20/12</f>
        <v>73000</v>
      </c>
      <c r="DM36" s="25">
        <f>Personnel_Cost!$E$20/12</f>
        <v>73000</v>
      </c>
      <c r="DN36" s="25">
        <f>Personnel_Cost!$E$20/12</f>
        <v>73000</v>
      </c>
      <c r="DO36" s="27"/>
    </row>
    <row r="37" spans="2:119" x14ac:dyDescent="0.35">
      <c r="BP37" s="17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4"/>
      <c r="CB37" s="24"/>
      <c r="CC37" s="17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4"/>
      <c r="CO37" s="24"/>
      <c r="CP37" s="17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4"/>
      <c r="DB37" s="24"/>
      <c r="DC37" s="17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4"/>
      <c r="DO37" s="24"/>
    </row>
    <row r="38" spans="2:119" x14ac:dyDescent="0.35">
      <c r="B38" s="25" t="s">
        <v>122</v>
      </c>
      <c r="C38" s="17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/>
      <c r="O38" s="24"/>
      <c r="P38" s="17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4"/>
      <c r="AB38" s="24"/>
      <c r="AC38" s="17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4"/>
      <c r="AO38" s="24"/>
      <c r="AP38" s="17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4"/>
      <c r="BB38" s="24"/>
      <c r="BC38" s="28">
        <f t="shared" ref="BC38:BN38" si="135">BC31+BC32+BC33+BC35+BC36</f>
        <v>58000</v>
      </c>
      <c r="BD38" s="28">
        <f t="shared" si="135"/>
        <v>58000</v>
      </c>
      <c r="BE38" s="28">
        <f t="shared" si="135"/>
        <v>58000</v>
      </c>
      <c r="BF38" s="28">
        <f t="shared" si="135"/>
        <v>58000</v>
      </c>
      <c r="BG38" s="28">
        <f t="shared" si="135"/>
        <v>58000</v>
      </c>
      <c r="BH38" s="28">
        <f t="shared" si="135"/>
        <v>58000</v>
      </c>
      <c r="BI38" s="28">
        <f t="shared" si="135"/>
        <v>58000</v>
      </c>
      <c r="BJ38" s="28">
        <f t="shared" si="135"/>
        <v>58000</v>
      </c>
      <c r="BK38" s="28">
        <f t="shared" si="135"/>
        <v>58000</v>
      </c>
      <c r="BL38" s="28">
        <f t="shared" si="135"/>
        <v>58000</v>
      </c>
      <c r="BM38" s="28">
        <f t="shared" si="135"/>
        <v>58000</v>
      </c>
      <c r="BN38" s="28">
        <f t="shared" si="135"/>
        <v>58000</v>
      </c>
      <c r="BO38" s="30">
        <f>SUM(BC38:BN38)</f>
        <v>696000</v>
      </c>
      <c r="BP38" s="28">
        <f t="shared" ref="BP38:CA38" si="136">BP31+BP32+BP33+BP35+BP36</f>
        <v>76500</v>
      </c>
      <c r="BQ38" s="28">
        <f t="shared" si="136"/>
        <v>76500</v>
      </c>
      <c r="BR38" s="28">
        <f t="shared" si="136"/>
        <v>76500</v>
      </c>
      <c r="BS38" s="28">
        <f t="shared" si="136"/>
        <v>76500</v>
      </c>
      <c r="BT38" s="28">
        <f t="shared" si="136"/>
        <v>76500</v>
      </c>
      <c r="BU38" s="28">
        <f t="shared" si="136"/>
        <v>76500</v>
      </c>
      <c r="BV38" s="28">
        <f t="shared" si="136"/>
        <v>76500</v>
      </c>
      <c r="BW38" s="28">
        <f t="shared" si="136"/>
        <v>76500</v>
      </c>
      <c r="BX38" s="28">
        <f t="shared" si="136"/>
        <v>76500</v>
      </c>
      <c r="BY38" s="28">
        <f t="shared" si="136"/>
        <v>76500</v>
      </c>
      <c r="BZ38" s="28">
        <f t="shared" si="136"/>
        <v>76500</v>
      </c>
      <c r="CA38" s="28">
        <f t="shared" si="136"/>
        <v>76500</v>
      </c>
      <c r="CB38" s="30">
        <f>SUM(BP38:CA38)</f>
        <v>918000</v>
      </c>
      <c r="CC38" s="28">
        <f t="shared" ref="CC38:CN38" si="137">CC31+CC32+CC33+CC35+CC36</f>
        <v>81050</v>
      </c>
      <c r="CD38" s="28">
        <f t="shared" si="137"/>
        <v>81050</v>
      </c>
      <c r="CE38" s="28">
        <f t="shared" si="137"/>
        <v>81050</v>
      </c>
      <c r="CF38" s="28">
        <f t="shared" si="137"/>
        <v>81050</v>
      </c>
      <c r="CG38" s="28">
        <f t="shared" si="137"/>
        <v>81050</v>
      </c>
      <c r="CH38" s="28">
        <f t="shared" si="137"/>
        <v>81050</v>
      </c>
      <c r="CI38" s="28">
        <f t="shared" si="137"/>
        <v>81050</v>
      </c>
      <c r="CJ38" s="28">
        <f t="shared" si="137"/>
        <v>81050</v>
      </c>
      <c r="CK38" s="28">
        <f t="shared" si="137"/>
        <v>81050</v>
      </c>
      <c r="CL38" s="28">
        <f t="shared" si="137"/>
        <v>81050</v>
      </c>
      <c r="CM38" s="28">
        <f t="shared" si="137"/>
        <v>81050</v>
      </c>
      <c r="CN38" s="28">
        <f t="shared" si="137"/>
        <v>81050</v>
      </c>
      <c r="CO38" s="30">
        <f>SUM(CC38:CN38)</f>
        <v>972600</v>
      </c>
      <c r="CP38" s="28">
        <f>CP31+CP32+CP33+CP35+CP36</f>
        <v>81655</v>
      </c>
      <c r="CQ38" s="28">
        <f t="shared" ref="CQ38:DA38" si="138">CQ31+CQ32+CQ33+CQ35+CQ36</f>
        <v>81655</v>
      </c>
      <c r="CR38" s="28">
        <f t="shared" si="138"/>
        <v>81655</v>
      </c>
      <c r="CS38" s="28">
        <f t="shared" si="138"/>
        <v>81655</v>
      </c>
      <c r="CT38" s="28">
        <f t="shared" si="138"/>
        <v>81655</v>
      </c>
      <c r="CU38" s="28">
        <f t="shared" si="138"/>
        <v>81655</v>
      </c>
      <c r="CV38" s="28">
        <f t="shared" si="138"/>
        <v>81655</v>
      </c>
      <c r="CW38" s="28">
        <f t="shared" si="138"/>
        <v>81655</v>
      </c>
      <c r="CX38" s="28">
        <f t="shared" si="138"/>
        <v>81655</v>
      </c>
      <c r="CY38" s="28">
        <f t="shared" si="138"/>
        <v>81655</v>
      </c>
      <c r="CZ38" s="28">
        <f t="shared" si="138"/>
        <v>81655</v>
      </c>
      <c r="DA38" s="28">
        <f t="shared" si="138"/>
        <v>81655</v>
      </c>
      <c r="DB38" s="29">
        <f>SUM(CP38:DA38)</f>
        <v>979860</v>
      </c>
      <c r="DC38" s="28">
        <f>DC31+DC32+DC33+DC35+DC36</f>
        <v>82820.5</v>
      </c>
      <c r="DD38" s="28">
        <f t="shared" ref="DD38:DN38" si="139">DD31+DD32+DD33+DD35+DD36</f>
        <v>82820.5</v>
      </c>
      <c r="DE38" s="28">
        <f t="shared" si="139"/>
        <v>82820.5</v>
      </c>
      <c r="DF38" s="28">
        <f t="shared" si="139"/>
        <v>82820.5</v>
      </c>
      <c r="DG38" s="28">
        <f t="shared" si="139"/>
        <v>82820.5</v>
      </c>
      <c r="DH38" s="28">
        <f t="shared" si="139"/>
        <v>82820.5</v>
      </c>
      <c r="DI38" s="28">
        <f t="shared" si="139"/>
        <v>82820.5</v>
      </c>
      <c r="DJ38" s="28">
        <f t="shared" si="139"/>
        <v>82820.5</v>
      </c>
      <c r="DK38" s="28">
        <f t="shared" si="139"/>
        <v>82820.5</v>
      </c>
      <c r="DL38" s="28">
        <f t="shared" si="139"/>
        <v>82820.5</v>
      </c>
      <c r="DM38" s="28">
        <f t="shared" si="139"/>
        <v>82820.5</v>
      </c>
      <c r="DN38" s="28">
        <f t="shared" si="139"/>
        <v>82820.5</v>
      </c>
      <c r="DO38" s="29">
        <f>SUM(DC38:DN38)</f>
        <v>993846</v>
      </c>
    </row>
    <row r="39" spans="2:119" ht="15" thickBot="1" x14ac:dyDescent="0.4">
      <c r="B39" s="31"/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  <c r="O39" s="33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3"/>
      <c r="AD39" s="34"/>
      <c r="AE39" s="31"/>
      <c r="AF39" s="32"/>
      <c r="AG39" s="32"/>
      <c r="AH39" s="32"/>
      <c r="AI39" s="32"/>
      <c r="AJ39" s="32"/>
      <c r="AK39" s="32"/>
      <c r="AL39" s="32"/>
      <c r="AM39" s="32"/>
      <c r="AN39" s="32"/>
      <c r="AO39" s="34"/>
      <c r="AP39" s="32"/>
      <c r="AQ39" s="33"/>
      <c r="AS39" s="31"/>
      <c r="AT39" s="32"/>
      <c r="AU39" s="32"/>
      <c r="AV39" s="32"/>
      <c r="AW39" s="32"/>
      <c r="AX39" s="32"/>
      <c r="AY39" s="32"/>
      <c r="AZ39" s="32"/>
      <c r="BA39" s="32"/>
      <c r="BB39" s="32"/>
      <c r="BC39" s="31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3"/>
      <c r="BO39" s="33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3"/>
      <c r="CD39" s="34"/>
      <c r="CE39" s="31"/>
      <c r="CF39" s="32"/>
      <c r="CG39" s="32"/>
      <c r="CH39" s="32"/>
      <c r="CI39" s="32"/>
      <c r="CJ39" s="32"/>
      <c r="CK39" s="32"/>
      <c r="CL39" s="32"/>
      <c r="CM39" s="32"/>
      <c r="CN39" s="32"/>
      <c r="CO39" s="34"/>
      <c r="CP39" s="32"/>
      <c r="CQ39" s="33"/>
      <c r="CS39" s="31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3"/>
      <c r="DF39" s="31"/>
      <c r="DG39" s="32"/>
      <c r="DH39" s="32"/>
      <c r="DI39" s="32"/>
      <c r="DJ39" s="32"/>
      <c r="DK39" s="32"/>
      <c r="DL39" s="32"/>
      <c r="DM39" s="32"/>
      <c r="DN39" s="32"/>
      <c r="DO39" s="32"/>
    </row>
    <row r="41" spans="2:119" x14ac:dyDescent="0.35">
      <c r="B41" s="11" t="s">
        <v>138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</row>
    <row r="42" spans="2:119" x14ac:dyDescent="0.35">
      <c r="B42" s="37" t="s">
        <v>141</v>
      </c>
      <c r="C42" s="17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/>
      <c r="O42" s="19"/>
      <c r="P42" s="17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  <c r="AB42" s="19"/>
      <c r="AC42" s="17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  <c r="AO42" s="19"/>
      <c r="AP42" s="17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9"/>
      <c r="BB42" s="19"/>
      <c r="BC42" s="17">
        <f>Development_Costs!$C$15/3</f>
        <v>50000</v>
      </c>
      <c r="BD42" s="17">
        <f>Development_Costs!$C$15/3</f>
        <v>50000</v>
      </c>
      <c r="BE42" s="17">
        <f>Development_Costs!$C$15/3</f>
        <v>50000</v>
      </c>
      <c r="BF42" s="17">
        <f>Development_Costs!$D$15/3</f>
        <v>133333.33333333334</v>
      </c>
      <c r="BG42" s="17">
        <f>Development_Costs!$D$15/3</f>
        <v>133333.33333333334</v>
      </c>
      <c r="BH42" s="18">
        <f>Development_Costs!$E$15/3</f>
        <v>101666.66666666667</v>
      </c>
      <c r="BI42" s="18">
        <f>Development_Costs!$E$15/3</f>
        <v>101666.66666666667</v>
      </c>
      <c r="BJ42" s="18">
        <f>Development_Costs!$E$15/3</f>
        <v>101666.66666666667</v>
      </c>
      <c r="BK42" s="18">
        <f>Development_Costs!$E$15/3</f>
        <v>101666.66666666667</v>
      </c>
      <c r="BL42" s="18">
        <f>Development_Costs!$F$15/3</f>
        <v>101666.66666666667</v>
      </c>
      <c r="BM42" s="18">
        <f>Development_Costs!$F$15/3</f>
        <v>101666.66666666667</v>
      </c>
      <c r="BN42" s="18">
        <f>Development_Costs!$F$15/3</f>
        <v>101666.66666666667</v>
      </c>
      <c r="BO42" s="19"/>
      <c r="BP42" s="17">
        <f>Development_Costs!$G$15/3</f>
        <v>32333.333333333332</v>
      </c>
      <c r="BQ42" s="17">
        <f>Development_Costs!$G$15/3</f>
        <v>32333.333333333332</v>
      </c>
      <c r="BR42" s="17">
        <f>Development_Costs!$G$15/3</f>
        <v>32333.333333333332</v>
      </c>
      <c r="BS42" s="17">
        <f>Development_Costs!$H$15/3</f>
        <v>32333.333333333332</v>
      </c>
      <c r="BT42" s="17">
        <f>Development_Costs!$H$15/3</f>
        <v>32333.333333333332</v>
      </c>
      <c r="BU42" s="17">
        <f>Development_Costs!$H$15/3</f>
        <v>32333.333333333332</v>
      </c>
      <c r="BV42" s="17">
        <f>Development_Costs!$I$15/3</f>
        <v>31666.666666666668</v>
      </c>
      <c r="BW42" s="17">
        <f>Development_Costs!$I$15/3</f>
        <v>31666.666666666668</v>
      </c>
      <c r="BX42" s="17">
        <f>Development_Costs!$I$15/3</f>
        <v>31666.666666666668</v>
      </c>
      <c r="BY42" s="17">
        <f>Development_Costs!$J$15/3</f>
        <v>31666.666666666668</v>
      </c>
      <c r="BZ42" s="17">
        <f>Development_Costs!$J$15/3</f>
        <v>31666.666666666668</v>
      </c>
      <c r="CA42" s="17">
        <f>Development_Costs!$J$15/3</f>
        <v>31666.666666666668</v>
      </c>
      <c r="CB42" s="19"/>
      <c r="CC42" s="17">
        <f>Development_Costs!$K$15/3</f>
        <v>31666.666666666668</v>
      </c>
      <c r="CD42" s="17">
        <f>Development_Costs!$K$15/3</f>
        <v>31666.666666666668</v>
      </c>
      <c r="CE42" s="17">
        <f>Development_Costs!$K$15/3</f>
        <v>31666.666666666668</v>
      </c>
      <c r="CF42" s="17">
        <f>Development_Costs!$L$15/3</f>
        <v>15000</v>
      </c>
      <c r="CG42" s="17">
        <f>Development_Costs!$L$15/3</f>
        <v>15000</v>
      </c>
      <c r="CH42" s="17">
        <f>Development_Costs!$L$15/3</f>
        <v>15000</v>
      </c>
      <c r="CI42" s="17">
        <f>Development_Costs!$M$15/3</f>
        <v>68333.333333333328</v>
      </c>
      <c r="CJ42" s="17">
        <f>Development_Costs!$M$15/3</f>
        <v>68333.333333333328</v>
      </c>
      <c r="CK42" s="17">
        <f>Development_Costs!$M$15/3</f>
        <v>68333.333333333328</v>
      </c>
      <c r="CL42" s="17">
        <f>Development_Costs!$N$15/3</f>
        <v>68333.333333333328</v>
      </c>
      <c r="CM42" s="17">
        <f>Development_Costs!$N$15/3</f>
        <v>68333.333333333328</v>
      </c>
      <c r="CN42" s="17">
        <f>Development_Costs!$N$15/3</f>
        <v>68333.333333333328</v>
      </c>
      <c r="CO42" s="19"/>
      <c r="CP42" s="17">
        <f>Development_Costs!$O$15/3</f>
        <v>16666.666666666668</v>
      </c>
      <c r="CQ42" s="17">
        <f>Development_Costs!$O$15/3</f>
        <v>16666.666666666668</v>
      </c>
      <c r="CR42" s="17">
        <f>Development_Costs!$O$15/3</f>
        <v>16666.666666666668</v>
      </c>
      <c r="CS42" s="17">
        <f>Development_Costs!$P$15/3</f>
        <v>20000</v>
      </c>
      <c r="CT42" s="17">
        <f>Development_Costs!$P$15/3</f>
        <v>20000</v>
      </c>
      <c r="CU42" s="17">
        <f>Development_Costs!$P$15/3</f>
        <v>20000</v>
      </c>
      <c r="CV42" s="17">
        <f>Development_Costs!$Q$15/3</f>
        <v>30000</v>
      </c>
      <c r="CW42" s="17">
        <f>Development_Costs!$Q$15/3</f>
        <v>30000</v>
      </c>
      <c r="CX42" s="17">
        <f>Development_Costs!$Q$15/3</f>
        <v>30000</v>
      </c>
      <c r="CY42" s="17">
        <f>Development_Costs!$R$15/3</f>
        <v>30000</v>
      </c>
      <c r="CZ42" s="17">
        <f>Development_Costs!$R$15/3</f>
        <v>30000</v>
      </c>
      <c r="DA42" s="17">
        <f>Development_Costs!$R$15/3</f>
        <v>30000</v>
      </c>
      <c r="DB42" s="19"/>
      <c r="DC42" s="17">
        <f>Development_Costs!$R$15/3</f>
        <v>30000</v>
      </c>
      <c r="DD42" s="17">
        <f>Development_Costs!$R$15/3</f>
        <v>30000</v>
      </c>
      <c r="DE42" s="17">
        <f>Development_Costs!$R$15/3</f>
        <v>30000</v>
      </c>
      <c r="DF42" s="17">
        <f>Development_Costs!$R$15/3</f>
        <v>30000</v>
      </c>
      <c r="DG42" s="17">
        <f>Development_Costs!$R$15/3</f>
        <v>30000</v>
      </c>
      <c r="DH42" s="17">
        <f>Development_Costs!$R$15/3</f>
        <v>30000</v>
      </c>
      <c r="DI42" s="17">
        <f>Development_Costs!$R$15/3</f>
        <v>30000</v>
      </c>
      <c r="DJ42" s="17">
        <f>Development_Costs!$R$15/3</f>
        <v>30000</v>
      </c>
      <c r="DK42" s="17">
        <f>Development_Costs!$R$15/3</f>
        <v>30000</v>
      </c>
      <c r="DL42" s="17">
        <f>Development_Costs!$R$15/3</f>
        <v>30000</v>
      </c>
      <c r="DM42" s="17">
        <f>Development_Costs!$R$15/3</f>
        <v>30000</v>
      </c>
      <c r="DN42" s="17">
        <f>Development_Costs!$R$15/3</f>
        <v>30000</v>
      </c>
      <c r="DO42" s="19"/>
    </row>
    <row r="43" spans="2:119" ht="29" x14ac:dyDescent="0.35">
      <c r="B43" s="37" t="s">
        <v>142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19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19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19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19"/>
      <c r="BC43" s="35">
        <f>Personnel_Cost!$B$19/12</f>
        <v>39000</v>
      </c>
      <c r="BD43" s="35">
        <f>Personnel_Cost!$B$19/12</f>
        <v>39000</v>
      </c>
      <c r="BE43" s="35">
        <f>Personnel_Cost!$B$19/12</f>
        <v>39000</v>
      </c>
      <c r="BF43" s="35">
        <f>Personnel_Cost!$B$19/12</f>
        <v>39000</v>
      </c>
      <c r="BG43" s="35">
        <f>Personnel_Cost!$B$19/12</f>
        <v>39000</v>
      </c>
      <c r="BH43" s="35">
        <f>Personnel_Cost!$B$19/12</f>
        <v>39000</v>
      </c>
      <c r="BI43" s="35">
        <f>Personnel_Cost!$B$19/12</f>
        <v>39000</v>
      </c>
      <c r="BJ43" s="35">
        <f>Personnel_Cost!$B$19/12</f>
        <v>39000</v>
      </c>
      <c r="BK43" s="35">
        <f>Personnel_Cost!$B$19/12</f>
        <v>39000</v>
      </c>
      <c r="BL43" s="35">
        <f>Personnel_Cost!$B$19/12</f>
        <v>39000</v>
      </c>
      <c r="BM43" s="35">
        <f>Personnel_Cost!$B$19/12</f>
        <v>39000</v>
      </c>
      <c r="BN43" s="35">
        <f>Personnel_Cost!$B$19/12</f>
        <v>39000</v>
      </c>
      <c r="BO43" s="19"/>
      <c r="BP43" s="35">
        <f>Personnel_Cost!$C$19/12</f>
        <v>39000</v>
      </c>
      <c r="BQ43" s="35">
        <f>Personnel_Cost!$C$19/12</f>
        <v>39000</v>
      </c>
      <c r="BR43" s="35">
        <f>Personnel_Cost!$C$19/12</f>
        <v>39000</v>
      </c>
      <c r="BS43" s="35">
        <f>Personnel_Cost!$C$19/12</f>
        <v>39000</v>
      </c>
      <c r="BT43" s="35">
        <f>Personnel_Cost!$C$19/12</f>
        <v>39000</v>
      </c>
      <c r="BU43" s="35">
        <f>Personnel_Cost!$C$19/12</f>
        <v>39000</v>
      </c>
      <c r="BV43" s="35">
        <f>Personnel_Cost!$C$19/12</f>
        <v>39000</v>
      </c>
      <c r="BW43" s="35">
        <f>Personnel_Cost!$C$19/12</f>
        <v>39000</v>
      </c>
      <c r="BX43" s="35">
        <f>Personnel_Cost!$C$19/12</f>
        <v>39000</v>
      </c>
      <c r="BY43" s="35">
        <f>Personnel_Cost!$C$19/12</f>
        <v>39000</v>
      </c>
      <c r="BZ43" s="35">
        <f>Personnel_Cost!$C$19/12</f>
        <v>39000</v>
      </c>
      <c r="CA43" s="35">
        <f>Personnel_Cost!$C$19/12</f>
        <v>39000</v>
      </c>
      <c r="CB43" s="19"/>
      <c r="CC43" s="35">
        <f>Personnel_Cost!$D$19/12</f>
        <v>39000</v>
      </c>
      <c r="CD43" s="35">
        <f>Personnel_Cost!$D$19/12</f>
        <v>39000</v>
      </c>
      <c r="CE43" s="35">
        <f>Personnel_Cost!$D$19/12</f>
        <v>39000</v>
      </c>
      <c r="CF43" s="35">
        <f>Personnel_Cost!$D$19/12</f>
        <v>39000</v>
      </c>
      <c r="CG43" s="35">
        <f>Personnel_Cost!$D$19/12</f>
        <v>39000</v>
      </c>
      <c r="CH43" s="35">
        <f>Personnel_Cost!$D$19/12</f>
        <v>39000</v>
      </c>
      <c r="CI43" s="35">
        <f>Personnel_Cost!$D$19/12</f>
        <v>39000</v>
      </c>
      <c r="CJ43" s="35">
        <f>Personnel_Cost!$D$19/12</f>
        <v>39000</v>
      </c>
      <c r="CK43" s="35">
        <f>Personnel_Cost!$D$19/12</f>
        <v>39000</v>
      </c>
      <c r="CL43" s="35">
        <f>Personnel_Cost!$D$19/12</f>
        <v>39000</v>
      </c>
      <c r="CM43" s="35">
        <f>Personnel_Cost!$D$19/12</f>
        <v>39000</v>
      </c>
      <c r="CN43" s="35">
        <f>Personnel_Cost!$D$19/12</f>
        <v>39000</v>
      </c>
      <c r="CO43" s="19"/>
      <c r="CP43" s="35">
        <f>Personnel_Cost!$E$19/12</f>
        <v>39000</v>
      </c>
      <c r="CQ43" s="35">
        <f>Personnel_Cost!$E$19/12</f>
        <v>39000</v>
      </c>
      <c r="CR43" s="35">
        <f>Personnel_Cost!$E$19/12</f>
        <v>39000</v>
      </c>
      <c r="CS43" s="35">
        <f>Personnel_Cost!$E$19/12</f>
        <v>39000</v>
      </c>
      <c r="CT43" s="35">
        <f>Personnel_Cost!$E$19/12</f>
        <v>39000</v>
      </c>
      <c r="CU43" s="35">
        <f>Personnel_Cost!$E$19/12</f>
        <v>39000</v>
      </c>
      <c r="CV43" s="35">
        <f>Personnel_Cost!$E$19/12</f>
        <v>39000</v>
      </c>
      <c r="CW43" s="35">
        <f>Personnel_Cost!$E$19/12</f>
        <v>39000</v>
      </c>
      <c r="CX43" s="35">
        <f>Personnel_Cost!$E$19/12</f>
        <v>39000</v>
      </c>
      <c r="CY43" s="35">
        <f>Personnel_Cost!$E$19/12</f>
        <v>39000</v>
      </c>
      <c r="CZ43" s="35">
        <f>Personnel_Cost!$E$19/12</f>
        <v>39000</v>
      </c>
      <c r="DA43" s="35">
        <f>Personnel_Cost!$E$19/12</f>
        <v>39000</v>
      </c>
      <c r="DB43" s="19"/>
      <c r="DC43" s="35">
        <f>Personnel_Cost!$E$19/12</f>
        <v>39000</v>
      </c>
      <c r="DD43" s="35">
        <f>Personnel_Cost!$E$19/12</f>
        <v>39000</v>
      </c>
      <c r="DE43" s="35">
        <f>Personnel_Cost!$E$19/12</f>
        <v>39000</v>
      </c>
      <c r="DF43" s="35">
        <f>Personnel_Cost!$E$19/12</f>
        <v>39000</v>
      </c>
      <c r="DG43" s="35">
        <f>Personnel_Cost!$E$19/12</f>
        <v>39000</v>
      </c>
      <c r="DH43" s="35">
        <f>Personnel_Cost!$E$19/12</f>
        <v>39000</v>
      </c>
      <c r="DI43" s="35">
        <f>Personnel_Cost!$E$19/12</f>
        <v>39000</v>
      </c>
      <c r="DJ43" s="35">
        <f>Personnel_Cost!$E$19/12</f>
        <v>39000</v>
      </c>
      <c r="DK43" s="35">
        <f>Personnel_Cost!$E$19/12</f>
        <v>39000</v>
      </c>
      <c r="DL43" s="35">
        <f>Personnel_Cost!$E$19/12</f>
        <v>39000</v>
      </c>
      <c r="DM43" s="35">
        <f>Personnel_Cost!$E$19/12</f>
        <v>39000</v>
      </c>
      <c r="DN43" s="35">
        <f>Personnel_Cost!$E$19/12</f>
        <v>39000</v>
      </c>
      <c r="DO43" s="19"/>
    </row>
    <row r="44" spans="2:119" x14ac:dyDescent="0.35">
      <c r="B44" s="37" t="s">
        <v>139</v>
      </c>
      <c r="C44" s="1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/>
      <c r="O44" s="22"/>
      <c r="P44" s="17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2"/>
      <c r="AB44" s="22"/>
      <c r="AC44" s="17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2"/>
      <c r="AO44" s="22"/>
      <c r="AP44" s="17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2"/>
      <c r="BB44" s="22"/>
      <c r="BC44" s="17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2"/>
      <c r="BO44" s="22"/>
      <c r="BP44" s="17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2"/>
      <c r="CB44" s="22"/>
      <c r="CC44" s="17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2"/>
      <c r="CO44" s="22"/>
      <c r="CP44" s="17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2"/>
      <c r="DB44" s="22"/>
      <c r="DC44" s="17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2"/>
      <c r="DO44" s="22"/>
    </row>
    <row r="45" spans="2:119" x14ac:dyDescent="0.35">
      <c r="B45" s="38"/>
      <c r="C45" s="17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4"/>
      <c r="O45" s="24"/>
      <c r="P45" s="17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4"/>
      <c r="AB45" s="24"/>
      <c r="AC45" s="17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4"/>
      <c r="AO45" s="24"/>
      <c r="AP45" s="17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4"/>
      <c r="BB45" s="24"/>
      <c r="BC45" s="17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4"/>
      <c r="BO45" s="24"/>
      <c r="BP45" s="17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4"/>
      <c r="CB45" s="24"/>
      <c r="CC45" s="17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4"/>
      <c r="CO45" s="24"/>
      <c r="CP45" s="17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4"/>
      <c r="DB45" s="24"/>
      <c r="DC45" s="17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4"/>
      <c r="DO45" s="24"/>
    </row>
    <row r="46" spans="2:119" x14ac:dyDescent="0.35">
      <c r="B46" s="25" t="s">
        <v>140</v>
      </c>
      <c r="C46" s="28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0"/>
      <c r="O46" s="30"/>
      <c r="P46" s="28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30"/>
      <c r="AB46" s="30"/>
      <c r="AC46" s="28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30"/>
      <c r="AO46" s="30"/>
      <c r="AP46" s="28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30"/>
      <c r="BB46" s="30"/>
      <c r="BC46" s="28">
        <f>BC42+BC43</f>
        <v>89000</v>
      </c>
      <c r="BD46" s="28">
        <f t="shared" ref="BD46:CA46" si="140">BD42+BD43</f>
        <v>89000</v>
      </c>
      <c r="BE46" s="28">
        <f t="shared" si="140"/>
        <v>89000</v>
      </c>
      <c r="BF46" s="28">
        <f t="shared" si="140"/>
        <v>172333.33333333334</v>
      </c>
      <c r="BG46" s="28">
        <f t="shared" si="140"/>
        <v>172333.33333333334</v>
      </c>
      <c r="BH46" s="28">
        <f t="shared" si="140"/>
        <v>140666.66666666669</v>
      </c>
      <c r="BI46" s="28">
        <f t="shared" si="140"/>
        <v>140666.66666666669</v>
      </c>
      <c r="BJ46" s="28">
        <f t="shared" si="140"/>
        <v>140666.66666666669</v>
      </c>
      <c r="BK46" s="28">
        <f t="shared" si="140"/>
        <v>140666.66666666669</v>
      </c>
      <c r="BL46" s="28">
        <f t="shared" si="140"/>
        <v>140666.66666666669</v>
      </c>
      <c r="BM46" s="28">
        <f t="shared" si="140"/>
        <v>140666.66666666669</v>
      </c>
      <c r="BN46" s="28">
        <f t="shared" si="140"/>
        <v>140666.66666666669</v>
      </c>
      <c r="BO46" s="30">
        <f>SUM(BC46:BN46)</f>
        <v>1596333.333333334</v>
      </c>
      <c r="BP46" s="28">
        <f t="shared" si="140"/>
        <v>71333.333333333328</v>
      </c>
      <c r="BQ46" s="28">
        <f t="shared" si="140"/>
        <v>71333.333333333328</v>
      </c>
      <c r="BR46" s="28">
        <f t="shared" si="140"/>
        <v>71333.333333333328</v>
      </c>
      <c r="BS46" s="28">
        <f t="shared" si="140"/>
        <v>71333.333333333328</v>
      </c>
      <c r="BT46" s="28">
        <f t="shared" si="140"/>
        <v>71333.333333333328</v>
      </c>
      <c r="BU46" s="28">
        <f t="shared" si="140"/>
        <v>71333.333333333328</v>
      </c>
      <c r="BV46" s="28">
        <f t="shared" si="140"/>
        <v>70666.666666666672</v>
      </c>
      <c r="BW46" s="28">
        <f t="shared" si="140"/>
        <v>70666.666666666672</v>
      </c>
      <c r="BX46" s="28">
        <f t="shared" si="140"/>
        <v>70666.666666666672</v>
      </c>
      <c r="BY46" s="28">
        <f t="shared" si="140"/>
        <v>70666.666666666672</v>
      </c>
      <c r="BZ46" s="28">
        <f t="shared" si="140"/>
        <v>70666.666666666672</v>
      </c>
      <c r="CA46" s="28">
        <f t="shared" si="140"/>
        <v>70666.666666666672</v>
      </c>
      <c r="CB46" s="30">
        <f>SUM(BP46:CA46)</f>
        <v>851999.99999999977</v>
      </c>
      <c r="CC46" s="28">
        <f t="shared" ref="CC46:CM46" si="141">CC42+CC43</f>
        <v>70666.666666666672</v>
      </c>
      <c r="CD46" s="28">
        <f t="shared" si="141"/>
        <v>70666.666666666672</v>
      </c>
      <c r="CE46" s="28">
        <f t="shared" si="141"/>
        <v>70666.666666666672</v>
      </c>
      <c r="CF46" s="28">
        <f t="shared" si="141"/>
        <v>54000</v>
      </c>
      <c r="CG46" s="28">
        <f t="shared" si="141"/>
        <v>54000</v>
      </c>
      <c r="CH46" s="28">
        <f t="shared" si="141"/>
        <v>54000</v>
      </c>
      <c r="CI46" s="28">
        <f t="shared" si="141"/>
        <v>107333.33333333333</v>
      </c>
      <c r="CJ46" s="28">
        <f t="shared" si="141"/>
        <v>107333.33333333333</v>
      </c>
      <c r="CK46" s="28">
        <f t="shared" si="141"/>
        <v>107333.33333333333</v>
      </c>
      <c r="CL46" s="28">
        <f t="shared" si="141"/>
        <v>107333.33333333333</v>
      </c>
      <c r="CM46" s="28">
        <f t="shared" si="141"/>
        <v>107333.33333333333</v>
      </c>
      <c r="CN46" s="28">
        <f t="shared" ref="CN46" si="142">CN42+CN43</f>
        <v>107333.33333333333</v>
      </c>
      <c r="CO46" s="28">
        <f>SUM(CC46:CN46)</f>
        <v>1018000.0000000001</v>
      </c>
      <c r="CP46" s="28">
        <f t="shared" ref="CP46:DA46" si="143">CP42+CP43</f>
        <v>55666.666666666672</v>
      </c>
      <c r="CQ46" s="28">
        <f t="shared" si="143"/>
        <v>55666.666666666672</v>
      </c>
      <c r="CR46" s="28">
        <f t="shared" si="143"/>
        <v>55666.666666666672</v>
      </c>
      <c r="CS46" s="28">
        <f t="shared" si="143"/>
        <v>59000</v>
      </c>
      <c r="CT46" s="28">
        <f t="shared" si="143"/>
        <v>59000</v>
      </c>
      <c r="CU46" s="28">
        <f t="shared" si="143"/>
        <v>59000</v>
      </c>
      <c r="CV46" s="28">
        <f t="shared" si="143"/>
        <v>69000</v>
      </c>
      <c r="CW46" s="28">
        <f t="shared" si="143"/>
        <v>69000</v>
      </c>
      <c r="CX46" s="28">
        <f t="shared" si="143"/>
        <v>69000</v>
      </c>
      <c r="CY46" s="28">
        <f t="shared" si="143"/>
        <v>69000</v>
      </c>
      <c r="CZ46" s="28">
        <f t="shared" si="143"/>
        <v>69000</v>
      </c>
      <c r="DA46" s="28">
        <f t="shared" si="143"/>
        <v>69000</v>
      </c>
      <c r="DB46" s="30">
        <f>SUM(CP46:DA46)</f>
        <v>758000</v>
      </c>
      <c r="DC46" s="28">
        <f t="shared" ref="DC46:DN46" si="144">DC42+DC43</f>
        <v>69000</v>
      </c>
      <c r="DD46" s="28">
        <f t="shared" si="144"/>
        <v>69000</v>
      </c>
      <c r="DE46" s="28">
        <f t="shared" si="144"/>
        <v>69000</v>
      </c>
      <c r="DF46" s="28">
        <f t="shared" si="144"/>
        <v>69000</v>
      </c>
      <c r="DG46" s="28">
        <f t="shared" si="144"/>
        <v>69000</v>
      </c>
      <c r="DH46" s="28">
        <f t="shared" si="144"/>
        <v>69000</v>
      </c>
      <c r="DI46" s="28">
        <f t="shared" si="144"/>
        <v>69000</v>
      </c>
      <c r="DJ46" s="28">
        <f t="shared" si="144"/>
        <v>69000</v>
      </c>
      <c r="DK46" s="28">
        <f t="shared" si="144"/>
        <v>69000</v>
      </c>
      <c r="DL46" s="28">
        <f t="shared" si="144"/>
        <v>69000</v>
      </c>
      <c r="DM46" s="28">
        <f t="shared" si="144"/>
        <v>69000</v>
      </c>
      <c r="DN46" s="28">
        <f t="shared" si="144"/>
        <v>69000</v>
      </c>
      <c r="DO46" s="30">
        <f>SUM(DC46:DN46)</f>
        <v>828000</v>
      </c>
    </row>
    <row r="49" spans="1:119" x14ac:dyDescent="0.35">
      <c r="B49" s="11" t="s">
        <v>144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</row>
    <row r="50" spans="1:119" x14ac:dyDescent="0.35">
      <c r="A50" t="s">
        <v>110</v>
      </c>
      <c r="B50" s="39" t="s">
        <v>145</v>
      </c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9"/>
      <c r="O50" s="19"/>
      <c r="P50" s="17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/>
      <c r="AB50" s="19"/>
      <c r="AC50" s="17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9"/>
      <c r="AO50" s="19"/>
      <c r="AP50" s="17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9"/>
      <c r="BB50" s="19"/>
      <c r="BC50" s="17">
        <v>30000</v>
      </c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9"/>
      <c r="BO50" s="19"/>
      <c r="BP50" s="17">
        <v>15000</v>
      </c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9"/>
      <c r="CB50" s="19"/>
      <c r="CC50" s="17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9"/>
      <c r="CO50" s="19"/>
      <c r="CP50" s="17">
        <v>15000</v>
      </c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9"/>
      <c r="DB50" s="19"/>
      <c r="DC50" s="17">
        <v>25000</v>
      </c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9"/>
      <c r="DO50" s="19"/>
    </row>
    <row r="51" spans="1:119" x14ac:dyDescent="0.35">
      <c r="A51" t="s">
        <v>108</v>
      </c>
      <c r="B51" s="39" t="s">
        <v>146</v>
      </c>
      <c r="C51" s="35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19"/>
      <c r="P51" s="35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/>
      <c r="AB51" s="19"/>
      <c r="AC51" s="35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9"/>
      <c r="AO51" s="19"/>
      <c r="AP51" s="35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9"/>
      <c r="BB51" s="19"/>
      <c r="BC51" s="35">
        <v>10</v>
      </c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9"/>
      <c r="BO51" s="19"/>
      <c r="BP51" s="35">
        <v>10</v>
      </c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9"/>
      <c r="CB51" s="19"/>
      <c r="CC51" s="35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9"/>
      <c r="CO51" s="19"/>
      <c r="CP51" s="35">
        <v>10</v>
      </c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9"/>
      <c r="DB51" s="19"/>
      <c r="DC51" s="35">
        <v>10</v>
      </c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  <c r="DO51" s="19"/>
    </row>
    <row r="52" spans="1:119" x14ac:dyDescent="0.35">
      <c r="A52" t="s">
        <v>109</v>
      </c>
      <c r="B52" s="39" t="s">
        <v>147</v>
      </c>
      <c r="C52" s="1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2"/>
      <c r="O52" s="22"/>
      <c r="P52" s="17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2"/>
      <c r="AB52" s="22"/>
      <c r="AC52" s="17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2"/>
      <c r="AO52" s="22"/>
      <c r="AP52" s="17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2"/>
      <c r="BB52" s="22"/>
      <c r="BC52" s="17">
        <f>$BC$50/($BC$51*12)</f>
        <v>250</v>
      </c>
      <c r="BD52" s="17">
        <f t="shared" ref="BD52:BN52" si="145">$BC$50/($BC$51*12)</f>
        <v>250</v>
      </c>
      <c r="BE52" s="17">
        <f t="shared" si="145"/>
        <v>250</v>
      </c>
      <c r="BF52" s="17">
        <f t="shared" si="145"/>
        <v>250</v>
      </c>
      <c r="BG52" s="17">
        <f t="shared" si="145"/>
        <v>250</v>
      </c>
      <c r="BH52" s="17">
        <f t="shared" si="145"/>
        <v>250</v>
      </c>
      <c r="BI52" s="17">
        <f t="shared" si="145"/>
        <v>250</v>
      </c>
      <c r="BJ52" s="17">
        <f t="shared" si="145"/>
        <v>250</v>
      </c>
      <c r="BK52" s="17">
        <f t="shared" si="145"/>
        <v>250</v>
      </c>
      <c r="BL52" s="17">
        <f t="shared" si="145"/>
        <v>250</v>
      </c>
      <c r="BM52" s="17">
        <f t="shared" si="145"/>
        <v>250</v>
      </c>
      <c r="BN52" s="17">
        <f t="shared" si="145"/>
        <v>250</v>
      </c>
      <c r="BO52" s="22"/>
      <c r="BP52" s="17">
        <f>$BN$52+($BP$50/($BP$51*12))</f>
        <v>375</v>
      </c>
      <c r="BQ52" s="17">
        <f t="shared" ref="BQ52:CA52" si="146">$BN$52+($BP$50/($BP$51*12))</f>
        <v>375</v>
      </c>
      <c r="BR52" s="17">
        <f t="shared" si="146"/>
        <v>375</v>
      </c>
      <c r="BS52" s="17">
        <f t="shared" si="146"/>
        <v>375</v>
      </c>
      <c r="BT52" s="17">
        <f t="shared" si="146"/>
        <v>375</v>
      </c>
      <c r="BU52" s="17">
        <f t="shared" si="146"/>
        <v>375</v>
      </c>
      <c r="BV52" s="17">
        <f t="shared" si="146"/>
        <v>375</v>
      </c>
      <c r="BW52" s="17">
        <f t="shared" si="146"/>
        <v>375</v>
      </c>
      <c r="BX52" s="17">
        <f t="shared" si="146"/>
        <v>375</v>
      </c>
      <c r="BY52" s="17">
        <f t="shared" si="146"/>
        <v>375</v>
      </c>
      <c r="BZ52" s="17">
        <f t="shared" si="146"/>
        <v>375</v>
      </c>
      <c r="CA52" s="17">
        <f t="shared" si="146"/>
        <v>375</v>
      </c>
      <c r="CB52" s="22"/>
      <c r="CC52" s="17">
        <f t="shared" ref="CC52:CN52" si="147">$BN$52+($BP$50/($BP$51*12))</f>
        <v>375</v>
      </c>
      <c r="CD52" s="17">
        <f t="shared" si="147"/>
        <v>375</v>
      </c>
      <c r="CE52" s="17">
        <f t="shared" si="147"/>
        <v>375</v>
      </c>
      <c r="CF52" s="17">
        <f t="shared" si="147"/>
        <v>375</v>
      </c>
      <c r="CG52" s="17">
        <f t="shared" si="147"/>
        <v>375</v>
      </c>
      <c r="CH52" s="17">
        <f t="shared" si="147"/>
        <v>375</v>
      </c>
      <c r="CI52" s="17">
        <f t="shared" si="147"/>
        <v>375</v>
      </c>
      <c r="CJ52" s="17">
        <f t="shared" si="147"/>
        <v>375</v>
      </c>
      <c r="CK52" s="17">
        <f t="shared" si="147"/>
        <v>375</v>
      </c>
      <c r="CL52" s="17">
        <f t="shared" si="147"/>
        <v>375</v>
      </c>
      <c r="CM52" s="17">
        <f t="shared" si="147"/>
        <v>375</v>
      </c>
      <c r="CN52" s="17">
        <f t="shared" si="147"/>
        <v>375</v>
      </c>
      <c r="CO52" s="22"/>
      <c r="CP52" s="17">
        <f>$CN$52+($CP$50/($CP$51*12))</f>
        <v>500</v>
      </c>
      <c r="CQ52" s="17">
        <f t="shared" ref="CQ52:DA52" si="148">$CN$52+($CP$50/($CP$51*12))</f>
        <v>500</v>
      </c>
      <c r="CR52" s="17">
        <f t="shared" si="148"/>
        <v>500</v>
      </c>
      <c r="CS52" s="17">
        <f t="shared" si="148"/>
        <v>500</v>
      </c>
      <c r="CT52" s="17">
        <f t="shared" si="148"/>
        <v>500</v>
      </c>
      <c r="CU52" s="17">
        <f t="shared" si="148"/>
        <v>500</v>
      </c>
      <c r="CV52" s="17">
        <f t="shared" si="148"/>
        <v>500</v>
      </c>
      <c r="CW52" s="17">
        <f t="shared" si="148"/>
        <v>500</v>
      </c>
      <c r="CX52" s="17">
        <f t="shared" si="148"/>
        <v>500</v>
      </c>
      <c r="CY52" s="17">
        <f t="shared" si="148"/>
        <v>500</v>
      </c>
      <c r="CZ52" s="17">
        <f t="shared" si="148"/>
        <v>500</v>
      </c>
      <c r="DA52" s="17">
        <f t="shared" si="148"/>
        <v>500</v>
      </c>
      <c r="DB52" s="22"/>
      <c r="DC52" s="17">
        <f t="shared" ref="DC52:DN52" si="149">$DA$52+($DC$50/($CP$51*12))</f>
        <v>708.33333333333337</v>
      </c>
      <c r="DD52" s="17">
        <f t="shared" si="149"/>
        <v>708.33333333333337</v>
      </c>
      <c r="DE52" s="17">
        <f t="shared" si="149"/>
        <v>708.33333333333337</v>
      </c>
      <c r="DF52" s="17">
        <f t="shared" si="149"/>
        <v>708.33333333333337</v>
      </c>
      <c r="DG52" s="17">
        <f t="shared" si="149"/>
        <v>708.33333333333337</v>
      </c>
      <c r="DH52" s="17">
        <f t="shared" si="149"/>
        <v>708.33333333333337</v>
      </c>
      <c r="DI52" s="17">
        <f t="shared" si="149"/>
        <v>708.33333333333337</v>
      </c>
      <c r="DJ52" s="17">
        <f t="shared" si="149"/>
        <v>708.33333333333337</v>
      </c>
      <c r="DK52" s="17">
        <f t="shared" si="149"/>
        <v>708.33333333333337</v>
      </c>
      <c r="DL52" s="17">
        <f t="shared" si="149"/>
        <v>708.33333333333337</v>
      </c>
      <c r="DM52" s="17">
        <f t="shared" si="149"/>
        <v>708.33333333333337</v>
      </c>
      <c r="DN52" s="17">
        <f t="shared" si="149"/>
        <v>708.33333333333337</v>
      </c>
      <c r="DO52" s="22"/>
    </row>
    <row r="53" spans="1:119" x14ac:dyDescent="0.35">
      <c r="A53" t="s">
        <v>107</v>
      </c>
      <c r="B53" s="39" t="s">
        <v>148</v>
      </c>
      <c r="C53" s="17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4"/>
      <c r="O53" s="24"/>
      <c r="P53" s="17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4"/>
      <c r="AB53" s="24"/>
      <c r="AC53" s="17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4"/>
      <c r="AO53" s="24"/>
      <c r="AP53" s="17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4"/>
      <c r="BB53" s="24"/>
      <c r="BC53" s="17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4"/>
      <c r="BO53" s="24"/>
      <c r="BP53" s="17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4"/>
      <c r="CB53" s="24"/>
      <c r="CC53" s="17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4"/>
      <c r="CO53" s="24"/>
      <c r="CP53" s="17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4"/>
      <c r="DB53" s="24"/>
      <c r="DC53" s="17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4"/>
      <c r="DO53" s="24"/>
    </row>
    <row r="54" spans="1:119" x14ac:dyDescent="0.35">
      <c r="C54" s="2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0"/>
      <c r="O54" s="30"/>
      <c r="P54" s="28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30"/>
      <c r="AB54" s="30"/>
      <c r="AC54" s="28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30"/>
      <c r="AO54" s="30"/>
      <c r="AP54" s="28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30"/>
      <c r="BB54" s="30"/>
      <c r="BC54" s="28">
        <f>BC52</f>
        <v>250</v>
      </c>
      <c r="BD54" s="28">
        <f t="shared" ref="BD54:BN54" si="150">BD52</f>
        <v>250</v>
      </c>
      <c r="BE54" s="28">
        <f t="shared" si="150"/>
        <v>250</v>
      </c>
      <c r="BF54" s="28">
        <f t="shared" si="150"/>
        <v>250</v>
      </c>
      <c r="BG54" s="28">
        <f t="shared" si="150"/>
        <v>250</v>
      </c>
      <c r="BH54" s="28">
        <f t="shared" si="150"/>
        <v>250</v>
      </c>
      <c r="BI54" s="28">
        <f t="shared" si="150"/>
        <v>250</v>
      </c>
      <c r="BJ54" s="28">
        <f t="shared" si="150"/>
        <v>250</v>
      </c>
      <c r="BK54" s="28">
        <f t="shared" si="150"/>
        <v>250</v>
      </c>
      <c r="BL54" s="28">
        <f t="shared" si="150"/>
        <v>250</v>
      </c>
      <c r="BM54" s="28">
        <f t="shared" si="150"/>
        <v>250</v>
      </c>
      <c r="BN54" s="28">
        <f t="shared" si="150"/>
        <v>250</v>
      </c>
      <c r="BO54" s="30">
        <f>SUM(BC54:BN54)</f>
        <v>3000</v>
      </c>
      <c r="BP54" s="28">
        <f>BP52</f>
        <v>375</v>
      </c>
      <c r="BQ54" s="28">
        <f t="shared" ref="BQ54:CA54" si="151">BQ52</f>
        <v>375</v>
      </c>
      <c r="BR54" s="28">
        <f t="shared" si="151"/>
        <v>375</v>
      </c>
      <c r="BS54" s="28">
        <f t="shared" si="151"/>
        <v>375</v>
      </c>
      <c r="BT54" s="28">
        <f t="shared" si="151"/>
        <v>375</v>
      </c>
      <c r="BU54" s="28">
        <f t="shared" si="151"/>
        <v>375</v>
      </c>
      <c r="BV54" s="28">
        <f t="shared" si="151"/>
        <v>375</v>
      </c>
      <c r="BW54" s="28">
        <f t="shared" si="151"/>
        <v>375</v>
      </c>
      <c r="BX54" s="28">
        <f t="shared" si="151"/>
        <v>375</v>
      </c>
      <c r="BY54" s="28">
        <f t="shared" si="151"/>
        <v>375</v>
      </c>
      <c r="BZ54" s="28">
        <f t="shared" si="151"/>
        <v>375</v>
      </c>
      <c r="CA54" s="28">
        <f t="shared" si="151"/>
        <v>375</v>
      </c>
      <c r="CB54" s="30">
        <f>SUM(BP54:CA54)</f>
        <v>4500</v>
      </c>
      <c r="CC54" s="28">
        <f>CC52</f>
        <v>375</v>
      </c>
      <c r="CD54" s="28">
        <f t="shared" ref="CD54:CN54" si="152">CD52</f>
        <v>375</v>
      </c>
      <c r="CE54" s="28">
        <f t="shared" si="152"/>
        <v>375</v>
      </c>
      <c r="CF54" s="28">
        <f t="shared" si="152"/>
        <v>375</v>
      </c>
      <c r="CG54" s="28">
        <f t="shared" si="152"/>
        <v>375</v>
      </c>
      <c r="CH54" s="28">
        <f t="shared" si="152"/>
        <v>375</v>
      </c>
      <c r="CI54" s="28">
        <f t="shared" si="152"/>
        <v>375</v>
      </c>
      <c r="CJ54" s="28">
        <f t="shared" si="152"/>
        <v>375</v>
      </c>
      <c r="CK54" s="28">
        <f t="shared" si="152"/>
        <v>375</v>
      </c>
      <c r="CL54" s="28">
        <f t="shared" si="152"/>
        <v>375</v>
      </c>
      <c r="CM54" s="28">
        <f t="shared" si="152"/>
        <v>375</v>
      </c>
      <c r="CN54" s="28">
        <f t="shared" si="152"/>
        <v>375</v>
      </c>
      <c r="CO54" s="30">
        <f>SUM(CC54:CN54)</f>
        <v>4500</v>
      </c>
      <c r="CP54" s="28">
        <f>CP52</f>
        <v>500</v>
      </c>
      <c r="CQ54" s="28">
        <f t="shared" ref="CQ54:DA54" si="153">CQ52</f>
        <v>500</v>
      </c>
      <c r="CR54" s="28">
        <f t="shared" si="153"/>
        <v>500</v>
      </c>
      <c r="CS54" s="28">
        <f t="shared" si="153"/>
        <v>500</v>
      </c>
      <c r="CT54" s="28">
        <f t="shared" si="153"/>
        <v>500</v>
      </c>
      <c r="CU54" s="28">
        <f t="shared" si="153"/>
        <v>500</v>
      </c>
      <c r="CV54" s="28">
        <f t="shared" si="153"/>
        <v>500</v>
      </c>
      <c r="CW54" s="28">
        <f t="shared" si="153"/>
        <v>500</v>
      </c>
      <c r="CX54" s="28">
        <f t="shared" si="153"/>
        <v>500</v>
      </c>
      <c r="CY54" s="28">
        <f t="shared" si="153"/>
        <v>500</v>
      </c>
      <c r="CZ54" s="28">
        <f t="shared" si="153"/>
        <v>500</v>
      </c>
      <c r="DA54" s="28">
        <f t="shared" si="153"/>
        <v>500</v>
      </c>
      <c r="DB54" s="30">
        <f>SUM(CP54:DA54)</f>
        <v>6000</v>
      </c>
      <c r="DC54" s="28">
        <f>DC52</f>
        <v>708.33333333333337</v>
      </c>
      <c r="DD54" s="28">
        <f t="shared" ref="DD54:DN54" si="154">DD52</f>
        <v>708.33333333333337</v>
      </c>
      <c r="DE54" s="28">
        <f t="shared" si="154"/>
        <v>708.33333333333337</v>
      </c>
      <c r="DF54" s="28">
        <f t="shared" si="154"/>
        <v>708.33333333333337</v>
      </c>
      <c r="DG54" s="28">
        <f t="shared" si="154"/>
        <v>708.33333333333337</v>
      </c>
      <c r="DH54" s="28">
        <f t="shared" si="154"/>
        <v>708.33333333333337</v>
      </c>
      <c r="DI54" s="28">
        <f t="shared" si="154"/>
        <v>708.33333333333337</v>
      </c>
      <c r="DJ54" s="28">
        <f t="shared" si="154"/>
        <v>708.33333333333337</v>
      </c>
      <c r="DK54" s="28">
        <f t="shared" si="154"/>
        <v>708.33333333333337</v>
      </c>
      <c r="DL54" s="28">
        <f t="shared" si="154"/>
        <v>708.33333333333337</v>
      </c>
      <c r="DM54" s="28">
        <f t="shared" si="154"/>
        <v>708.33333333333337</v>
      </c>
      <c r="DN54" s="28">
        <f t="shared" si="154"/>
        <v>708.33333333333337</v>
      </c>
      <c r="DO54" s="30">
        <f>SUM(DC54:DN54)</f>
        <v>8499.9999999999982</v>
      </c>
    </row>
  </sheetData>
  <dataValidations count="2">
    <dataValidation type="decimal" operator="lessThanOrEqual" showInputMessage="1" showErrorMessage="1" sqref="AQ51 CQ51 D50:J50 BQ51 BD51 Q50:W50 CD51 AD50:AJ50 DD51" xr:uid="{7EAFB7E0-A5C9-4040-B6C2-E0AEAC6BDCAD}">
      <formula1>0</formula1>
    </dataValidation>
    <dataValidation type="decimal" operator="greaterThanOrEqual" showInputMessage="1" showErrorMessage="1" sqref="D51:J51 AD51:AJ51 Q51:W51" xr:uid="{7C9D683E-7711-40F6-BB64-5FA51BE27624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027EA9-065F-457B-A1D6-59A28D4AE637}">
          <x14:formula1>
            <xm:f>List!$A$3:$A$6</xm:f>
          </x14:formula1>
          <xm:sqref>B6 B18</xm:sqref>
        </x14:dataValidation>
        <x14:dataValidation type="list" allowBlank="1" showInputMessage="1" showErrorMessage="1" xr:uid="{800083A4-89D4-47F4-BA1F-8AE8A90180E7}">
          <x14:formula1>
            <xm:f>List!$F$2:$F$8</xm:f>
          </x14:formula1>
          <xm:sqref>B19:B24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9534-F9CB-4818-B195-CF059C8F7308}">
  <dimension ref="A1:N49"/>
  <sheetViews>
    <sheetView showGridLines="0" topLeftCell="E17" zoomScale="123" workbookViewId="0">
      <selection activeCell="L34" sqref="L34"/>
    </sheetView>
  </sheetViews>
  <sheetFormatPr defaultRowHeight="14.5" x14ac:dyDescent="0.35"/>
  <cols>
    <col min="1" max="1" width="47" customWidth="1"/>
    <col min="2" max="5" width="13.90625" bestFit="1" customWidth="1"/>
    <col min="6" max="6" width="16.453125" customWidth="1"/>
    <col min="7" max="7" width="13.36328125" bestFit="1" customWidth="1"/>
    <col min="8" max="8" width="13.81640625" bestFit="1" customWidth="1"/>
    <col min="9" max="9" width="12.90625" bestFit="1" customWidth="1"/>
    <col min="10" max="10" width="13.1796875" bestFit="1" customWidth="1"/>
    <col min="11" max="11" width="12.90625" bestFit="1" customWidth="1"/>
    <col min="14" max="14" width="8.453125" customWidth="1"/>
  </cols>
  <sheetData>
    <row r="1" spans="1:14" ht="15.5" x14ac:dyDescent="0.35">
      <c r="A1" s="61" t="s">
        <v>159</v>
      </c>
      <c r="B1" s="88" t="s">
        <v>176</v>
      </c>
      <c r="C1" s="89"/>
      <c r="D1" s="89"/>
      <c r="E1" s="89"/>
      <c r="F1" s="90"/>
      <c r="G1" s="86" t="s">
        <v>161</v>
      </c>
      <c r="H1" s="87"/>
      <c r="I1" s="87"/>
      <c r="J1" s="87"/>
      <c r="K1" s="87"/>
    </row>
    <row r="2" spans="1:14" ht="15" thickBot="1" x14ac:dyDescent="0.4">
      <c r="A2" s="42" t="s">
        <v>203</v>
      </c>
      <c r="B2" s="42">
        <v>2019</v>
      </c>
      <c r="C2" s="42">
        <v>2020</v>
      </c>
      <c r="D2" s="42">
        <v>2021</v>
      </c>
      <c r="E2" s="42">
        <v>2022</v>
      </c>
      <c r="F2" s="42">
        <v>2023</v>
      </c>
      <c r="G2" s="42">
        <v>2024</v>
      </c>
      <c r="H2" s="42">
        <v>2025</v>
      </c>
      <c r="I2" s="42">
        <v>2026</v>
      </c>
      <c r="J2" s="42">
        <v>2027</v>
      </c>
      <c r="K2" s="42">
        <v>2028</v>
      </c>
      <c r="N2" t="s">
        <v>221</v>
      </c>
    </row>
    <row r="3" spans="1:14" x14ac:dyDescent="0.35">
      <c r="A3" s="41" t="s">
        <v>149</v>
      </c>
      <c r="B3" s="62" t="s">
        <v>204</v>
      </c>
      <c r="C3" s="62" t="s">
        <v>204</v>
      </c>
      <c r="D3" s="62" t="s">
        <v>204</v>
      </c>
      <c r="E3" s="62" t="s">
        <v>204</v>
      </c>
      <c r="F3" s="62" t="s">
        <v>204</v>
      </c>
      <c r="G3" s="45">
        <f>'Revenue Model'!BO14</f>
        <v>421748.52993147937</v>
      </c>
      <c r="H3" s="45">
        <f>'Revenue Model'!CB14</f>
        <v>848640.90392995288</v>
      </c>
      <c r="I3" s="45">
        <f>'Revenue Model'!CO14</f>
        <v>1611185.1239514151</v>
      </c>
      <c r="J3" s="45">
        <f>'Revenue Model'!DB14</f>
        <v>2731430.3183875182</v>
      </c>
      <c r="K3" s="45">
        <f>'Revenue Model'!DO14</f>
        <v>4373107.9425109951</v>
      </c>
      <c r="N3" s="82">
        <v>0.15</v>
      </c>
    </row>
    <row r="4" spans="1:14" x14ac:dyDescent="0.35">
      <c r="A4" s="41" t="s">
        <v>126</v>
      </c>
      <c r="B4" s="45"/>
      <c r="C4" s="45"/>
      <c r="D4" s="45"/>
      <c r="E4" s="45"/>
      <c r="F4" s="45"/>
      <c r="G4" s="45">
        <f>'Revenue Model'!BO26</f>
        <v>143324.5589794438</v>
      </c>
      <c r="H4" s="45">
        <f>'Revenue Model'!CB26</f>
        <v>272232.27117898583</v>
      </c>
      <c r="I4" s="45">
        <f>'Revenue Model'!CO26</f>
        <v>501877.53718542447</v>
      </c>
      <c r="J4" s="45">
        <f>'Revenue Model'!DB26</f>
        <v>838877.19551625557</v>
      </c>
      <c r="K4" s="45">
        <f>'Revenue Model'!DO26</f>
        <v>1332352.8877532985</v>
      </c>
    </row>
    <row r="5" spans="1:14" x14ac:dyDescent="0.35">
      <c r="A5" s="43" t="s">
        <v>150</v>
      </c>
      <c r="B5" s="46"/>
      <c r="C5" s="46"/>
      <c r="D5" s="46"/>
      <c r="E5" s="46"/>
      <c r="F5" s="46"/>
      <c r="G5" s="46">
        <f>G3-G4</f>
        <v>278423.97095203557</v>
      </c>
      <c r="H5" s="46">
        <f t="shared" ref="H5:J5" si="0">H3-H4</f>
        <v>576408.63275096705</v>
      </c>
      <c r="I5" s="46">
        <f t="shared" si="0"/>
        <v>1109307.5867659906</v>
      </c>
      <c r="J5" s="46">
        <f t="shared" si="0"/>
        <v>1892553.1228712625</v>
      </c>
      <c r="K5" s="46">
        <f>K3-K4</f>
        <v>3040755.0547576966</v>
      </c>
    </row>
    <row r="6" spans="1:14" x14ac:dyDescent="0.35">
      <c r="A6" s="50" t="s">
        <v>183</v>
      </c>
      <c r="B6" s="51"/>
      <c r="C6" s="51"/>
      <c r="D6" s="51"/>
      <c r="E6" s="51"/>
      <c r="F6" s="51"/>
      <c r="G6" s="51">
        <f>'Revenue Model'!BO38</f>
        <v>696000</v>
      </c>
      <c r="H6" s="51">
        <f>'Revenue Model'!CB38</f>
        <v>918000</v>
      </c>
      <c r="I6" s="51">
        <f>'Revenue Model'!CO38</f>
        <v>972600</v>
      </c>
      <c r="J6" s="51">
        <f>'Revenue Model'!DB38</f>
        <v>979860</v>
      </c>
      <c r="K6" s="51">
        <f>'Revenue Model'!DO38</f>
        <v>993846</v>
      </c>
    </row>
    <row r="7" spans="1:14" x14ac:dyDescent="0.35">
      <c r="A7" s="50" t="s">
        <v>182</v>
      </c>
      <c r="B7" s="45"/>
      <c r="C7" s="45"/>
      <c r="D7" s="45"/>
      <c r="E7" s="45"/>
      <c r="F7" s="45"/>
      <c r="G7" s="45">
        <f>'Revenue Model'!BO46</f>
        <v>1596333.333333334</v>
      </c>
      <c r="H7" s="45">
        <f>'Revenue Model'!CB46</f>
        <v>851999.99999999977</v>
      </c>
      <c r="I7" s="45">
        <f>'Revenue Model'!CO46</f>
        <v>1018000.0000000001</v>
      </c>
      <c r="J7" s="45">
        <f>'Revenue Model'!DB46</f>
        <v>758000</v>
      </c>
      <c r="K7" s="45">
        <f>'Revenue Model'!DO46</f>
        <v>828000</v>
      </c>
    </row>
    <row r="8" spans="1:14" x14ac:dyDescent="0.35">
      <c r="A8" s="43" t="s">
        <v>152</v>
      </c>
      <c r="B8" s="46"/>
      <c r="C8" s="46"/>
      <c r="D8" s="46"/>
      <c r="E8" s="46"/>
      <c r="F8" s="46"/>
      <c r="G8" s="46">
        <f>G5-G6-G7</f>
        <v>-2013909.3623812983</v>
      </c>
      <c r="H8" s="46">
        <f t="shared" ref="H8:J8" si="1">H5-H6-H7</f>
        <v>-1193591.3672490327</v>
      </c>
      <c r="I8" s="46">
        <f t="shared" si="1"/>
        <v>-881292.41323400952</v>
      </c>
      <c r="J8" s="46">
        <f t="shared" si="1"/>
        <v>154693.12287126249</v>
      </c>
      <c r="K8" s="46">
        <f>K5-K6-K7</f>
        <v>1218909.0547576966</v>
      </c>
    </row>
    <row r="9" spans="1:14" x14ac:dyDescent="0.35">
      <c r="A9" s="41" t="s">
        <v>153</v>
      </c>
      <c r="B9" s="45"/>
      <c r="C9" s="45"/>
      <c r="D9" s="45"/>
      <c r="E9" s="45"/>
      <c r="F9" s="45"/>
      <c r="G9" s="45">
        <f>'Revenue Model'!BO54</f>
        <v>3000</v>
      </c>
      <c r="H9" s="45">
        <f>'Revenue Model'!CB54</f>
        <v>4500</v>
      </c>
      <c r="I9" s="45">
        <f>'Revenue Model'!CO54</f>
        <v>4500</v>
      </c>
      <c r="J9" s="45">
        <f>'Revenue Model'!DB54</f>
        <v>6000</v>
      </c>
      <c r="K9" s="45">
        <f>'Revenue Model'!DO54</f>
        <v>8499.9999999999982</v>
      </c>
    </row>
    <row r="10" spans="1:14" x14ac:dyDescent="0.35">
      <c r="A10" s="43" t="s">
        <v>154</v>
      </c>
      <c r="B10" s="46"/>
      <c r="C10" s="46"/>
      <c r="D10" s="46"/>
      <c r="E10" s="46"/>
      <c r="F10" s="46"/>
      <c r="G10" s="46">
        <f>G8-G9</f>
        <v>-2016909.3623812983</v>
      </c>
      <c r="H10" s="46">
        <f t="shared" ref="H10:J10" si="2">H8-H9</f>
        <v>-1198091.3672490327</v>
      </c>
      <c r="I10" s="46">
        <f t="shared" si="2"/>
        <v>-885792.41323400952</v>
      </c>
      <c r="J10" s="46">
        <f t="shared" si="2"/>
        <v>148693.12287126249</v>
      </c>
      <c r="K10" s="46">
        <f>K8-K9</f>
        <v>1210409.0547576966</v>
      </c>
    </row>
    <row r="11" spans="1:14" x14ac:dyDescent="0.35">
      <c r="A11" s="41" t="s">
        <v>155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4" x14ac:dyDescent="0.35">
      <c r="A12" s="43" t="s">
        <v>156</v>
      </c>
      <c r="B12" s="46"/>
      <c r="C12" s="46"/>
      <c r="D12" s="46"/>
      <c r="E12" s="46"/>
      <c r="F12" s="46"/>
      <c r="G12" s="46">
        <f>G10-G11</f>
        <v>-2016909.3623812983</v>
      </c>
      <c r="H12" s="46">
        <f t="shared" ref="H12:J12" si="3">H10-H11</f>
        <v>-1198091.3672490327</v>
      </c>
      <c r="I12" s="46">
        <f t="shared" si="3"/>
        <v>-885792.41323400952</v>
      </c>
      <c r="J12" s="46">
        <f t="shared" si="3"/>
        <v>148693.12287126249</v>
      </c>
      <c r="K12" s="46">
        <f>K10-K11</f>
        <v>1210409.0547576966</v>
      </c>
    </row>
    <row r="13" spans="1:14" x14ac:dyDescent="0.35">
      <c r="A13" s="41" t="s">
        <v>157</v>
      </c>
      <c r="B13" s="45"/>
      <c r="C13" s="45"/>
      <c r="D13" s="45"/>
      <c r="E13" s="45"/>
      <c r="F13" s="45"/>
      <c r="G13" s="45"/>
      <c r="H13" s="45"/>
      <c r="I13" s="45"/>
      <c r="J13" s="45">
        <f>0.15*J12</f>
        <v>22303.968430689372</v>
      </c>
      <c r="K13" s="45">
        <f>0.15*K12</f>
        <v>181561.35821365449</v>
      </c>
    </row>
    <row r="14" spans="1:14" ht="15" thickBot="1" x14ac:dyDescent="0.4">
      <c r="A14" s="44" t="s">
        <v>158</v>
      </c>
      <c r="B14" s="47"/>
      <c r="C14" s="47"/>
      <c r="D14" s="47"/>
      <c r="E14" s="47"/>
      <c r="F14" s="47"/>
      <c r="G14" s="47">
        <f>G12-G13</f>
        <v>-2016909.3623812983</v>
      </c>
      <c r="H14" s="47">
        <f t="shared" ref="H14:J14" si="4">H12-H13</f>
        <v>-1198091.3672490327</v>
      </c>
      <c r="I14" s="47">
        <f t="shared" si="4"/>
        <v>-885792.41323400952</v>
      </c>
      <c r="J14" s="47">
        <f t="shared" si="4"/>
        <v>126389.15444057311</v>
      </c>
      <c r="K14" s="47">
        <f>K12-K13</f>
        <v>1028847.6965440421</v>
      </c>
    </row>
    <row r="16" spans="1:14" ht="15.5" x14ac:dyDescent="0.35">
      <c r="A16" s="48" t="s">
        <v>171</v>
      </c>
      <c r="B16" s="40"/>
      <c r="C16" s="40"/>
      <c r="D16" s="40"/>
      <c r="E16" s="40"/>
      <c r="F16" s="40"/>
    </row>
    <row r="17" spans="1:11" ht="15.5" x14ac:dyDescent="0.35">
      <c r="A17" s="61" t="s">
        <v>193</v>
      </c>
      <c r="B17" s="88" t="s">
        <v>176</v>
      </c>
      <c r="C17" s="89"/>
      <c r="D17" s="89"/>
      <c r="E17" s="89"/>
      <c r="F17" s="90"/>
      <c r="G17" s="86" t="s">
        <v>161</v>
      </c>
      <c r="H17" s="87"/>
      <c r="I17" s="87"/>
      <c r="J17" s="87"/>
      <c r="K17" s="87"/>
    </row>
    <row r="18" spans="1:11" ht="15" thickBot="1" x14ac:dyDescent="0.4">
      <c r="A18" s="42" t="s">
        <v>203</v>
      </c>
      <c r="B18" s="42">
        <v>2019</v>
      </c>
      <c r="C18" s="42">
        <v>2020</v>
      </c>
      <c r="D18" s="42">
        <v>2021</v>
      </c>
      <c r="E18" s="42">
        <v>2022</v>
      </c>
      <c r="F18" s="42">
        <v>2023</v>
      </c>
      <c r="G18" s="42">
        <v>2024</v>
      </c>
      <c r="H18" s="42">
        <v>2025</v>
      </c>
      <c r="I18" s="42">
        <v>2026</v>
      </c>
      <c r="J18" s="42">
        <v>2027</v>
      </c>
      <c r="K18" s="42">
        <v>2028</v>
      </c>
    </row>
    <row r="19" spans="1:11" x14ac:dyDescent="0.35">
      <c r="A19" s="57" t="s">
        <v>194</v>
      </c>
      <c r="B19" s="62" t="s">
        <v>204</v>
      </c>
      <c r="C19" s="62" t="s">
        <v>204</v>
      </c>
      <c r="D19" s="62" t="s">
        <v>204</v>
      </c>
      <c r="E19" s="62" t="s">
        <v>204</v>
      </c>
      <c r="F19" s="62" t="s">
        <v>204</v>
      </c>
      <c r="G19" s="63">
        <f>G14+G9+(F29-G29)+(F31-G31)+(F32-G32)+(G35-F35)+(G36-F36)</f>
        <v>-2013909.3623812983</v>
      </c>
      <c r="H19" s="63">
        <f>H14+H9+(G29-H29)+(G31-H31)+(G32-H32)+(H35-G35)+(H36-G36)</f>
        <v>-1193591.3672490327</v>
      </c>
      <c r="I19" s="63">
        <f>I14+I9+(H29-I29)+(H31-I31)+(H32-I32)+(I35-H35)+(I36-H36)</f>
        <v>-881292.41323400952</v>
      </c>
      <c r="J19" s="63">
        <f>J14+J9+(I29-J29)+(I31-J31)+(I32-J32)+(J35-I35)+(J36-I36)</f>
        <v>132389.15444057313</v>
      </c>
      <c r="K19" s="63">
        <f>K14+K9+(J29-K29)+(J31-K31)+(J32-K32)+(K35-J35)+(K36-J36)</f>
        <v>1037347.6965440421</v>
      </c>
    </row>
    <row r="20" spans="1:11" x14ac:dyDescent="0.35">
      <c r="A20" s="58" t="s">
        <v>195</v>
      </c>
      <c r="B20" s="62"/>
      <c r="C20" s="62"/>
      <c r="D20" s="62"/>
      <c r="E20" s="62"/>
      <c r="G20" s="63">
        <f>F30-G30-G9</f>
        <v>0</v>
      </c>
      <c r="H20" s="63">
        <f t="shared" ref="H20:K20" si="5">G30-H30</f>
        <v>1500</v>
      </c>
      <c r="I20" s="63">
        <f t="shared" si="5"/>
        <v>0</v>
      </c>
      <c r="J20" s="63">
        <f t="shared" si="5"/>
        <v>1500</v>
      </c>
      <c r="K20" s="63">
        <f t="shared" si="5"/>
        <v>2500</v>
      </c>
    </row>
    <row r="21" spans="1:11" x14ac:dyDescent="0.35">
      <c r="A21" s="58" t="s">
        <v>196</v>
      </c>
      <c r="B21" s="62"/>
      <c r="C21" s="62"/>
      <c r="D21" s="62"/>
      <c r="E21" s="62"/>
      <c r="G21" s="63">
        <f>(G37-F37)+(G39-F39)</f>
        <v>1900000</v>
      </c>
      <c r="H21" s="63">
        <f t="shared" ref="H21:K21" si="6">(H37-G37)+(H39-G39)</f>
        <v>1100000</v>
      </c>
      <c r="I21" s="63">
        <f t="shared" si="6"/>
        <v>2000000</v>
      </c>
      <c r="J21" s="63">
        <f t="shared" si="6"/>
        <v>0</v>
      </c>
      <c r="K21" s="63">
        <f t="shared" si="6"/>
        <v>0</v>
      </c>
    </row>
    <row r="22" spans="1:11" x14ac:dyDescent="0.35">
      <c r="A22" s="60" t="s">
        <v>202</v>
      </c>
      <c r="G22" s="63">
        <f>G19+G20+G21</f>
        <v>-113909.36238129833</v>
      </c>
      <c r="H22" s="63">
        <f t="shared" ref="H22" si="7">H19+H20+H21</f>
        <v>-92091.367249032715</v>
      </c>
      <c r="I22" s="63">
        <f t="shared" ref="I22:K22" si="8">I19+I20+I21</f>
        <v>1118707.5867659906</v>
      </c>
      <c r="J22" s="63">
        <f t="shared" si="8"/>
        <v>133889.15444057313</v>
      </c>
      <c r="K22" s="63">
        <f t="shared" si="8"/>
        <v>1039847.6965440421</v>
      </c>
    </row>
    <row r="24" spans="1:11" ht="15.5" x14ac:dyDescent="0.35">
      <c r="A24" s="48" t="s">
        <v>160</v>
      </c>
      <c r="B24" s="49"/>
      <c r="C24" s="49"/>
      <c r="D24" s="49"/>
      <c r="E24" s="40"/>
      <c r="F24" s="40"/>
      <c r="G24" s="40"/>
      <c r="H24" s="40"/>
      <c r="I24" s="40"/>
    </row>
    <row r="25" spans="1:11" x14ac:dyDescent="0.35">
      <c r="A25" s="49"/>
      <c r="B25" s="49"/>
      <c r="C25" s="49"/>
      <c r="D25" s="49"/>
      <c r="E25" s="40"/>
      <c r="F25" s="40"/>
      <c r="G25" s="40"/>
      <c r="H25" s="40"/>
      <c r="I25" s="40"/>
    </row>
    <row r="26" spans="1:11" x14ac:dyDescent="0.35">
      <c r="A26" s="49"/>
      <c r="B26" s="11" t="s">
        <v>176</v>
      </c>
      <c r="C26" s="11"/>
      <c r="D26" s="12"/>
      <c r="E26" s="12"/>
      <c r="F26" s="11"/>
      <c r="G26" s="86" t="s">
        <v>161</v>
      </c>
      <c r="H26" s="87"/>
      <c r="I26" s="87"/>
      <c r="J26" s="87"/>
      <c r="K26" s="87"/>
    </row>
    <row r="27" spans="1:11" ht="15" thickBot="1" x14ac:dyDescent="0.4">
      <c r="A27" s="42" t="s">
        <v>151</v>
      </c>
      <c r="B27" s="42">
        <v>2019</v>
      </c>
      <c r="C27" s="42">
        <v>2020</v>
      </c>
      <c r="D27" s="42">
        <v>2021</v>
      </c>
      <c r="E27" s="42">
        <v>2022</v>
      </c>
      <c r="F27" s="42">
        <v>2023</v>
      </c>
      <c r="G27" s="42">
        <v>2024</v>
      </c>
      <c r="H27" s="42">
        <v>2025</v>
      </c>
      <c r="I27" s="42">
        <v>2026</v>
      </c>
      <c r="J27" s="42">
        <v>2027</v>
      </c>
      <c r="K27" s="42">
        <v>2028</v>
      </c>
    </row>
    <row r="28" spans="1:11" x14ac:dyDescent="0.35">
      <c r="A28" s="41" t="s">
        <v>164</v>
      </c>
      <c r="B28" s="62" t="s">
        <v>204</v>
      </c>
      <c r="C28" s="62" t="s">
        <v>204</v>
      </c>
      <c r="D28" s="62" t="s">
        <v>204</v>
      </c>
      <c r="E28" s="62" t="s">
        <v>204</v>
      </c>
      <c r="F28" s="62">
        <v>300000</v>
      </c>
      <c r="G28" s="52">
        <f>F28+G22</f>
        <v>186090.63761870167</v>
      </c>
      <c r="H28" s="52">
        <f>G28+H22</f>
        <v>93999.270369668957</v>
      </c>
      <c r="I28" s="52">
        <f>H28+I22</f>
        <v>1212706.8571356595</v>
      </c>
      <c r="J28" s="52">
        <f>I28+J22</f>
        <v>1346596.0115762327</v>
      </c>
      <c r="K28" s="52">
        <f>J28+K22</f>
        <v>2386443.7081202748</v>
      </c>
    </row>
    <row r="29" spans="1:11" x14ac:dyDescent="0.35">
      <c r="A29" s="41" t="s">
        <v>162</v>
      </c>
      <c r="B29" s="52"/>
      <c r="C29" s="52"/>
      <c r="D29" s="52"/>
      <c r="E29" s="52"/>
      <c r="F29" s="52">
        <v>200000</v>
      </c>
      <c r="G29" s="52">
        <v>200000</v>
      </c>
      <c r="H29" s="52">
        <v>200000</v>
      </c>
      <c r="I29" s="52">
        <v>200000</v>
      </c>
      <c r="J29" s="52">
        <v>200000</v>
      </c>
      <c r="K29" s="52">
        <v>200000</v>
      </c>
    </row>
    <row r="30" spans="1:11" x14ac:dyDescent="0.35">
      <c r="A30" s="41" t="s">
        <v>163</v>
      </c>
      <c r="B30" s="52"/>
      <c r="C30" s="52"/>
      <c r="D30" s="52"/>
      <c r="E30" s="52"/>
      <c r="F30" s="52">
        <v>5000000</v>
      </c>
      <c r="G30" s="52">
        <f>5000000-G9</f>
        <v>4997000</v>
      </c>
      <c r="H30" s="52">
        <f>5000000-H9</f>
        <v>4995500</v>
      </c>
      <c r="I30" s="52">
        <f>5000000-I9</f>
        <v>4995500</v>
      </c>
      <c r="J30" s="52">
        <f>5000000-J9</f>
        <v>4994000</v>
      </c>
      <c r="K30" s="52">
        <f>5000000-K9</f>
        <v>4991500</v>
      </c>
    </row>
    <row r="31" spans="1:11" x14ac:dyDescent="0.35">
      <c r="A31" s="41" t="s">
        <v>217</v>
      </c>
      <c r="B31" s="52"/>
      <c r="C31" s="52"/>
      <c r="D31" s="52"/>
      <c r="E31" s="52"/>
      <c r="F31" s="52">
        <v>100000</v>
      </c>
      <c r="G31" s="52">
        <v>100000</v>
      </c>
      <c r="H31" s="52">
        <v>100000</v>
      </c>
      <c r="I31" s="52">
        <v>100000</v>
      </c>
      <c r="J31" s="52">
        <v>100000</v>
      </c>
      <c r="K31" s="52">
        <v>100000</v>
      </c>
    </row>
    <row r="32" spans="1:11" x14ac:dyDescent="0.35">
      <c r="A32" s="41" t="s">
        <v>165</v>
      </c>
      <c r="B32" s="52"/>
      <c r="C32" s="52"/>
      <c r="D32" s="52"/>
      <c r="E32" s="52"/>
      <c r="F32" s="52">
        <v>500000</v>
      </c>
      <c r="G32" s="52">
        <v>500000</v>
      </c>
      <c r="H32" s="52">
        <v>500000</v>
      </c>
      <c r="I32" s="52">
        <v>500000</v>
      </c>
      <c r="J32" s="52">
        <v>500000</v>
      </c>
      <c r="K32" s="52">
        <v>500000</v>
      </c>
    </row>
    <row r="33" spans="1:11" ht="15" thickBot="1" x14ac:dyDescent="0.4">
      <c r="A33" s="44" t="s">
        <v>166</v>
      </c>
      <c r="B33" s="53"/>
      <c r="C33" s="53"/>
      <c r="D33" s="53"/>
      <c r="E33" s="53"/>
      <c r="F33" s="53">
        <f t="shared" ref="F33:K33" si="9">SUM(F28:F32)</f>
        <v>6100000</v>
      </c>
      <c r="G33" s="53">
        <f t="shared" si="9"/>
        <v>5983090.6376187019</v>
      </c>
      <c r="H33" s="53">
        <f t="shared" si="9"/>
        <v>5889499.2703696694</v>
      </c>
      <c r="I33" s="53">
        <f t="shared" si="9"/>
        <v>7008206.8571356591</v>
      </c>
      <c r="J33" s="53">
        <f t="shared" si="9"/>
        <v>7140596.0115762325</v>
      </c>
      <c r="K33" s="53">
        <f t="shared" si="9"/>
        <v>8177943.7081202753</v>
      </c>
    </row>
    <row r="34" spans="1:11" x14ac:dyDescent="0.35">
      <c r="A34" s="50"/>
      <c r="B34" s="51"/>
      <c r="C34" s="51"/>
      <c r="D34" s="51"/>
      <c r="E34" s="51"/>
      <c r="F34" s="51"/>
      <c r="G34" s="51"/>
      <c r="H34" s="51"/>
      <c r="I34" s="51"/>
    </row>
    <row r="35" spans="1:11" x14ac:dyDescent="0.35">
      <c r="A35" s="41" t="s">
        <v>167</v>
      </c>
      <c r="B35" s="52"/>
      <c r="C35" s="52"/>
      <c r="D35" s="52"/>
      <c r="E35" s="52"/>
      <c r="F35" s="52">
        <v>100000</v>
      </c>
      <c r="G35" s="52">
        <v>100000</v>
      </c>
      <c r="H35" s="52">
        <v>100000</v>
      </c>
      <c r="I35" s="52">
        <v>100000</v>
      </c>
      <c r="J35" s="52">
        <v>100000</v>
      </c>
      <c r="K35" s="52">
        <v>100000</v>
      </c>
    </row>
    <row r="36" spans="1:11" x14ac:dyDescent="0.35">
      <c r="A36" s="41" t="s">
        <v>168</v>
      </c>
      <c r="B36" s="52"/>
      <c r="C36" s="52"/>
      <c r="D36" s="52"/>
      <c r="E36" s="52"/>
      <c r="F36" s="52">
        <v>100000</v>
      </c>
      <c r="G36" s="52">
        <v>100000</v>
      </c>
      <c r="H36" s="52">
        <v>100000</v>
      </c>
      <c r="I36" s="52">
        <v>100000</v>
      </c>
      <c r="J36" s="52">
        <v>100000</v>
      </c>
      <c r="K36" s="52">
        <v>100000</v>
      </c>
    </row>
    <row r="37" spans="1:11" x14ac:dyDescent="0.35">
      <c r="A37" s="41" t="s">
        <v>218</v>
      </c>
      <c r="B37" s="52"/>
      <c r="C37" s="52"/>
      <c r="D37" s="52"/>
      <c r="E37" s="52"/>
      <c r="F37" s="52">
        <v>700000</v>
      </c>
      <c r="G37" s="52">
        <v>900000</v>
      </c>
      <c r="H37" s="52">
        <v>1000000</v>
      </c>
      <c r="I37" s="52">
        <v>1000000</v>
      </c>
      <c r="J37" s="52">
        <v>1000000</v>
      </c>
      <c r="K37" s="52">
        <v>1000000</v>
      </c>
    </row>
    <row r="38" spans="1:11" x14ac:dyDescent="0.35">
      <c r="A38" s="41" t="s">
        <v>219</v>
      </c>
      <c r="B38" s="52"/>
      <c r="C38" s="52"/>
      <c r="D38" s="52"/>
      <c r="E38" s="52"/>
      <c r="F38" s="52">
        <v>200000</v>
      </c>
      <c r="G38" s="52">
        <f>F38+G14</f>
        <v>-1816909.3623812983</v>
      </c>
      <c r="H38" s="52">
        <f>G38+H14</f>
        <v>-3015000.729630331</v>
      </c>
      <c r="I38" s="52">
        <f>H38+I14</f>
        <v>-3900793.1428643405</v>
      </c>
      <c r="J38" s="52">
        <f>I38+J14</f>
        <v>-3774403.9884237675</v>
      </c>
      <c r="K38" s="52">
        <f>J38+K14</f>
        <v>-2745556.2918797256</v>
      </c>
    </row>
    <row r="39" spans="1:11" x14ac:dyDescent="0.35">
      <c r="A39" s="41" t="s">
        <v>169</v>
      </c>
      <c r="B39" s="52"/>
      <c r="C39" s="52"/>
      <c r="D39" s="52"/>
      <c r="E39" s="52"/>
      <c r="F39" s="52">
        <v>5000000</v>
      </c>
      <c r="G39" s="52">
        <v>6700000</v>
      </c>
      <c r="H39" s="52">
        <v>7700000</v>
      </c>
      <c r="I39" s="52">
        <v>9700000</v>
      </c>
      <c r="J39" s="52">
        <v>9700000</v>
      </c>
      <c r="K39" s="52">
        <v>9700000</v>
      </c>
    </row>
    <row r="40" spans="1:11" ht="15" thickBot="1" x14ac:dyDescent="0.4">
      <c r="A40" s="44" t="s">
        <v>170</v>
      </c>
      <c r="B40" s="53"/>
      <c r="C40" s="53"/>
      <c r="D40" s="53"/>
      <c r="E40" s="53"/>
      <c r="F40" s="53">
        <f t="shared" ref="F40:K40" si="10">SUM(F35:F39)</f>
        <v>6100000</v>
      </c>
      <c r="G40" s="53">
        <f t="shared" si="10"/>
        <v>5983090.6376187019</v>
      </c>
      <c r="H40" s="53">
        <f t="shared" si="10"/>
        <v>5884999.2703696694</v>
      </c>
      <c r="I40" s="53">
        <f t="shared" si="10"/>
        <v>6999206.8571356591</v>
      </c>
      <c r="J40" s="53">
        <f t="shared" si="10"/>
        <v>7125596.0115762325</v>
      </c>
      <c r="K40" s="53">
        <f t="shared" si="10"/>
        <v>8154443.7081202744</v>
      </c>
    </row>
    <row r="45" spans="1:11" x14ac:dyDescent="0.35">
      <c r="A45" s="59" t="s">
        <v>197</v>
      </c>
    </row>
    <row r="46" spans="1:11" x14ac:dyDescent="0.35">
      <c r="A46" s="59" t="s">
        <v>198</v>
      </c>
    </row>
    <row r="47" spans="1:11" x14ac:dyDescent="0.35">
      <c r="A47" s="59" t="s">
        <v>199</v>
      </c>
    </row>
    <row r="48" spans="1:11" x14ac:dyDescent="0.35">
      <c r="A48" s="59" t="s">
        <v>200</v>
      </c>
    </row>
    <row r="49" spans="1:1" x14ac:dyDescent="0.35">
      <c r="A49" s="59" t="s">
        <v>201</v>
      </c>
    </row>
  </sheetData>
  <mergeCells count="5">
    <mergeCell ref="G26:K26"/>
    <mergeCell ref="G1:K1"/>
    <mergeCell ref="B1:F1"/>
    <mergeCell ref="B17:F17"/>
    <mergeCell ref="G17:K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D5ED-872B-44DD-BA31-ABDE5A5F44C8}">
  <dimension ref="A1:O22"/>
  <sheetViews>
    <sheetView showGridLines="0" tabSelected="1" zoomScale="54" workbookViewId="0">
      <selection activeCell="K15" sqref="K15"/>
    </sheetView>
  </sheetViews>
  <sheetFormatPr defaultRowHeight="14.5" x14ac:dyDescent="0.35"/>
  <cols>
    <col min="1" max="1" width="10.7265625" customWidth="1"/>
    <col min="2" max="2" width="16.26953125" customWidth="1"/>
    <col min="3" max="3" width="12.90625" bestFit="1" customWidth="1"/>
    <col min="4" max="4" width="13" customWidth="1"/>
    <col min="5" max="5" width="12.453125" bestFit="1" customWidth="1"/>
    <col min="6" max="6" width="11.81640625" bestFit="1" customWidth="1"/>
    <col min="7" max="7" width="12.1796875" bestFit="1" customWidth="1"/>
    <col min="8" max="8" width="14.81640625" bestFit="1" customWidth="1"/>
  </cols>
  <sheetData>
    <row r="1" spans="1:15" ht="15" thickBot="1" x14ac:dyDescent="0.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ht="31.5" thickBot="1" x14ac:dyDescent="0.4">
      <c r="B2" s="64" t="s">
        <v>51</v>
      </c>
      <c r="C2" s="65">
        <v>2024</v>
      </c>
      <c r="D2" s="65">
        <v>2025</v>
      </c>
      <c r="E2" s="65">
        <v>2026</v>
      </c>
      <c r="F2" s="65">
        <v>2027</v>
      </c>
      <c r="G2" s="65">
        <v>2028</v>
      </c>
      <c r="H2" s="65">
        <v>2029</v>
      </c>
      <c r="I2" s="65">
        <v>2030</v>
      </c>
      <c r="J2" s="65">
        <v>2031</v>
      </c>
      <c r="K2" s="65">
        <v>2032</v>
      </c>
      <c r="L2" s="65">
        <v>2033</v>
      </c>
      <c r="M2" s="65" t="s">
        <v>225</v>
      </c>
    </row>
    <row r="3" spans="1:15" x14ac:dyDescent="0.35">
      <c r="B3" t="s">
        <v>220</v>
      </c>
      <c r="C3" s="63">
        <f>Financial_Statements!G19-Financial_Statements!G20+Financial_Statements!G11*(1-Financial_Statements!N3)</f>
        <v>-2013909.3623812983</v>
      </c>
      <c r="D3" s="63">
        <f>Financial_Statements!H19-Financial_Statements!H20+Financial_Statements!H11*(1-Financial_Statements!O3)</f>
        <v>-1195091.3672490327</v>
      </c>
      <c r="E3" s="63">
        <f>Financial_Statements!I19-Financial_Statements!I20+Financial_Statements!I11*(1-Financial_Statements!P3)</f>
        <v>-881292.41323400952</v>
      </c>
      <c r="F3" s="63">
        <f>Financial_Statements!J19-Financial_Statements!J20+Financial_Statements!J11*(1-Financial_Statements!Q3)</f>
        <v>130889.15444057313</v>
      </c>
      <c r="G3" s="63">
        <f>Financial_Statements!K19-Financial_Statements!K20+Financial_Statements!K11*(1-Financial_Statements!R3)</f>
        <v>1034847.6965440421</v>
      </c>
    </row>
    <row r="5" spans="1:15" x14ac:dyDescent="0.35">
      <c r="B5" t="s">
        <v>205</v>
      </c>
      <c r="C5">
        <f>C3</f>
        <v>-2013909.3623812983</v>
      </c>
      <c r="D5">
        <f t="shared" ref="D5:G5" si="0">D3</f>
        <v>-1195091.3672490327</v>
      </c>
      <c r="E5">
        <f t="shared" si="0"/>
        <v>-881292.41323400952</v>
      </c>
      <c r="F5">
        <f t="shared" si="0"/>
        <v>130889.15444057313</v>
      </c>
      <c r="G5">
        <f t="shared" si="0"/>
        <v>1034847.6965440421</v>
      </c>
      <c r="H5">
        <f>G5*(1+$C$7)</f>
        <v>1241817.2358528504</v>
      </c>
      <c r="I5">
        <f>H5*(1+$C$7)</f>
        <v>1490180.6830234204</v>
      </c>
      <c r="J5">
        <f>I5*(1+$C$7)</f>
        <v>1788216.8196281043</v>
      </c>
      <c r="K5">
        <f>J5*(1+$C$7)</f>
        <v>2145860.183553725</v>
      </c>
      <c r="L5">
        <f>K5*(1+$C$7)</f>
        <v>2575032.2202644697</v>
      </c>
      <c r="M5">
        <f>L5*1.02</f>
        <v>2626532.8646697593</v>
      </c>
    </row>
    <row r="6" spans="1:15" x14ac:dyDescent="0.35">
      <c r="B6" t="s">
        <v>224</v>
      </c>
      <c r="C6">
        <f>C5/(1+$C$10)^C1</f>
        <v>-1798133.3592690162</v>
      </c>
      <c r="D6">
        <f t="shared" ref="D6:F6" si="1">D5/(1+$C$10)^D1</f>
        <v>-952719.52108500677</v>
      </c>
      <c r="E6">
        <f t="shared" si="1"/>
        <v>-627286.53228778217</v>
      </c>
      <c r="F6">
        <f t="shared" si="1"/>
        <v>83182.423914106213</v>
      </c>
      <c r="G6">
        <f>G5/(1+$C$10)^G1</f>
        <v>587200.37459762092</v>
      </c>
      <c r="H6">
        <f>H5/(1+$C$10)^H1</f>
        <v>629143.25849745085</v>
      </c>
      <c r="I6">
        <f>I5/(1+$C$10)^I1</f>
        <v>674082.0626758401</v>
      </c>
      <c r="J6">
        <f t="shared" ref="J6:L6" si="2">J5/(1+$C$10)^J1</f>
        <v>722230.78143840004</v>
      </c>
      <c r="K6">
        <f t="shared" si="2"/>
        <v>773818.6943982857</v>
      </c>
      <c r="L6">
        <f t="shared" si="2"/>
        <v>829091.45828387735</v>
      </c>
      <c r="M6">
        <f>M5/((C10)*(1+C10-C9)^L1)</f>
        <v>8438684.3369962443</v>
      </c>
    </row>
    <row r="7" spans="1:15" x14ac:dyDescent="0.35">
      <c r="B7" t="s">
        <v>222</v>
      </c>
      <c r="C7" s="82">
        <v>0.2</v>
      </c>
    </row>
    <row r="8" spans="1:15" x14ac:dyDescent="0.35">
      <c r="B8" t="s">
        <v>223</v>
      </c>
      <c r="C8" s="83">
        <v>5</v>
      </c>
    </row>
    <row r="9" spans="1:15" x14ac:dyDescent="0.35">
      <c r="B9" t="s">
        <v>206</v>
      </c>
      <c r="C9" s="82">
        <v>0.02</v>
      </c>
      <c r="D9" t="s">
        <v>207</v>
      </c>
    </row>
    <row r="10" spans="1:15" x14ac:dyDescent="0.35">
      <c r="B10" t="s">
        <v>208</v>
      </c>
      <c r="C10" s="82">
        <v>0.12</v>
      </c>
      <c r="D10" t="s">
        <v>209</v>
      </c>
    </row>
    <row r="12" spans="1:15" x14ac:dyDescent="0.35">
      <c r="B12" t="s">
        <v>225</v>
      </c>
      <c r="C12">
        <f>SUM(C6:M6)</f>
        <v>9359293.97816002</v>
      </c>
    </row>
    <row r="13" spans="1:15" x14ac:dyDescent="0.35">
      <c r="D13" s="92" t="s">
        <v>227</v>
      </c>
      <c r="E13" s="92"/>
    </row>
    <row r="15" spans="1:15" x14ac:dyDescent="0.35">
      <c r="A15" s="93" t="s">
        <v>228</v>
      </c>
      <c r="B15" s="66">
        <f>C12</f>
        <v>9359293.97816002</v>
      </c>
      <c r="C15" s="94">
        <v>0.1</v>
      </c>
      <c r="D15" s="94">
        <v>0.11</v>
      </c>
      <c r="E15" s="94">
        <v>0.12</v>
      </c>
      <c r="F15" s="94">
        <v>0.13</v>
      </c>
      <c r="G15" s="94">
        <v>0.14000000000000001</v>
      </c>
    </row>
    <row r="16" spans="1:15" x14ac:dyDescent="0.35">
      <c r="A16" s="93"/>
      <c r="B16" s="94">
        <v>5.0000000000000001E-3</v>
      </c>
      <c r="C16">
        <f t="dataTable" ref="C16:G22" dt2D="1" dtr="1" r1="C10" r2="C9"/>
        <v>12052485.940115711</v>
      </c>
      <c r="D16">
        <v>9972722.598487163</v>
      </c>
      <c r="E16">
        <v>8290362.4181863526</v>
      </c>
      <c r="F16">
        <v>6910231.8911520792</v>
      </c>
      <c r="G16">
        <v>5764634.3485778524</v>
      </c>
    </row>
    <row r="17" spans="1:7" x14ac:dyDescent="0.35">
      <c r="A17" s="93"/>
      <c r="B17" s="94">
        <v>0.01</v>
      </c>
      <c r="C17">
        <v>12548811.878831301</v>
      </c>
      <c r="D17">
        <v>10380896.005555086</v>
      </c>
      <c r="E17">
        <v>8629143.8738948312</v>
      </c>
      <c r="F17">
        <v>7193636.5840662885</v>
      </c>
      <c r="G17">
        <v>6003333.5959983384</v>
      </c>
    </row>
    <row r="18" spans="1:7" x14ac:dyDescent="0.35">
      <c r="A18" s="93"/>
      <c r="B18" s="95">
        <v>1.4999999999999999E-2</v>
      </c>
      <c r="C18">
        <v>13070824.993384395</v>
      </c>
      <c r="D18">
        <v>10809997.390937721</v>
      </c>
      <c r="E18">
        <v>8985135.0216810908</v>
      </c>
      <c r="F18">
        <v>7491306.167090551</v>
      </c>
      <c r="G18">
        <v>6253938.592203089</v>
      </c>
    </row>
    <row r="19" spans="1:7" x14ac:dyDescent="0.35">
      <c r="A19" s="93"/>
      <c r="B19" s="94">
        <v>0.02</v>
      </c>
      <c r="C19">
        <v>13619982.403353754</v>
      </c>
      <c r="D19">
        <v>11261202.789770076</v>
      </c>
      <c r="E19">
        <v>9359293.97816002</v>
      </c>
      <c r="F19">
        <v>7804027.510821458</v>
      </c>
      <c r="G19">
        <v>6517100.092766284</v>
      </c>
    </row>
    <row r="20" spans="1:7" x14ac:dyDescent="0.35">
      <c r="A20" s="93"/>
      <c r="B20" s="95">
        <v>2.5000000000000001E-2</v>
      </c>
      <c r="C20">
        <v>14197831.196019484</v>
      </c>
      <c r="D20">
        <v>11735760.166636525</v>
      </c>
      <c r="E20">
        <v>9752636.9147607703</v>
      </c>
      <c r="F20">
        <v>8132634.7241626214</v>
      </c>
      <c r="G20">
        <v>6793507.5627173847</v>
      </c>
    </row>
    <row r="21" spans="1:7" x14ac:dyDescent="0.35">
      <c r="A21" s="93"/>
      <c r="B21" s="94">
        <v>0.03</v>
      </c>
      <c r="C21">
        <v>14806014.437033763</v>
      </c>
      <c r="D21">
        <v>12234994.17569958</v>
      </c>
      <c r="E21">
        <v>10166241.863690428</v>
      </c>
      <c r="F21">
        <v>8478012.2224508636</v>
      </c>
      <c r="G21">
        <v>7083891.6676103678</v>
      </c>
    </row>
    <row r="22" spans="1:7" x14ac:dyDescent="0.35">
      <c r="A22" s="93"/>
      <c r="B22" s="95">
        <v>3.5000000000000003E-2</v>
      </c>
      <c r="C22">
        <v>15446277.613398274</v>
      </c>
      <c r="D22">
        <v>12760311.259941151</v>
      </c>
      <c r="E22">
        <v>10601252.792484675</v>
      </c>
      <c r="F22">
        <v>8841098.010082325</v>
      </c>
      <c r="G22">
        <v>7389026.9371414473</v>
      </c>
    </row>
  </sheetData>
  <mergeCells count="2">
    <mergeCell ref="D13:E13"/>
    <mergeCell ref="A15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8678-CB09-4304-8DAC-5AA318C63FCE}">
  <dimension ref="A1:F8"/>
  <sheetViews>
    <sheetView zoomScale="69" workbookViewId="0">
      <selection activeCell="D15" sqref="D15"/>
    </sheetView>
  </sheetViews>
  <sheetFormatPr defaultRowHeight="14.5" x14ac:dyDescent="0.35"/>
  <sheetData>
    <row r="1" spans="1:6" x14ac:dyDescent="0.35">
      <c r="D1" t="s">
        <v>118</v>
      </c>
      <c r="F1" s="17" t="s">
        <v>114</v>
      </c>
    </row>
    <row r="2" spans="1:6" x14ac:dyDescent="0.35">
      <c r="A2" t="s">
        <v>113</v>
      </c>
      <c r="D2" t="s">
        <v>116</v>
      </c>
      <c r="F2" s="17" t="str">
        <f>IF(F1="SAAS","Hosting Price",IF(OR(F1="One time",F1="Pay per User",F1="Commission"),"Number of Products",""))</f>
        <v>Hosting Price</v>
      </c>
    </row>
    <row r="3" spans="1:6" x14ac:dyDescent="0.35">
      <c r="A3" t="s">
        <v>114</v>
      </c>
      <c r="D3" t="s">
        <v>108</v>
      </c>
      <c r="F3" t="s">
        <v>127</v>
      </c>
    </row>
    <row r="4" spans="1:6" x14ac:dyDescent="0.35">
      <c r="A4" t="s">
        <v>115</v>
      </c>
      <c r="D4" t="s">
        <v>109</v>
      </c>
      <c r="F4" t="s">
        <v>128</v>
      </c>
    </row>
    <row r="5" spans="1:6" x14ac:dyDescent="0.35">
      <c r="A5" t="s">
        <v>119</v>
      </c>
      <c r="D5" t="s">
        <v>108</v>
      </c>
      <c r="F5" t="s">
        <v>129</v>
      </c>
    </row>
    <row r="6" spans="1:6" x14ac:dyDescent="0.35">
      <c r="A6" t="s">
        <v>120</v>
      </c>
      <c r="D6" t="s">
        <v>107</v>
      </c>
      <c r="F6" t="s">
        <v>124</v>
      </c>
    </row>
    <row r="7" spans="1:6" x14ac:dyDescent="0.35">
      <c r="F7" s="25" t="s">
        <v>130</v>
      </c>
    </row>
    <row r="8" spans="1:6" x14ac:dyDescent="0.35">
      <c r="F8" s="17" t="s">
        <v>131</v>
      </c>
    </row>
  </sheetData>
  <dataValidations count="1">
    <dataValidation type="list" allowBlank="1" showInputMessage="1" showErrorMessage="1" sqref="F1" xr:uid="{47027EA9-065F-457B-A1D6-59A28D4AE637}">
      <formula1>$A$3:$A$6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Company_Overview</vt:lpstr>
      <vt:lpstr>Melzi Corporation_Timeline</vt:lpstr>
      <vt:lpstr>Personnel_Cost</vt:lpstr>
      <vt:lpstr>Development_Costs</vt:lpstr>
      <vt:lpstr>Revenue Model</vt:lpstr>
      <vt:lpstr>Financial_Statements</vt:lpstr>
      <vt:lpstr>Valuation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Vaid</dc:creator>
  <cp:lastModifiedBy>Pritesh Vaid</cp:lastModifiedBy>
  <dcterms:created xsi:type="dcterms:W3CDTF">2023-10-14T01:44:23Z</dcterms:created>
  <dcterms:modified xsi:type="dcterms:W3CDTF">2023-10-19T14:35:22Z</dcterms:modified>
</cp:coreProperties>
</file>