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ropbox\MASTER\CPC - Diversified Fund\Accounting\Monthly Closeout\2013\12 - December\"/>
    </mc:Choice>
  </mc:AlternateContent>
  <bookViews>
    <workbookView xWindow="0" yWindow="0" windowWidth="20730" windowHeight="11760"/>
  </bookViews>
  <sheets>
    <sheet name="Fund Performance" sheetId="1" r:id="rId1"/>
    <sheet name="S&amp;P 500 Performance" sheetId="3" r:id="rId2"/>
  </sheets>
  <calcPr calcId="152511"/>
</workbook>
</file>

<file path=xl/calcChain.xml><?xml version="1.0" encoding="utf-8"?>
<calcChain xmlns="http://schemas.openxmlformats.org/spreadsheetml/2006/main">
  <c r="M11" i="1" l="1"/>
  <c r="L11" i="1" l="1"/>
  <c r="K11" i="1" l="1"/>
  <c r="J11" i="1" l="1"/>
  <c r="I11" i="1" l="1"/>
  <c r="H11" i="1" l="1"/>
  <c r="G11" i="1" l="1"/>
  <c r="F11" i="1" l="1"/>
  <c r="I50" i="3" l="1"/>
  <c r="I49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Q72" i="1"/>
  <c r="Q73" i="1" s="1"/>
  <c r="Q65" i="1"/>
  <c r="Q66" i="1" s="1"/>
  <c r="E11" i="1" l="1"/>
  <c r="D11" i="1" l="1"/>
  <c r="C11" i="1" l="1"/>
  <c r="B11" i="1" l="1"/>
  <c r="N11" i="1" s="1"/>
  <c r="M10" i="1" l="1"/>
  <c r="L10" i="1" l="1"/>
  <c r="K6" i="1" l="1"/>
  <c r="K7" i="1"/>
  <c r="K8" i="1"/>
  <c r="K9" i="1"/>
  <c r="K10" i="1"/>
  <c r="J10" i="1" l="1"/>
  <c r="I10" i="1"/>
  <c r="H10" i="1"/>
  <c r="G10" i="1"/>
  <c r="F10" i="1"/>
  <c r="E10" i="1"/>
  <c r="D10" i="1"/>
  <c r="C10" i="1" l="1"/>
  <c r="B10" i="1" l="1"/>
  <c r="M9" i="1" l="1"/>
  <c r="L9" i="1"/>
  <c r="J9" i="1"/>
  <c r="I9" i="1"/>
  <c r="H9" i="1"/>
  <c r="G9" i="1"/>
  <c r="F9" i="1"/>
  <c r="E9" i="1"/>
  <c r="D9" i="1"/>
  <c r="C9" i="1"/>
  <c r="B9" i="1"/>
  <c r="M8" i="1"/>
  <c r="L8" i="1"/>
  <c r="J8" i="1"/>
  <c r="I8" i="1"/>
  <c r="H8" i="1"/>
  <c r="G8" i="1"/>
  <c r="F8" i="1"/>
  <c r="E8" i="1"/>
  <c r="D8" i="1"/>
  <c r="C8" i="1"/>
  <c r="B8" i="1"/>
  <c r="M7" i="1"/>
  <c r="L7" i="1"/>
  <c r="J7" i="1"/>
  <c r="I7" i="1"/>
  <c r="H7" i="1"/>
  <c r="G7" i="1"/>
  <c r="E7" i="1"/>
  <c r="D7" i="1"/>
  <c r="C7" i="1"/>
  <c r="B7" i="1"/>
  <c r="M6" i="1"/>
  <c r="L6" i="1"/>
  <c r="J6" i="1"/>
  <c r="G16" i="1"/>
  <c r="N10" i="1"/>
  <c r="I6" i="1"/>
  <c r="H6" i="1"/>
  <c r="F17" i="1" l="1"/>
  <c r="G17" i="1"/>
  <c r="N9" i="1"/>
  <c r="N8" i="1"/>
  <c r="N7" i="1"/>
  <c r="N6" i="1"/>
  <c r="F18" i="1" l="1"/>
  <c r="G18" i="1" s="1"/>
  <c r="F19" i="1" l="1"/>
  <c r="G19" i="1" l="1"/>
  <c r="F20" i="1" s="1"/>
  <c r="G20" i="1" s="1"/>
  <c r="F21" i="1" l="1"/>
  <c r="G21" i="1" l="1"/>
  <c r="F22" i="1" l="1"/>
  <c r="G22" i="1" l="1"/>
  <c r="F23" i="1" s="1"/>
  <c r="O6" i="1"/>
  <c r="H17" i="1"/>
  <c r="G23" i="1" l="1"/>
  <c r="F24" i="1" s="1"/>
  <c r="G24" i="1" s="1"/>
  <c r="F25" i="1" l="1"/>
  <c r="G25" i="1" s="1"/>
  <c r="F26" i="1" l="1"/>
  <c r="G26" i="1" s="1"/>
  <c r="F27" i="1" l="1"/>
  <c r="G27" i="1" s="1"/>
  <c r="F28" i="1" l="1"/>
  <c r="Q5" i="1" l="1"/>
  <c r="U16" i="1"/>
  <c r="G28" i="1"/>
  <c r="F29" i="1" l="1"/>
  <c r="G29" i="1" s="1"/>
  <c r="F30" i="1" s="1"/>
  <c r="G30" i="1" s="1"/>
  <c r="F31" i="1" l="1"/>
  <c r="G31" i="1" s="1"/>
  <c r="F32" i="1" l="1"/>
  <c r="G32" i="1" s="1"/>
  <c r="F33" i="1" l="1"/>
  <c r="G33" i="1" s="1"/>
  <c r="F34" i="1" l="1"/>
  <c r="G34" i="1" l="1"/>
  <c r="F35" i="1" s="1"/>
  <c r="G35" i="1" s="1"/>
  <c r="O7" i="1"/>
  <c r="H34" i="1"/>
  <c r="F36" i="1" l="1"/>
  <c r="G36" i="1" s="1"/>
  <c r="F37" i="1" l="1"/>
  <c r="G37" i="1" s="1"/>
  <c r="F38" i="1" l="1"/>
  <c r="G38" i="1" s="1"/>
  <c r="F39" i="1" l="1"/>
  <c r="G39" i="1" s="1"/>
  <c r="F40" i="1" l="1"/>
  <c r="R5" i="1" l="1"/>
  <c r="T16" i="1"/>
  <c r="G40" i="1"/>
  <c r="F41" i="1" s="1"/>
  <c r="G41" i="1" s="1"/>
  <c r="F42" i="1" l="1"/>
  <c r="G42" i="1" s="1"/>
  <c r="F43" i="1" l="1"/>
  <c r="G43" i="1" s="1"/>
  <c r="F44" i="1" l="1"/>
  <c r="G44" i="1" l="1"/>
  <c r="F45" i="1" l="1"/>
  <c r="G45" i="1" l="1"/>
  <c r="F46" i="1" l="1"/>
  <c r="G46" i="1" s="1"/>
  <c r="F47" i="1" l="1"/>
  <c r="G47" i="1" s="1"/>
  <c r="O8" i="1"/>
  <c r="H46" i="1"/>
  <c r="F48" i="1" l="1"/>
  <c r="G48" i="1" s="1"/>
  <c r="F49" i="1" l="1"/>
  <c r="G49" i="1" s="1"/>
  <c r="F50" i="1" l="1"/>
  <c r="G50" i="1" s="1"/>
  <c r="F51" i="1" l="1"/>
  <c r="G51" i="1" l="1"/>
  <c r="F52" i="1" l="1"/>
  <c r="G52" i="1" l="1"/>
  <c r="F53" i="1" s="1"/>
  <c r="G53" i="1" s="1"/>
  <c r="S5" i="1"/>
  <c r="S16" i="1"/>
  <c r="F54" i="1" l="1"/>
  <c r="G54" i="1" l="1"/>
  <c r="F55" i="1" l="1"/>
  <c r="G55" i="1" l="1"/>
  <c r="F56" i="1" l="1"/>
  <c r="G56" i="1" l="1"/>
  <c r="F57" i="1"/>
  <c r="G57" i="1" s="1"/>
  <c r="F58" i="1" l="1"/>
  <c r="G58" i="1" l="1"/>
  <c r="F59" i="1" s="1"/>
  <c r="H58" i="1"/>
  <c r="O9" i="1"/>
  <c r="G59" i="1" l="1"/>
  <c r="F60" i="1" l="1"/>
  <c r="G60" i="1" l="1"/>
  <c r="F61" i="1" l="1"/>
  <c r="G61" i="1" l="1"/>
  <c r="F62" i="1" l="1"/>
  <c r="G62" i="1" l="1"/>
  <c r="F63" i="1" l="1"/>
  <c r="G63" i="1" l="1"/>
  <c r="F64" i="1" l="1"/>
  <c r="G64" i="1" l="1"/>
  <c r="T5" i="1"/>
  <c r="R16" i="1"/>
  <c r="F65" i="1"/>
  <c r="G65" i="1" s="1"/>
  <c r="F66" i="1" l="1"/>
  <c r="G66" i="1" s="1"/>
  <c r="F67" i="1" l="1"/>
  <c r="G67" i="1" s="1"/>
  <c r="F68" i="1" l="1"/>
  <c r="G68" i="1" l="1"/>
  <c r="F69" i="1" s="1"/>
  <c r="G69" i="1" s="1"/>
  <c r="F70" i="1" l="1"/>
  <c r="G70" i="1" l="1"/>
  <c r="F71" i="1" s="1"/>
  <c r="H70" i="1"/>
  <c r="O10" i="1"/>
  <c r="G71" i="1" l="1"/>
  <c r="N16" i="1" s="1"/>
  <c r="F72" i="1" l="1"/>
  <c r="G72" i="1" s="1"/>
  <c r="N17" i="1" s="1"/>
  <c r="F73" i="1" l="1"/>
  <c r="G73" i="1" s="1"/>
  <c r="Q64" i="1" s="1"/>
  <c r="Q67" i="1" s="1"/>
  <c r="Q68" i="1" s="1"/>
  <c r="F74" i="1" l="1"/>
  <c r="G74" i="1" s="1"/>
  <c r="N18" i="1"/>
  <c r="F75" i="1" l="1"/>
  <c r="G75" i="1" s="1"/>
  <c r="N20" i="1" s="1"/>
  <c r="Q71" i="1"/>
  <c r="Q74" i="1" s="1"/>
  <c r="Q75" i="1" s="1"/>
  <c r="N19" i="1"/>
  <c r="F76" i="1" l="1"/>
  <c r="G76" i="1" l="1"/>
  <c r="U5" i="1"/>
  <c r="Q16" i="1"/>
  <c r="N21" i="1" l="1"/>
  <c r="F77" i="1"/>
  <c r="G77" i="1" s="1"/>
  <c r="U21" i="1"/>
  <c r="S21" i="1"/>
  <c r="Q21" i="1"/>
  <c r="N22" i="1" l="1"/>
  <c r="F78" i="1"/>
  <c r="G78" i="1" s="1"/>
  <c r="N23" i="1" l="1"/>
  <c r="F79" i="1"/>
  <c r="G79" i="1" s="1"/>
  <c r="N24" i="1" s="1"/>
  <c r="F80" i="1" l="1"/>
  <c r="G80" i="1" s="1"/>
  <c r="N25" i="1" s="1"/>
  <c r="F81" i="1" l="1"/>
  <c r="G81" i="1" s="1"/>
  <c r="N26" i="1" s="1"/>
  <c r="F82" i="1" l="1"/>
  <c r="G82" i="1" s="1"/>
  <c r="N27" i="1" s="1"/>
  <c r="O11" i="1" l="1"/>
  <c r="H82" i="1"/>
</calcChain>
</file>

<file path=xl/comments1.xml><?xml version="1.0" encoding="utf-8"?>
<comments xmlns="http://schemas.openxmlformats.org/spreadsheetml/2006/main">
  <authors>
    <author>Keith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Keith:</t>
        </r>
        <r>
          <rPr>
            <sz val="9"/>
            <color indexed="81"/>
            <rFont val="Tahoma"/>
            <family val="2"/>
          </rPr>
          <t xml:space="preserve">
Based on Feb. 2010 member calc. interest schedule. Based on earned interest and capital contribution participating. $342K contribution is based on $3,669.59 interest and the other $470.74 is calculated on $500,000 contribution determined by dates of interest from indiv. loans.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Keith:</t>
        </r>
        <r>
          <rPr>
            <sz val="9"/>
            <color indexed="81"/>
            <rFont val="Tahoma"/>
            <family val="2"/>
          </rPr>
          <t xml:space="preserve">
Based on Feb. 2012 member calc. interest schedule. Based on earned interest and capital contribution participating. $399K contribution is based on $3,765.7 interest and the other $512.34 is calulated on $500,000 contribution determined by dates of interest from indiv. loans.</t>
        </r>
      </text>
    </comment>
  </commentList>
</comments>
</file>

<file path=xl/sharedStrings.xml><?xml version="1.0" encoding="utf-8"?>
<sst xmlns="http://schemas.openxmlformats.org/spreadsheetml/2006/main" count="49" uniqueCount="41">
  <si>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</si>
  <si>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</si>
  <si>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</si>
  <si>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</si>
  <si>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</si>
  <si>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</si>
  <si>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</si>
  <si>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</si>
  <si>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</si>
  <si>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</si>
  <si>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</si>
  <si>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</si>
  <si>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</si>
  <si>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KWA Accounting calculations</t>
  </si>
  <si>
    <t>Contribution</t>
  </si>
  <si>
    <t>Income</t>
  </si>
  <si>
    <t>End Bal</t>
  </si>
  <si>
    <t>As of</t>
  </si>
  <si>
    <t>AS of</t>
  </si>
  <si>
    <t>March Calculation</t>
  </si>
  <si>
    <t>1+Rate of Return</t>
  </si>
  <si>
    <t>1/N</t>
  </si>
  <si>
    <t>April Calulation</t>
  </si>
  <si>
    <t>N</t>
  </si>
  <si>
    <t>1+Rate of Return^1/N</t>
  </si>
  <si>
    <t>Annualized Rate of Return - Formula</t>
  </si>
  <si>
    <t>(1+Rate of Return)^ 1/N) -1</t>
  </si>
  <si>
    <t>S&amp;P 500</t>
  </si>
  <si>
    <t>CPC - Internal Rate of Return (IRR)</t>
  </si>
  <si>
    <t>S&amp;P 500 - Annualized Rate of Return</t>
  </si>
  <si>
    <t>1 Year</t>
  </si>
  <si>
    <t>3 Year</t>
  </si>
  <si>
    <t>5 Year</t>
  </si>
  <si>
    <t>2 Year</t>
  </si>
  <si>
    <t>4 Year</t>
  </si>
  <si>
    <t>3 year</t>
  </si>
  <si>
    <t>4 year</t>
  </si>
  <si>
    <t>5 year</t>
  </si>
  <si>
    <t>6/30/12 - 6/30/13</t>
  </si>
  <si>
    <t>3 Year Avg</t>
  </si>
  <si>
    <t>5 year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</si>
</sst>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.00000_);_(* \(#,##0.00000\);_(* &quot;-&quot;??_);_(@_)"/>
    <numFmt numFmtId="166" formatCode="_(* #,##0.000000_);_(* \(#,##0.000000\);_(* &quot;-&quot;??_);_(@_)"/>
    <numFmt numFmtId="167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0D0D0D"/>
      </top>
      <bottom style="medium">
        <color rgb="FFFFFFFF"/>
      </bottom>
      <diagonal/>
    </border>
    <border>
      <left/>
      <right style="medium">
        <color rgb="FFFFFFFF"/>
      </right>
      <top style="medium">
        <color rgb="FF0D0D0D"/>
      </top>
      <bottom style="medium">
        <color rgb="FFFFFFFF"/>
      </bottom>
      <diagonal/>
    </border>
    <border>
      <left/>
      <right style="medium">
        <color rgb="FF0D0D0D"/>
      </right>
      <top style="medium">
        <color rgb="FF0D0D0D"/>
      </top>
      <bottom style="medium">
        <color rgb="FFFFFFFF"/>
      </bottom>
      <diagonal/>
    </border>
    <border>
      <left style="medium">
        <color rgb="FF0D0D0D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D0D0D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0D0D0D"/>
      </left>
      <right style="medium">
        <color rgb="FFFFFFFF"/>
      </right>
      <top/>
      <bottom style="medium">
        <color rgb="FF0D0D0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3" applyNumberFormat="0" applyAlignment="0" applyProtection="0"/>
    <xf numFmtId="0" fontId="14" fillId="9" borderId="14" applyNumberFormat="0" applyAlignment="0" applyProtection="0"/>
    <xf numFmtId="0" fontId="15" fillId="9" borderId="13" applyNumberFormat="0" applyAlignment="0" applyProtection="0"/>
    <xf numFmtId="0" fontId="16" fillId="0" borderId="15" applyNumberFormat="0" applyFill="0" applyAlignment="0" applyProtection="0"/>
    <xf numFmtId="0" fontId="17" fillId="10" borderId="16" applyNumberFormat="0" applyAlignment="0" applyProtection="0"/>
    <xf numFmtId="0" fontId="18" fillId="0" borderId="0" applyNumberFormat="0" applyFill="0" applyBorder="0" applyAlignment="0" applyProtection="0"/>
    <xf numFmtId="0" fontId="2" fillId="11" borderId="17" applyNumberFormat="0" applyFont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5" fillId="0" borderId="0" xfId="0" applyFont="1"/>
    <xf numFmtId="0" fontId="5" fillId="0" borderId="7" xfId="0" applyFont="1" applyBorder="1"/>
    <xf numFmtId="0" fontId="0" fillId="2" borderId="0" xfId="0" applyFill="1" applyBorder="1"/>
    <xf numFmtId="10" fontId="0" fillId="2" borderId="0" xfId="0" applyNumberFormat="1" applyFill="1" applyBorder="1"/>
    <xf numFmtId="10" fontId="0" fillId="4" borderId="0" xfId="0" applyNumberFormat="1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10" fontId="0" fillId="4" borderId="9" xfId="0" applyNumberFormat="1" applyFill="1" applyBorder="1"/>
    <xf numFmtId="0" fontId="0" fillId="0" borderId="7" xfId="0" applyBorder="1"/>
    <xf numFmtId="43" fontId="0" fillId="0" borderId="0" xfId="0" applyNumberFormat="1"/>
    <xf numFmtId="0" fontId="0" fillId="0" borderId="0" xfId="0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10" fontId="0" fillId="0" borderId="0" xfId="49" applyNumberFormat="1" applyFont="1"/>
    <xf numFmtId="164" fontId="0" fillId="0" borderId="0" xfId="0" applyNumberFormat="1"/>
    <xf numFmtId="10" fontId="0" fillId="4" borderId="19" xfId="0" applyNumberFormat="1" applyFill="1" applyBorder="1"/>
    <xf numFmtId="0" fontId="0" fillId="0" borderId="19" xfId="0" applyBorder="1"/>
    <xf numFmtId="0" fontId="0" fillId="0" borderId="20" xfId="0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50" applyNumberFormat="1" applyFont="1"/>
    <xf numFmtId="0" fontId="0" fillId="0" borderId="0" xfId="0" applyBorder="1"/>
    <xf numFmtId="43" fontId="0" fillId="0" borderId="0" xfId="0" applyNumberFormat="1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4" fontId="0" fillId="0" borderId="0" xfId="0" applyNumberFormat="1" applyBorder="1"/>
    <xf numFmtId="10" fontId="0" fillId="0" borderId="0" xfId="49" applyNumberFormat="1" applyFont="1" applyBorder="1"/>
    <xf numFmtId="10" fontId="0" fillId="0" borderId="0" xfId="0" applyNumberFormat="1" applyFill="1" applyBorder="1"/>
    <xf numFmtId="15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Fill="1" applyBorder="1"/>
    <xf numFmtId="10" fontId="0" fillId="0" borderId="25" xfId="0" applyNumberFormat="1" applyFill="1" applyBorder="1"/>
    <xf numFmtId="0" fontId="0" fillId="0" borderId="24" xfId="0" applyBorder="1"/>
    <xf numFmtId="0" fontId="0" fillId="0" borderId="25" xfId="0" applyBorder="1"/>
    <xf numFmtId="10" fontId="0" fillId="36" borderId="26" xfId="0" applyNumberFormat="1" applyFill="1" applyBorder="1"/>
    <xf numFmtId="0" fontId="0" fillId="36" borderId="20" xfId="0" applyFill="1" applyBorder="1"/>
    <xf numFmtId="10" fontId="0" fillId="36" borderId="20" xfId="0" applyNumberFormat="1" applyFill="1" applyBorder="1"/>
    <xf numFmtId="10" fontId="0" fillId="36" borderId="27" xfId="0" applyNumberFormat="1" applyFill="1" applyBorder="1"/>
    <xf numFmtId="0" fontId="0" fillId="36" borderId="24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25" xfId="0" applyFill="1" applyBorder="1" applyAlignment="1">
      <alignment horizontal="center"/>
    </xf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/>
    <cellStyle name="Comma 3" xfId="46"/>
    <cellStyle name="Currency" xfId="50" builtinId="4"/>
    <cellStyle name="Currency 2" xfId="4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9" builtinId="5"/>
    <cellStyle name="Percent 2" xfId="45"/>
    <cellStyle name="Percent 3" xfId="48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FFCC"/>
      <color rgb="FFF2F2F2"/>
      <color rgb="FFFFFFFF"/>
      <color rgb="FF173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2"/>
  <sheetViews>
    <sheetView tabSelected="1" zoomScale="90" zoomScaleNormal="90" workbookViewId="0">
      <selection activeCell="O11" sqref="O11"/>
    </sheetView>
  </sheetViews>
  <sheetFormatPr defaultRowHeight="15" outlineLevelRow="1" x14ac:dyDescent="0.25"/>
  <cols>
    <col min="2" max="3" width="9" bestFit="1" customWidth="1"/>
    <col min="4" max="4" width="11.5703125" bestFit="1" customWidth="1"/>
    <col min="5" max="5" width="12.28515625" bestFit="1" customWidth="1"/>
    <col min="6" max="6" width="9.85546875" customWidth="1"/>
    <col min="7" max="7" width="12.140625" bestFit="1" customWidth="1"/>
    <col min="8" max="8" width="11.140625" bestFit="1" customWidth="1"/>
    <col min="9" max="9" width="9.5703125" bestFit="1" customWidth="1"/>
    <col min="10" max="10" width="11.5703125" bestFit="1" customWidth="1"/>
    <col min="11" max="11" width="11.42578125" customWidth="1"/>
    <col min="12" max="12" width="9.85546875" customWidth="1"/>
    <col min="13" max="13" width="10.42578125" bestFit="1" customWidth="1"/>
    <col min="14" max="14" width="11.140625" customWidth="1"/>
    <col min="15" max="15" width="11.7109375" customWidth="1"/>
    <col min="17" max="17" width="10.42578125" customWidth="1"/>
    <col min="18" max="18" width="10.42578125" style="21" customWidth="1"/>
    <col min="20" max="20" width="9.140625" style="21"/>
    <col min="21" max="21" width="9.425781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21" x14ac:dyDescent="0.25">
      <c r="A3" s="11" t="s">
        <v>13</v>
      </c>
    </row>
    <row r="4" spans="1:21" ht="15.75" thickBot="1" x14ac:dyDescent="0.3">
      <c r="A4" s="1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Q4" t="s">
        <v>30</v>
      </c>
      <c r="R4" s="21" t="s">
        <v>33</v>
      </c>
      <c r="S4" t="s">
        <v>31</v>
      </c>
      <c r="T4" s="21" t="s">
        <v>34</v>
      </c>
      <c r="U4" t="s">
        <v>32</v>
      </c>
    </row>
    <row r="5" spans="1:21" ht="15.75" thickBot="1" x14ac:dyDescent="0.3">
      <c r="A5" s="13"/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4" t="s">
        <v>11</v>
      </c>
      <c r="N5" s="4" t="s">
        <v>12</v>
      </c>
      <c r="O5" s="4" t="s">
        <v>12</v>
      </c>
      <c r="Q5" s="42">
        <f>SUM(F17:F28)/G16</f>
        <v>9.7893162651128782E-2</v>
      </c>
      <c r="R5" s="42">
        <f>SUM(F29:F40)/G28</f>
        <v>0.15076041554064049</v>
      </c>
      <c r="S5" s="42">
        <f>SUM(F41:F52)/G40</f>
        <v>0.101995085789597</v>
      </c>
      <c r="T5" s="42">
        <f>SUM(F53:F64)/G52</f>
        <v>9.4884945733732587E-2</v>
      </c>
      <c r="U5" s="42">
        <f>SUM(F65:F76)/G64</f>
        <v>9.0849649149926076E-2</v>
      </c>
    </row>
    <row r="6" spans="1:21" ht="15.75" thickBot="1" x14ac:dyDescent="0.3">
      <c r="A6" s="5">
        <v>2008</v>
      </c>
      <c r="B6" s="14"/>
      <c r="C6" s="14"/>
      <c r="D6" s="14"/>
      <c r="E6" s="14"/>
      <c r="F6" s="14"/>
      <c r="G6" s="14"/>
      <c r="H6" s="15">
        <f>690.33/100000</f>
        <v>6.9033000000000002E-3</v>
      </c>
      <c r="I6" s="15">
        <f>1141.78/201832.11</f>
        <v>5.6570780536357671E-3</v>
      </c>
      <c r="J6" s="15">
        <f>2624.58/204456.69</f>
        <v>1.2836850679720971E-2</v>
      </c>
      <c r="K6" s="15">
        <f>(2603.2/207059.89)+(758.44/307059.89)</f>
        <v>1.5042214720150639E-2</v>
      </c>
      <c r="L6" s="15">
        <f>2748.73/307818.33</f>
        <v>8.9297151342481781E-3</v>
      </c>
      <c r="M6" s="15">
        <f>2281.39/310567.06</f>
        <v>7.3458852976873981E-3</v>
      </c>
      <c r="N6" s="17">
        <f t="shared" ref="N6:N11" si="0">SUM(B6:M6)</f>
        <v>5.6715043885442955E-2</v>
      </c>
      <c r="O6" s="17">
        <f>SUM(F17:F22)/G16</f>
        <v>5.8036883200528758E-2</v>
      </c>
    </row>
    <row r="7" spans="1:21" ht="15.75" thickBot="1" x14ac:dyDescent="0.3">
      <c r="A7" s="6">
        <v>2009</v>
      </c>
      <c r="B7" s="15">
        <f>3593.75/312848.45</f>
        <v>1.1487191322188107E-2</v>
      </c>
      <c r="C7" s="15">
        <f>2782.02/316442.2</f>
        <v>8.7915581423716558E-3</v>
      </c>
      <c r="D7" s="15">
        <f>2967.75/319224.22</f>
        <v>9.2967569941904797E-3</v>
      </c>
      <c r="E7" s="15">
        <f>2218.25/322191.97</f>
        <v>6.8848705323102874E-3</v>
      </c>
      <c r="F7" s="15">
        <v>0</v>
      </c>
      <c r="G7" s="15">
        <f>223.24/324410.22</f>
        <v>6.8814108260831003E-4</v>
      </c>
      <c r="H7" s="15">
        <f>11323/324633.46</f>
        <v>3.4879337453385117E-2</v>
      </c>
      <c r="I7" s="15">
        <f>2642.34/330956.46</f>
        <v>7.9839505172372219E-3</v>
      </c>
      <c r="J7" s="15">
        <f>2599.19/333598.8</f>
        <v>7.7913649569482865E-3</v>
      </c>
      <c r="K7" s="15">
        <f>2407.57/336197.99</f>
        <v>7.1611671443960754E-3</v>
      </c>
      <c r="L7" s="15">
        <f>1014.16/338605.56</f>
        <v>2.9951073455497896E-3</v>
      </c>
      <c r="M7" s="15">
        <f>1197.67/339619.72</f>
        <v>3.5265031135412283E-3</v>
      </c>
      <c r="N7" s="17">
        <f t="shared" si="0"/>
        <v>0.10148594860472657</v>
      </c>
      <c r="O7" s="17">
        <f>SUM(F23:F34)/G22</f>
        <v>0.10585929462964479</v>
      </c>
    </row>
    <row r="8" spans="1:21" ht="15.75" thickBot="1" x14ac:dyDescent="0.3">
      <c r="A8" s="6">
        <v>2010</v>
      </c>
      <c r="B8" s="15">
        <f>1662.79/340817.39</f>
        <v>4.8788296864781455E-3</v>
      </c>
      <c r="C8" s="15">
        <f>(4140.33-470.74)/342480.18+(470.74/407480.18)</f>
        <v>1.1869997807631656E-2</v>
      </c>
      <c r="D8" s="15">
        <f>1832.16/411620.51</f>
        <v>4.4510901558330995E-3</v>
      </c>
      <c r="E8" s="15">
        <f>3865.64/400000</f>
        <v>9.6641000000000001E-3</v>
      </c>
      <c r="F8" s="15">
        <f>15734.57/400000</f>
        <v>3.9336425000000001E-2</v>
      </c>
      <c r="G8" s="15">
        <f>2999.06/400000</f>
        <v>7.4976499999999998E-3</v>
      </c>
      <c r="H8" s="15">
        <f>3576.29/400000</f>
        <v>8.9407250000000001E-3</v>
      </c>
      <c r="I8" s="15">
        <f>2880.56/400000</f>
        <v>7.2014000000000002E-3</v>
      </c>
      <c r="J8" s="15">
        <f>2685.31/400000</f>
        <v>6.7132749999999995E-3</v>
      </c>
      <c r="K8" s="15">
        <f>3221.2/400000</f>
        <v>8.0529999999999994E-3</v>
      </c>
      <c r="L8" s="15">
        <f>2845.39/400000</f>
        <v>7.1134749999999993E-3</v>
      </c>
      <c r="M8" s="15">
        <f>3496.45/400000</f>
        <v>8.7411249999999989E-3</v>
      </c>
      <c r="N8" s="17">
        <f t="shared" si="0"/>
        <v>0.1244610926499429</v>
      </c>
      <c r="O8" s="17">
        <f>SUM(F35:F46)/G34</f>
        <v>0.13128904967177141</v>
      </c>
    </row>
    <row r="9" spans="1:21" ht="15.75" thickBot="1" x14ac:dyDescent="0.3">
      <c r="A9" s="6">
        <v>2011</v>
      </c>
      <c r="B9" s="15">
        <f>2096.85/400000</f>
        <v>5.2421249999999994E-3</v>
      </c>
      <c r="C9" s="15">
        <f>4116.57/400000</f>
        <v>1.0291425E-2</v>
      </c>
      <c r="D9" s="15">
        <f>2162.05/400000</f>
        <v>5.4051250000000002E-3</v>
      </c>
      <c r="E9" s="15">
        <f>4452.29/400000</f>
        <v>1.1130724999999999E-2</v>
      </c>
      <c r="F9" s="15">
        <f>3894.77/400000</f>
        <v>9.7369250000000004E-3</v>
      </c>
      <c r="G9" s="15">
        <f>3586.28/400000</f>
        <v>8.9657000000000001E-3</v>
      </c>
      <c r="H9" s="15">
        <f>4252.61/400000</f>
        <v>1.0631524999999999E-2</v>
      </c>
      <c r="I9" s="15">
        <f>1812.62/400000</f>
        <v>4.5315499999999996E-3</v>
      </c>
      <c r="J9" s="15">
        <f>2687.91/400000</f>
        <v>6.7197749999999999E-3</v>
      </c>
      <c r="K9" s="15">
        <f>2509.83/400000</f>
        <v>6.2745750000000001E-3</v>
      </c>
      <c r="L9" s="15">
        <f>4210.38/400000</f>
        <v>1.0525950000000001E-2</v>
      </c>
      <c r="M9" s="15">
        <f>(2053.71-70.77)/400000+70.77/500000</f>
        <v>5.09889E-3</v>
      </c>
      <c r="N9" s="17">
        <f t="shared" si="0"/>
        <v>9.4554289999999999E-2</v>
      </c>
      <c r="O9" s="17">
        <f>SUM(F47:F58)/G46</f>
        <v>9.8722897103379836E-2</v>
      </c>
    </row>
    <row r="10" spans="1:21" ht="15.75" thickBot="1" x14ac:dyDescent="0.3">
      <c r="A10" s="6">
        <v>2012</v>
      </c>
      <c r="B10" s="15">
        <f>4347.34/500000</f>
        <v>8.6946799999999998E-3</v>
      </c>
      <c r="C10" s="15">
        <f>(4278.04-512.34)/399881.81+512.34/500000</f>
        <v>1.0441712497677251E-2</v>
      </c>
      <c r="D10" s="15">
        <f>2927.75/400000</f>
        <v>7.3193750000000004E-3</v>
      </c>
      <c r="E10" s="15">
        <f>1983.14/400000</f>
        <v>4.9578500000000006E-3</v>
      </c>
      <c r="F10" s="15">
        <f>2915.79/400000</f>
        <v>7.2894750000000001E-3</v>
      </c>
      <c r="G10" s="15">
        <f>3413.44/400000</f>
        <v>8.5336000000000006E-3</v>
      </c>
      <c r="H10" s="15">
        <f>2838.02/400000</f>
        <v>7.0950500000000003E-3</v>
      </c>
      <c r="I10" s="15">
        <f>2514.66/400000</f>
        <v>6.2866499999999995E-3</v>
      </c>
      <c r="J10" s="15">
        <f>3114.44/400000</f>
        <v>7.7860999999999998E-3</v>
      </c>
      <c r="K10" s="15">
        <f>2617.24/400000</f>
        <v>6.5430999999999996E-3</v>
      </c>
      <c r="L10" s="15">
        <f>3316.85/400000</f>
        <v>8.2921249999999991E-3</v>
      </c>
      <c r="M10" s="15">
        <f>2639.04/400000</f>
        <v>6.5976000000000003E-3</v>
      </c>
      <c r="N10" s="27">
        <f t="shared" si="0"/>
        <v>8.9837317497677247E-2</v>
      </c>
      <c r="O10" s="27">
        <f>SUM(F59:F70)/G58</f>
        <v>9.3618572033906708E-2</v>
      </c>
      <c r="P10" s="28"/>
    </row>
    <row r="11" spans="1:21" s="21" customFormat="1" ht="15.75" thickBot="1" x14ac:dyDescent="0.3">
      <c r="A11" s="7">
        <v>2013</v>
      </c>
      <c r="B11" s="16">
        <f>4900.95/400000</f>
        <v>1.2252374999999999E-2</v>
      </c>
      <c r="C11" s="16">
        <f>2734.83/400000</f>
        <v>6.8370749999999997E-3</v>
      </c>
      <c r="D11" s="16">
        <f>2136.01/400000</f>
        <v>5.3400250000000008E-3</v>
      </c>
      <c r="E11" s="16">
        <f>3314.33/400000</f>
        <v>8.2858250000000001E-3</v>
      </c>
      <c r="F11" s="16">
        <f>2088.95/400000</f>
        <v>5.2223749999999996E-3</v>
      </c>
      <c r="G11" s="16">
        <f>2701.2/400000</f>
        <v>6.7529999999999995E-3</v>
      </c>
      <c r="H11" s="16">
        <f>3219.79/400000</f>
        <v>8.0494750000000004E-3</v>
      </c>
      <c r="I11" s="16">
        <f>2499.57/400000</f>
        <v>6.2489250000000007E-3</v>
      </c>
      <c r="J11" s="16">
        <f>2410.77/400000</f>
        <v>6.0269249999999998E-3</v>
      </c>
      <c r="K11" s="16">
        <f>2360.38/400000</f>
        <v>5.9009500000000003E-3</v>
      </c>
      <c r="L11" s="16">
        <f>4073.58/400000</f>
        <v>1.0183950000000001E-2</v>
      </c>
      <c r="M11" s="16">
        <f>4427.56/400000</f>
        <v>1.1068900000000001E-2</v>
      </c>
      <c r="N11" s="18">
        <f t="shared" si="0"/>
        <v>9.216980000000001E-2</v>
      </c>
      <c r="O11" s="18">
        <f>SUM(F71:F82)/G70</f>
        <v>9.6132446863606974E-2</v>
      </c>
    </row>
    <row r="12" spans="1:21" x14ac:dyDescent="0.25">
      <c r="A12" s="8"/>
    </row>
    <row r="13" spans="1:21" x14ac:dyDescent="0.25">
      <c r="A13" s="8"/>
      <c r="Q13" s="43"/>
    </row>
    <row r="14" spans="1:21" x14ac:dyDescent="0.25">
      <c r="A14" s="8"/>
    </row>
    <row r="15" spans="1:21" x14ac:dyDescent="0.25">
      <c r="E15" t="s">
        <v>14</v>
      </c>
      <c r="F15" t="s">
        <v>15</v>
      </c>
      <c r="G15" t="s">
        <v>16</v>
      </c>
      <c r="K15" s="21"/>
      <c r="M15" s="21"/>
      <c r="O15" s="29" t="s">
        <v>17</v>
      </c>
      <c r="Q15" s="44" t="s">
        <v>30</v>
      </c>
      <c r="R15" s="45" t="s">
        <v>33</v>
      </c>
      <c r="S15" s="45" t="s">
        <v>35</v>
      </c>
      <c r="T15" s="45" t="s">
        <v>36</v>
      </c>
      <c r="U15" s="46" t="s">
        <v>37</v>
      </c>
    </row>
    <row r="16" spans="1:21" x14ac:dyDescent="0.25">
      <c r="D16" s="9">
        <v>39630</v>
      </c>
      <c r="E16" s="10">
        <v>100000</v>
      </c>
      <c r="F16" s="10">
        <v>0</v>
      </c>
      <c r="G16" s="10">
        <f>SUM(E16:F16)</f>
        <v>100000</v>
      </c>
      <c r="K16" s="22" t="s">
        <v>28</v>
      </c>
      <c r="M16" s="23"/>
      <c r="N16" s="25">
        <f>SUM(G71-G16)/G16</f>
        <v>0.60996753975451601</v>
      </c>
      <c r="O16" s="24">
        <v>41305</v>
      </c>
      <c r="P16" s="21"/>
      <c r="Q16" s="47">
        <f>SUM(F65:F76)/G64</f>
        <v>9.0849649149926076E-2</v>
      </c>
      <c r="R16" s="42">
        <f>SUM(F53:F64)/G52</f>
        <v>9.4884945733732587E-2</v>
      </c>
      <c r="S16" s="42">
        <f>SUM(F41:F52)/G40</f>
        <v>0.101995085789597</v>
      </c>
      <c r="T16" s="42">
        <f>SUM(F29:F40)/G28</f>
        <v>0.15076041554064049</v>
      </c>
      <c r="U16" s="48">
        <f>SUM(F17:F28)/G16</f>
        <v>9.7893162651128782E-2</v>
      </c>
    </row>
    <row r="17" spans="4:21" x14ac:dyDescent="0.25">
      <c r="D17" s="9">
        <v>39660</v>
      </c>
      <c r="E17" s="10"/>
      <c r="F17" s="10">
        <f>G16*H6</f>
        <v>690.33</v>
      </c>
      <c r="G17" s="10">
        <f>G16+F17</f>
        <v>100690.33</v>
      </c>
      <c r="H17" s="20">
        <f>SUM(F17:F22)</f>
        <v>5803.6883200528755</v>
      </c>
      <c r="K17" s="22"/>
      <c r="L17" s="21"/>
      <c r="M17" s="23"/>
      <c r="N17" s="25">
        <f>SUM(G72-G16)/G16</f>
        <v>0.6209750085713831</v>
      </c>
      <c r="O17" s="24">
        <v>41333</v>
      </c>
      <c r="Q17" s="49"/>
      <c r="R17" s="35"/>
      <c r="S17" s="35"/>
      <c r="T17" s="35"/>
      <c r="U17" s="50"/>
    </row>
    <row r="18" spans="4:21" x14ac:dyDescent="0.25">
      <c r="D18" s="9">
        <v>41152</v>
      </c>
      <c r="E18" s="10"/>
      <c r="F18" s="10">
        <f>I6*G17</f>
        <v>569.61305605634311</v>
      </c>
      <c r="G18" s="10">
        <f t="shared" ref="G18:G68" si="1">G17+F18</f>
        <v>101259.94305605635</v>
      </c>
      <c r="J18" s="21"/>
      <c r="K18" s="22"/>
      <c r="L18" s="21"/>
      <c r="M18" s="23"/>
      <c r="N18" s="25">
        <f>SUM(G73-G16)/G16</f>
        <v>0.62963105564152944</v>
      </c>
      <c r="O18" s="24">
        <v>41364</v>
      </c>
      <c r="Q18" s="49"/>
      <c r="R18" s="35"/>
      <c r="S18" s="35"/>
      <c r="T18" s="35"/>
      <c r="U18" s="50"/>
    </row>
    <row r="19" spans="4:21" x14ac:dyDescent="0.25">
      <c r="D19" s="9">
        <v>39721</v>
      </c>
      <c r="E19" s="10"/>
      <c r="F19" s="10">
        <f>G18*J6</f>
        <v>1299.8587688476437</v>
      </c>
      <c r="G19" s="10">
        <f t="shared" si="1"/>
        <v>102559.80182490399</v>
      </c>
      <c r="J19" s="21"/>
      <c r="K19" s="22"/>
      <c r="L19" s="21"/>
      <c r="M19" s="23"/>
      <c r="N19" s="25">
        <f t="shared" ref="N19:N26" si="2">SUM(G74-$G$16)/$G$16</f>
        <v>0.64313389338314042</v>
      </c>
      <c r="O19" s="24">
        <v>41394</v>
      </c>
      <c r="Q19" s="49" t="s">
        <v>38</v>
      </c>
      <c r="R19" s="35"/>
      <c r="S19" s="35"/>
      <c r="T19" s="35"/>
      <c r="U19" s="50"/>
    </row>
    <row r="20" spans="4:21" x14ac:dyDescent="0.25">
      <c r="D20" s="9">
        <v>39752</v>
      </c>
      <c r="E20" s="10"/>
      <c r="F20" s="10">
        <f>K6*G19</f>
        <v>1542.7265607063032</v>
      </c>
      <c r="G20" s="10">
        <f t="shared" si="1"/>
        <v>104102.52838561029</v>
      </c>
      <c r="J20" s="21"/>
      <c r="K20" s="22"/>
      <c r="L20" s="21"/>
      <c r="M20" s="26"/>
      <c r="N20" s="25">
        <f t="shared" si="2"/>
        <v>0.65171495474959729</v>
      </c>
      <c r="O20" s="24">
        <v>41425</v>
      </c>
      <c r="Q20" s="55" t="s">
        <v>30</v>
      </c>
      <c r="R20" s="56"/>
      <c r="S20" s="56" t="s">
        <v>39</v>
      </c>
      <c r="T20" s="56"/>
      <c r="U20" s="57" t="s">
        <v>40</v>
      </c>
    </row>
    <row r="21" spans="4:21" x14ac:dyDescent="0.25">
      <c r="D21" s="9">
        <v>39782</v>
      </c>
      <c r="E21" s="10"/>
      <c r="F21" s="10">
        <f>L6*G20</f>
        <v>929.60592323848482</v>
      </c>
      <c r="G21" s="10">
        <f t="shared" si="1"/>
        <v>105032.13430884878</v>
      </c>
      <c r="J21" s="21"/>
      <c r="K21" s="22"/>
      <c r="L21" s="21"/>
      <c r="M21" s="23"/>
      <c r="N21" s="25">
        <f t="shared" si="2"/>
        <v>0.66286898583902132</v>
      </c>
      <c r="O21" s="24">
        <v>41455</v>
      </c>
      <c r="Q21" s="51">
        <f>Q16</f>
        <v>9.0849649149926076E-2</v>
      </c>
      <c r="R21" s="52"/>
      <c r="S21" s="53">
        <f>AVERAGE(Q16:S16)</f>
        <v>9.5909893557751882E-2</v>
      </c>
      <c r="T21" s="52"/>
      <c r="U21" s="54">
        <f>AVERAGE(Q16:U16)</f>
        <v>0.10727665177300498</v>
      </c>
    </row>
    <row r="22" spans="4:21" x14ac:dyDescent="0.25">
      <c r="D22" s="9">
        <v>39813</v>
      </c>
      <c r="E22" s="10"/>
      <c r="F22" s="10">
        <f>M6*G21</f>
        <v>771.55401120410033</v>
      </c>
      <c r="G22" s="10">
        <f t="shared" si="1"/>
        <v>105803.68832005288</v>
      </c>
      <c r="J22" s="21"/>
      <c r="K22" s="22"/>
      <c r="L22" s="21"/>
      <c r="M22" s="23"/>
      <c r="N22" s="25">
        <f t="shared" si="2"/>
        <v>0.67625420816880799</v>
      </c>
      <c r="O22" s="24">
        <v>41486</v>
      </c>
    </row>
    <row r="23" spans="4:21" outlineLevel="1" x14ac:dyDescent="0.25">
      <c r="D23" s="9">
        <v>39844</v>
      </c>
      <c r="E23" s="10"/>
      <c r="F23" s="10">
        <f>B7*G22</f>
        <v>1215.3872103256067</v>
      </c>
      <c r="G23" s="10">
        <f t="shared" si="1"/>
        <v>107019.07553037848</v>
      </c>
      <c r="J23" s="21"/>
      <c r="K23" s="22"/>
      <c r="L23" s="21"/>
      <c r="M23" s="23"/>
      <c r="N23" s="25">
        <f t="shared" si="2"/>
        <v>0.68672899499658935</v>
      </c>
      <c r="O23" s="24">
        <v>41517</v>
      </c>
    </row>
    <row r="24" spans="4:21" outlineLevel="1" x14ac:dyDescent="0.25">
      <c r="D24" s="9">
        <v>39872</v>
      </c>
      <c r="E24" s="10"/>
      <c r="F24" s="10">
        <f>C7*G23</f>
        <v>940.86442486818623</v>
      </c>
      <c r="G24" s="10">
        <f t="shared" si="1"/>
        <v>107959.93995524666</v>
      </c>
      <c r="J24" s="21"/>
      <c r="K24" s="22"/>
      <c r="L24" s="21"/>
      <c r="M24" s="23"/>
      <c r="N24" s="25">
        <f t="shared" si="2"/>
        <v>0.69689478414475914</v>
      </c>
      <c r="O24" s="24">
        <v>41547</v>
      </c>
    </row>
    <row r="25" spans="4:21" outlineLevel="1" x14ac:dyDescent="0.25">
      <c r="D25" s="9">
        <v>39903</v>
      </c>
      <c r="E25" s="10"/>
      <c r="F25" s="10">
        <f>D7*G24</f>
        <v>1003.6773268713237</v>
      </c>
      <c r="G25" s="10">
        <f t="shared" si="1"/>
        <v>108963.61728211799</v>
      </c>
      <c r="J25" s="21"/>
      <c r="K25" s="22"/>
      <c r="L25" s="21"/>
      <c r="M25" s="23"/>
      <c r="N25" s="25">
        <f t="shared" si="2"/>
        <v>0.70690807542125811</v>
      </c>
      <c r="O25" s="24">
        <v>41578</v>
      </c>
    </row>
    <row r="26" spans="4:21" outlineLevel="1" x14ac:dyDescent="0.25">
      <c r="D26" s="9">
        <v>39933</v>
      </c>
      <c r="E26" s="10"/>
      <c r="F26" s="10">
        <f>E7*G25</f>
        <v>750.20039771959011</v>
      </c>
      <c r="G26" s="10">
        <f t="shared" si="1"/>
        <v>109713.81767983758</v>
      </c>
      <c r="J26" s="21"/>
      <c r="K26" s="22"/>
      <c r="L26" s="21"/>
      <c r="M26" s="23"/>
      <c r="N26" s="25">
        <f t="shared" si="2"/>
        <v>0.72429114191594446</v>
      </c>
      <c r="O26" s="24">
        <v>41608</v>
      </c>
    </row>
    <row r="27" spans="4:21" outlineLevel="1" x14ac:dyDescent="0.25">
      <c r="D27" s="9">
        <v>39964</v>
      </c>
      <c r="E27" s="10"/>
      <c r="F27" s="10">
        <f>F7*G26</f>
        <v>0</v>
      </c>
      <c r="G27" s="10">
        <f t="shared" si="1"/>
        <v>109713.81767983758</v>
      </c>
      <c r="J27" s="21"/>
      <c r="K27" s="22"/>
      <c r="L27" s="21"/>
      <c r="M27" s="23"/>
      <c r="N27" s="25">
        <f t="shared" ref="N27" si="3">SUM(G82-$G$16)/$G$16</f>
        <v>0.74337714813669797</v>
      </c>
      <c r="O27" s="24">
        <v>41639</v>
      </c>
    </row>
    <row r="28" spans="4:21" outlineLevel="1" x14ac:dyDescent="0.25">
      <c r="D28" s="9">
        <v>39994</v>
      </c>
      <c r="E28" s="10"/>
      <c r="F28" s="10">
        <f>G7*G27</f>
        <v>75.498585275294175</v>
      </c>
      <c r="G28" s="10">
        <f t="shared" si="1"/>
        <v>109789.31626511287</v>
      </c>
      <c r="J28" s="21"/>
      <c r="K28" s="22"/>
      <c r="L28" s="21"/>
      <c r="M28" s="23"/>
    </row>
    <row r="29" spans="4:21" outlineLevel="1" x14ac:dyDescent="0.25">
      <c r="D29" s="9">
        <v>40025</v>
      </c>
      <c r="E29" s="10"/>
      <c r="F29" s="10">
        <f>H7*G28</f>
        <v>3829.3786107872952</v>
      </c>
      <c r="G29" s="10">
        <f t="shared" si="1"/>
        <v>113618.69487590017</v>
      </c>
      <c r="J29" s="21"/>
      <c r="K29" s="22"/>
      <c r="L29" s="21"/>
      <c r="M29" s="23"/>
    </row>
    <row r="30" spans="4:21" outlineLevel="1" x14ac:dyDescent="0.25">
      <c r="D30" s="9">
        <v>40056</v>
      </c>
      <c r="E30" s="10"/>
      <c r="F30" s="10">
        <f>I7*G29</f>
        <v>907.12603772226123</v>
      </c>
      <c r="G30" s="10">
        <f t="shared" si="1"/>
        <v>114525.82091362243</v>
      </c>
      <c r="J30" s="21"/>
      <c r="K30" s="22"/>
      <c r="L30" s="21"/>
      <c r="M30" s="23"/>
    </row>
    <row r="31" spans="4:21" outlineLevel="1" x14ac:dyDescent="0.25">
      <c r="D31" s="9">
        <v>40086</v>
      </c>
      <c r="E31" s="10"/>
      <c r="F31" s="10">
        <f>J7*G30</f>
        <v>892.31246773213297</v>
      </c>
      <c r="G31" s="10">
        <f t="shared" si="1"/>
        <v>115418.13338135456</v>
      </c>
      <c r="J31" s="21"/>
      <c r="K31" s="22"/>
      <c r="L31" s="21"/>
      <c r="M31" s="23"/>
    </row>
    <row r="32" spans="4:21" outlineLevel="1" x14ac:dyDescent="0.25">
      <c r="D32" s="9">
        <v>40117</v>
      </c>
      <c r="E32" s="10"/>
      <c r="F32" s="10">
        <f>K7*G31</f>
        <v>826.52854463808023</v>
      </c>
      <c r="G32" s="10">
        <f t="shared" si="1"/>
        <v>116244.66192599264</v>
      </c>
      <c r="J32" s="21"/>
      <c r="K32" s="22"/>
      <c r="L32" s="21"/>
      <c r="M32" s="23"/>
    </row>
    <row r="33" spans="4:13" outlineLevel="1" x14ac:dyDescent="0.25">
      <c r="D33" s="9">
        <v>40147</v>
      </c>
      <c r="E33" s="10"/>
      <c r="F33" s="10">
        <f>L7*G32</f>
        <v>348.1652408154925</v>
      </c>
      <c r="G33" s="10">
        <f t="shared" si="1"/>
        <v>116592.82716680813</v>
      </c>
      <c r="J33" s="21"/>
      <c r="K33" s="22"/>
      <c r="L33" s="21"/>
      <c r="M33" s="23"/>
    </row>
    <row r="34" spans="4:13" x14ac:dyDescent="0.25">
      <c r="D34" s="9">
        <v>40178</v>
      </c>
      <c r="E34" s="10"/>
      <c r="F34" s="10">
        <f>M7*G33</f>
        <v>411.16496802032316</v>
      </c>
      <c r="G34" s="10">
        <f t="shared" si="1"/>
        <v>117003.99213482846</v>
      </c>
      <c r="H34" s="20">
        <f>SUM(F23:F34)</f>
        <v>11200.303814775585</v>
      </c>
      <c r="J34" s="21"/>
      <c r="K34" s="22"/>
      <c r="L34" s="21"/>
      <c r="M34" s="23"/>
    </row>
    <row r="35" spans="4:13" hidden="1" outlineLevel="1" x14ac:dyDescent="0.25">
      <c r="D35" s="9">
        <v>40209</v>
      </c>
      <c r="E35" s="10"/>
      <c r="F35" s="10">
        <f>B8*G34</f>
        <v>570.84255026385654</v>
      </c>
      <c r="G35" s="10">
        <f t="shared" si="1"/>
        <v>117574.83468509231</v>
      </c>
      <c r="J35" s="21"/>
      <c r="K35" s="22"/>
      <c r="L35" s="21"/>
      <c r="M35" s="23"/>
    </row>
    <row r="36" spans="4:13" hidden="1" outlineLevel="1" x14ac:dyDescent="0.25">
      <c r="D36" s="9">
        <v>40237</v>
      </c>
      <c r="E36" s="10"/>
      <c r="F36" s="10">
        <f>C8*G35</f>
        <v>1395.6130299447002</v>
      </c>
      <c r="G36" s="10">
        <f t="shared" si="1"/>
        <v>118970.44771503701</v>
      </c>
      <c r="J36" s="21"/>
      <c r="K36" s="22"/>
      <c r="L36" s="21"/>
      <c r="M36" s="23"/>
    </row>
    <row r="37" spans="4:13" hidden="1" outlineLevel="1" x14ac:dyDescent="0.25">
      <c r="D37" s="9">
        <v>40268</v>
      </c>
      <c r="E37" s="10"/>
      <c r="F37" s="10">
        <f>D8*G36</f>
        <v>529.54818865945765</v>
      </c>
      <c r="G37" s="10">
        <f t="shared" si="1"/>
        <v>119499.99590369647</v>
      </c>
      <c r="J37" s="21"/>
      <c r="K37" s="22"/>
      <c r="L37" s="21"/>
      <c r="M37" s="23"/>
    </row>
    <row r="38" spans="4:13" hidden="1" outlineLevel="1" x14ac:dyDescent="0.25">
      <c r="D38" s="9">
        <v>40298</v>
      </c>
      <c r="E38" s="10"/>
      <c r="F38" s="10">
        <f>E8*G37</f>
        <v>1154.859910412913</v>
      </c>
      <c r="G38" s="10">
        <f t="shared" si="1"/>
        <v>120654.85581410938</v>
      </c>
      <c r="J38" s="21"/>
      <c r="K38" s="22"/>
      <c r="L38" s="21"/>
      <c r="M38" s="23"/>
    </row>
    <row r="39" spans="4:13" hidden="1" outlineLevel="1" x14ac:dyDescent="0.25">
      <c r="D39" s="9">
        <v>40329</v>
      </c>
      <c r="E39" s="10"/>
      <c r="F39" s="10">
        <f>F8*G38</f>
        <v>4746.1306866175282</v>
      </c>
      <c r="G39" s="10">
        <f t="shared" si="1"/>
        <v>125400.98650072691</v>
      </c>
      <c r="J39" s="21"/>
      <c r="K39" s="22"/>
      <c r="L39" s="21"/>
      <c r="M39" s="23"/>
    </row>
    <row r="40" spans="4:13" hidden="1" outlineLevel="1" x14ac:dyDescent="0.25">
      <c r="D40" s="9">
        <v>40359</v>
      </c>
      <c r="E40" s="10"/>
      <c r="F40" s="10">
        <f>G8*G39</f>
        <v>940.21270643717514</v>
      </c>
      <c r="G40" s="10">
        <f t="shared" si="1"/>
        <v>126341.19920716409</v>
      </c>
      <c r="J40" s="21"/>
      <c r="K40" s="22"/>
      <c r="L40" s="21"/>
      <c r="M40" s="23"/>
    </row>
    <row r="41" spans="4:13" hidden="1" outlineLevel="1" x14ac:dyDescent="0.25">
      <c r="D41" s="9">
        <v>40390</v>
      </c>
      <c r="E41" s="10"/>
      <c r="F41" s="10">
        <f>H8*G40</f>
        <v>1129.5819182814721</v>
      </c>
      <c r="G41" s="10">
        <f t="shared" si="1"/>
        <v>127470.78112544556</v>
      </c>
      <c r="J41" s="21"/>
      <c r="K41" s="22"/>
      <c r="L41" s="21"/>
      <c r="M41" s="23"/>
    </row>
    <row r="42" spans="4:13" hidden="1" outlineLevel="1" x14ac:dyDescent="0.25">
      <c r="D42" s="9">
        <v>40421</v>
      </c>
      <c r="E42" s="10"/>
      <c r="F42" s="10">
        <f>I8*G41</f>
        <v>917.96808319678371</v>
      </c>
      <c r="G42" s="10">
        <f t="shared" si="1"/>
        <v>128388.74920864234</v>
      </c>
      <c r="J42" s="21"/>
      <c r="K42" s="22"/>
      <c r="L42" s="21"/>
      <c r="M42" s="23"/>
    </row>
    <row r="43" spans="4:13" hidden="1" outlineLevel="1" x14ac:dyDescent="0.25">
      <c r="D43" s="9">
        <v>40451</v>
      </c>
      <c r="E43" s="10"/>
      <c r="F43" s="10">
        <f>J8*G42</f>
        <v>861.90898034364841</v>
      </c>
      <c r="G43" s="10">
        <f t="shared" si="1"/>
        <v>129250.658188986</v>
      </c>
      <c r="J43" s="21"/>
      <c r="K43" s="22"/>
      <c r="L43" s="21"/>
      <c r="M43" s="23"/>
    </row>
    <row r="44" spans="4:13" hidden="1" outlineLevel="1" x14ac:dyDescent="0.25">
      <c r="D44" s="9">
        <v>40482</v>
      </c>
      <c r="E44" s="10"/>
      <c r="F44" s="10">
        <f>K8*G43</f>
        <v>1040.8555503959042</v>
      </c>
      <c r="G44" s="10">
        <f t="shared" si="1"/>
        <v>130291.5137393819</v>
      </c>
      <c r="J44" s="21"/>
      <c r="K44" s="22"/>
      <c r="L44" s="21"/>
      <c r="M44" s="23"/>
    </row>
    <row r="45" spans="4:13" hidden="1" outlineLevel="1" x14ac:dyDescent="0.25">
      <c r="D45" s="9">
        <v>40512</v>
      </c>
      <c r="E45" s="10"/>
      <c r="F45" s="10">
        <f>L8*G44</f>
        <v>926.82542569724956</v>
      </c>
      <c r="G45" s="10">
        <f t="shared" si="1"/>
        <v>131218.33916507915</v>
      </c>
      <c r="J45" s="21"/>
      <c r="K45" s="22"/>
      <c r="L45" s="21"/>
      <c r="M45" s="23"/>
    </row>
    <row r="46" spans="4:13" collapsed="1" x14ac:dyDescent="0.25">
      <c r="D46" s="9">
        <v>40543</v>
      </c>
      <c r="E46" s="10"/>
      <c r="F46" s="10">
        <f>M8*G45</f>
        <v>1146.9959049343522</v>
      </c>
      <c r="G46" s="10">
        <f t="shared" si="1"/>
        <v>132365.33507001351</v>
      </c>
      <c r="H46" s="20">
        <f>SUM(F35:F46)</f>
        <v>15361.342935185043</v>
      </c>
      <c r="J46" s="23"/>
      <c r="K46" s="30"/>
      <c r="L46" s="21"/>
      <c r="M46" s="23"/>
    </row>
    <row r="47" spans="4:13" hidden="1" outlineLevel="1" x14ac:dyDescent="0.25">
      <c r="D47" s="9">
        <v>40574</v>
      </c>
      <c r="E47" s="10"/>
      <c r="F47" s="10">
        <f>B9*G46</f>
        <v>693.87563210389442</v>
      </c>
      <c r="G47" s="10">
        <f t="shared" si="1"/>
        <v>133059.21070211739</v>
      </c>
      <c r="J47" s="21"/>
      <c r="K47" s="22"/>
      <c r="L47" s="21"/>
      <c r="M47" s="23"/>
    </row>
    <row r="48" spans="4:13" hidden="1" outlineLevel="1" x14ac:dyDescent="0.25">
      <c r="D48" s="9">
        <v>40602</v>
      </c>
      <c r="E48" s="10"/>
      <c r="F48" s="10">
        <f>C9*G47</f>
        <v>1369.3688875000385</v>
      </c>
      <c r="G48" s="10">
        <f t="shared" si="1"/>
        <v>134428.57958961744</v>
      </c>
      <c r="J48" s="21"/>
      <c r="K48" s="22"/>
      <c r="L48" s="21"/>
      <c r="M48" s="23"/>
    </row>
    <row r="49" spans="4:19" hidden="1" outlineLevel="1" x14ac:dyDescent="0.25">
      <c r="D49" s="9">
        <v>40633</v>
      </c>
      <c r="E49" s="10"/>
      <c r="F49" s="10">
        <f>D9*G48</f>
        <v>726.60327625433104</v>
      </c>
      <c r="G49" s="10">
        <f t="shared" si="1"/>
        <v>135155.18286587176</v>
      </c>
      <c r="J49" s="21"/>
      <c r="K49" s="22"/>
      <c r="L49" s="21"/>
      <c r="M49" s="23"/>
    </row>
    <row r="50" spans="4:19" hidden="1" outlineLevel="1" x14ac:dyDescent="0.25">
      <c r="D50" s="9">
        <v>40663</v>
      </c>
      <c r="E50" s="10"/>
      <c r="F50" s="10">
        <f>E9*G49</f>
        <v>1504.3751728047303</v>
      </c>
      <c r="G50" s="10">
        <f t="shared" si="1"/>
        <v>136659.55803867648</v>
      </c>
      <c r="J50" s="21"/>
      <c r="K50" s="22"/>
      <c r="L50" s="21"/>
      <c r="M50" s="23"/>
    </row>
    <row r="51" spans="4:19" hidden="1" outlineLevel="1" x14ac:dyDescent="0.25">
      <c r="D51" s="9">
        <v>40694</v>
      </c>
      <c r="E51" s="10"/>
      <c r="F51" s="10">
        <f>F9*G50</f>
        <v>1330.6438671557401</v>
      </c>
      <c r="G51" s="10">
        <f t="shared" si="1"/>
        <v>137990.20190583222</v>
      </c>
      <c r="J51" s="21"/>
      <c r="K51" s="22"/>
      <c r="L51" s="21"/>
      <c r="M51" s="23"/>
    </row>
    <row r="52" spans="4:19" hidden="1" outlineLevel="1" x14ac:dyDescent="0.25">
      <c r="D52" s="9">
        <v>40724</v>
      </c>
      <c r="E52" s="10"/>
      <c r="F52" s="10">
        <f>G9*G51</f>
        <v>1237.1787532271198</v>
      </c>
      <c r="G52" s="10">
        <f t="shared" si="1"/>
        <v>139227.38065905933</v>
      </c>
      <c r="J52" s="21"/>
      <c r="K52" s="22"/>
      <c r="L52" s="21"/>
      <c r="M52" s="23"/>
    </row>
    <row r="53" spans="4:19" hidden="1" outlineLevel="1" x14ac:dyDescent="0.25">
      <c r="D53" s="9">
        <v>40755</v>
      </c>
      <c r="E53" s="10"/>
      <c r="F53" s="10">
        <f>H9*G52</f>
        <v>1480.1993781613057</v>
      </c>
      <c r="G53" s="10">
        <f t="shared" si="1"/>
        <v>140707.58003722064</v>
      </c>
      <c r="J53" s="21"/>
      <c r="K53" s="22"/>
      <c r="L53" s="21"/>
      <c r="M53" s="23"/>
    </row>
    <row r="54" spans="4:19" hidden="1" outlineLevel="1" x14ac:dyDescent="0.25">
      <c r="D54" s="9">
        <v>40786</v>
      </c>
      <c r="E54" s="10"/>
      <c r="F54" s="10">
        <f>I9*G53</f>
        <v>637.62343431766715</v>
      </c>
      <c r="G54" s="10">
        <f t="shared" si="1"/>
        <v>141345.20347153832</v>
      </c>
      <c r="J54" s="21"/>
      <c r="K54" s="22"/>
      <c r="L54" s="21"/>
      <c r="M54" s="23"/>
    </row>
    <row r="55" spans="4:19" hidden="1" outlineLevel="1" x14ac:dyDescent="0.25">
      <c r="D55" s="9">
        <v>40816</v>
      </c>
      <c r="E55" s="10"/>
      <c r="F55" s="10">
        <f>J9*G54</f>
        <v>949.8079646579564</v>
      </c>
      <c r="G55" s="10">
        <f t="shared" si="1"/>
        <v>142295.01143619628</v>
      </c>
      <c r="J55" s="21"/>
      <c r="K55" s="22"/>
      <c r="L55" s="21"/>
      <c r="M55" s="23"/>
    </row>
    <row r="56" spans="4:19" hidden="1" outlineLevel="1" x14ac:dyDescent="0.25">
      <c r="D56" s="9">
        <v>40847</v>
      </c>
      <c r="E56" s="10"/>
      <c r="F56" s="10">
        <f>K9*G55</f>
        <v>892.84072138227123</v>
      </c>
      <c r="G56" s="10">
        <f t="shared" si="1"/>
        <v>143187.85215757854</v>
      </c>
      <c r="J56" s="21"/>
      <c r="K56" s="22"/>
      <c r="L56" s="21"/>
      <c r="M56" s="23"/>
    </row>
    <row r="57" spans="4:19" hidden="1" outlineLevel="1" x14ac:dyDescent="0.25">
      <c r="D57" s="9">
        <v>40877</v>
      </c>
      <c r="E57" s="10"/>
      <c r="F57" s="10">
        <f>L9*G56</f>
        <v>1507.1881724180639</v>
      </c>
      <c r="G57" s="10">
        <f t="shared" si="1"/>
        <v>144695.04032999661</v>
      </c>
      <c r="J57" s="21"/>
      <c r="K57" s="22"/>
      <c r="L57" s="21"/>
      <c r="M57" s="23"/>
    </row>
    <row r="58" spans="4:19" collapsed="1" x14ac:dyDescent="0.25">
      <c r="D58" s="9">
        <v>40908</v>
      </c>
      <c r="E58" s="10"/>
      <c r="F58" s="10">
        <f>M9*G57</f>
        <v>737.78409418821639</v>
      </c>
      <c r="G58" s="10">
        <f t="shared" si="1"/>
        <v>145432.82442418483</v>
      </c>
      <c r="H58" s="20">
        <f>SUM(F47:F58)</f>
        <v>13067.489354171337</v>
      </c>
      <c r="J58" s="21"/>
      <c r="K58" s="22"/>
      <c r="L58" s="21"/>
      <c r="M58" s="23"/>
    </row>
    <row r="59" spans="4:19" hidden="1" outlineLevel="1" x14ac:dyDescent="0.25">
      <c r="D59" s="9">
        <v>40939</v>
      </c>
      <c r="E59" s="10"/>
      <c r="F59" s="10">
        <f>B10*G58</f>
        <v>1264.4918698644713</v>
      </c>
      <c r="G59" s="10">
        <f t="shared" si="1"/>
        <v>146697.31629404929</v>
      </c>
      <c r="J59" s="21"/>
      <c r="K59" s="35"/>
      <c r="L59" s="35"/>
      <c r="M59" s="36"/>
      <c r="N59" s="35"/>
      <c r="O59" s="35"/>
    </row>
    <row r="60" spans="4:19" hidden="1" outlineLevel="1" x14ac:dyDescent="0.25">
      <c r="D60" s="9">
        <v>40968</v>
      </c>
      <c r="E60" s="10"/>
      <c r="F60" s="10">
        <f>C10*G59</f>
        <v>1531.7712009232871</v>
      </c>
      <c r="G60" s="10">
        <f t="shared" si="1"/>
        <v>148229.08749497257</v>
      </c>
      <c r="J60" s="21"/>
      <c r="K60" s="37"/>
      <c r="L60" s="35"/>
      <c r="M60" s="36"/>
      <c r="N60" s="35"/>
      <c r="O60" s="38"/>
      <c r="Q60" t="s">
        <v>25</v>
      </c>
    </row>
    <row r="61" spans="4:19" hidden="1" outlineLevel="1" x14ac:dyDescent="0.25">
      <c r="D61" s="9">
        <v>40999</v>
      </c>
      <c r="E61" s="10"/>
      <c r="F61" s="10">
        <f>D10*G60</f>
        <v>1084.9442772835148</v>
      </c>
      <c r="G61" s="10">
        <f t="shared" si="1"/>
        <v>149314.03177225607</v>
      </c>
      <c r="J61" s="21"/>
      <c r="K61" s="37"/>
      <c r="L61" s="35"/>
      <c r="M61" s="36"/>
      <c r="N61" s="39"/>
      <c r="O61" s="40"/>
      <c r="Q61" t="s">
        <v>26</v>
      </c>
    </row>
    <row r="62" spans="4:19" hidden="1" outlineLevel="1" x14ac:dyDescent="0.25">
      <c r="D62" s="9">
        <v>41029</v>
      </c>
      <c r="E62" s="10"/>
      <c r="F62" s="10">
        <f>E10*G61</f>
        <v>740.27657242207988</v>
      </c>
      <c r="G62" s="10">
        <f t="shared" si="1"/>
        <v>150054.30834467814</v>
      </c>
      <c r="J62" s="21"/>
      <c r="K62" s="37"/>
      <c r="L62" s="35"/>
      <c r="M62" s="36"/>
      <c r="N62" s="35"/>
      <c r="O62" s="40"/>
    </row>
    <row r="63" spans="4:19" hidden="1" outlineLevel="1" x14ac:dyDescent="0.25">
      <c r="D63" s="9">
        <v>41060</v>
      </c>
      <c r="E63" s="10"/>
      <c r="F63" s="10">
        <f>F10*G62</f>
        <v>1093.8171293208227</v>
      </c>
      <c r="G63" s="10">
        <f t="shared" si="1"/>
        <v>151148.12547399895</v>
      </c>
      <c r="J63" s="21"/>
      <c r="K63" s="37"/>
      <c r="L63" s="35"/>
      <c r="M63" s="36"/>
      <c r="N63" s="41"/>
      <c r="O63" s="40"/>
      <c r="Q63" t="s">
        <v>19</v>
      </c>
    </row>
    <row r="64" spans="4:19" hidden="1" outlineLevel="1" x14ac:dyDescent="0.25">
      <c r="D64" s="9">
        <v>41090</v>
      </c>
      <c r="E64" s="10"/>
      <c r="F64" s="10">
        <f>G10*G63</f>
        <v>1289.8376435449175</v>
      </c>
      <c r="G64" s="10">
        <f t="shared" si="1"/>
        <v>152437.96311754387</v>
      </c>
      <c r="J64" s="21"/>
      <c r="K64" s="37"/>
      <c r="L64" s="35"/>
      <c r="M64" s="36"/>
      <c r="N64" s="41"/>
      <c r="O64" s="40"/>
      <c r="Q64" s="26">
        <f>1+(G73-G70)/G70</f>
        <v>1.0246156308831058</v>
      </c>
      <c r="R64" s="26"/>
      <c r="S64" t="s">
        <v>20</v>
      </c>
    </row>
    <row r="65" spans="4:19" hidden="1" outlineLevel="1" x14ac:dyDescent="0.25">
      <c r="D65" s="9">
        <v>41121</v>
      </c>
      <c r="E65" s="10"/>
      <c r="F65" s="10">
        <f>H10*G64</f>
        <v>1081.5549702171297</v>
      </c>
      <c r="G65" s="10">
        <f t="shared" si="1"/>
        <v>153519.51808776101</v>
      </c>
      <c r="J65" s="21"/>
      <c r="K65" s="22"/>
      <c r="L65" s="21"/>
      <c r="M65" s="23"/>
      <c r="Q65">
        <f>90/365</f>
        <v>0.24657534246575341</v>
      </c>
      <c r="S65" t="s">
        <v>23</v>
      </c>
    </row>
    <row r="66" spans="4:19" hidden="1" outlineLevel="1" x14ac:dyDescent="0.25">
      <c r="D66" s="9">
        <v>41152</v>
      </c>
      <c r="E66" s="10"/>
      <c r="F66" s="10">
        <f>I10*G65</f>
        <v>965.12347838642268</v>
      </c>
      <c r="G66" s="10">
        <f t="shared" si="1"/>
        <v>154484.64156614745</v>
      </c>
      <c r="J66" s="21"/>
      <c r="K66" s="22"/>
      <c r="L66" s="21"/>
      <c r="M66" s="23"/>
      <c r="Q66" s="31">
        <f>1/Q65</f>
        <v>4.0555555555555554</v>
      </c>
      <c r="R66" s="31"/>
      <c r="S66" t="s">
        <v>21</v>
      </c>
    </row>
    <row r="67" spans="4:19" hidden="1" outlineLevel="1" x14ac:dyDescent="0.25">
      <c r="D67" s="9">
        <v>41182</v>
      </c>
      <c r="E67" s="10"/>
      <c r="F67" s="10">
        <f>J10*G66</f>
        <v>1202.8328676981805</v>
      </c>
      <c r="G67" s="10">
        <f t="shared" si="1"/>
        <v>155687.47443384564</v>
      </c>
      <c r="J67" s="21"/>
      <c r="K67" s="22"/>
      <c r="L67" s="21"/>
      <c r="M67" s="23"/>
      <c r="N67" s="25"/>
      <c r="Q67">
        <f>Q64^Q66</f>
        <v>1.1036481219117265</v>
      </c>
      <c r="S67" t="s">
        <v>24</v>
      </c>
    </row>
    <row r="68" spans="4:19" hidden="1" outlineLevel="1" x14ac:dyDescent="0.25">
      <c r="D68" s="9">
        <v>41213</v>
      </c>
      <c r="E68" s="10"/>
      <c r="F68" s="10">
        <f>K10*G67</f>
        <v>1018.6787139680953</v>
      </c>
      <c r="G68" s="10">
        <f t="shared" si="1"/>
        <v>156706.15314781372</v>
      </c>
      <c r="J68" s="21"/>
      <c r="K68" s="22"/>
      <c r="L68" s="21"/>
      <c r="M68" s="23"/>
      <c r="Q68">
        <f>Q67-1</f>
        <v>0.10364812191172645</v>
      </c>
      <c r="S68">
        <v>-1</v>
      </c>
    </row>
    <row r="69" spans="4:19" hidden="1" outlineLevel="1" x14ac:dyDescent="0.25">
      <c r="D69" s="24">
        <v>41243</v>
      </c>
      <c r="E69" s="10"/>
      <c r="F69" s="22">
        <f>L10*G68</f>
        <v>1299.4270101708148</v>
      </c>
      <c r="G69" s="22">
        <f>G68+F69</f>
        <v>158005.58015798454</v>
      </c>
      <c r="J69" s="21"/>
    </row>
    <row r="70" spans="4:19" collapsed="1" x14ac:dyDescent="0.25">
      <c r="D70" s="24">
        <v>41274</v>
      </c>
      <c r="E70" s="10"/>
      <c r="F70" s="22">
        <f>M10*G69</f>
        <v>1042.457615650319</v>
      </c>
      <c r="G70" s="22">
        <f>G69+F70</f>
        <v>159048.03777363486</v>
      </c>
      <c r="H70" s="20">
        <f>SUM(F59:F70)</f>
        <v>13615.213349450054</v>
      </c>
      <c r="J70" s="23"/>
      <c r="Q70" t="s">
        <v>22</v>
      </c>
    </row>
    <row r="71" spans="4:19" x14ac:dyDescent="0.25">
      <c r="D71" s="24">
        <v>41305</v>
      </c>
      <c r="E71" s="10"/>
      <c r="F71" s="22">
        <f>B11*G70</f>
        <v>1948.7162018167394</v>
      </c>
      <c r="G71" s="22">
        <f>G70+F71</f>
        <v>160996.7539754516</v>
      </c>
      <c r="H71" s="23"/>
      <c r="J71" s="21"/>
      <c r="Q71" s="26">
        <f>1+(G74-G70)/G70</f>
        <v>1.0331054166928679</v>
      </c>
      <c r="R71" s="26"/>
      <c r="S71" t="s">
        <v>20</v>
      </c>
    </row>
    <row r="72" spans="4:19" x14ac:dyDescent="0.25">
      <c r="D72" s="24">
        <v>41333</v>
      </c>
      <c r="E72" s="10"/>
      <c r="F72" s="22">
        <f>C11*G71</f>
        <v>1100.7468816867108</v>
      </c>
      <c r="G72" s="22">
        <f t="shared" ref="G72:G82" si="4">G71+F72</f>
        <v>162097.50085713831</v>
      </c>
      <c r="H72" s="23"/>
      <c r="J72" s="21"/>
      <c r="Q72">
        <f>120/365</f>
        <v>0.32876712328767121</v>
      </c>
      <c r="S72" t="s">
        <v>23</v>
      </c>
    </row>
    <row r="73" spans="4:19" x14ac:dyDescent="0.25">
      <c r="D73" s="24">
        <v>41364</v>
      </c>
      <c r="E73" s="10"/>
      <c r="F73" s="22">
        <f>D11*G72</f>
        <v>865.6047070146401</v>
      </c>
      <c r="G73" s="22">
        <f t="shared" si="4"/>
        <v>162963.10556415294</v>
      </c>
      <c r="H73" s="23"/>
      <c r="J73" s="21"/>
      <c r="Q73">
        <f>1/Q72</f>
        <v>3.041666666666667</v>
      </c>
      <c r="S73" s="21" t="s">
        <v>21</v>
      </c>
    </row>
    <row r="74" spans="4:19" x14ac:dyDescent="0.25">
      <c r="D74" s="24">
        <v>41394</v>
      </c>
      <c r="E74" s="10"/>
      <c r="F74" s="22">
        <f>E11*G73</f>
        <v>1350.2837741610977</v>
      </c>
      <c r="G74" s="22">
        <f t="shared" si="4"/>
        <v>164313.38933831404</v>
      </c>
      <c r="H74" s="23"/>
      <c r="I74" s="23"/>
      <c r="Q74" s="23">
        <f>Q71^Q73</f>
        <v>1.1041377939531511</v>
      </c>
      <c r="R74" s="23"/>
      <c r="S74" s="21" t="s">
        <v>24</v>
      </c>
    </row>
    <row r="75" spans="4:19" x14ac:dyDescent="0.25">
      <c r="D75" s="24">
        <v>41425</v>
      </c>
      <c r="E75" s="10"/>
      <c r="F75" s="22">
        <f>F11*G74</f>
        <v>858.10613664567768</v>
      </c>
      <c r="G75" s="22">
        <f t="shared" si="4"/>
        <v>165171.49547495972</v>
      </c>
      <c r="H75" s="23"/>
      <c r="Q75" s="32">
        <f>Q74-1</f>
        <v>0.10413779395315115</v>
      </c>
      <c r="R75" s="32"/>
      <c r="S75" s="21">
        <v>-1</v>
      </c>
    </row>
    <row r="76" spans="4:19" x14ac:dyDescent="0.25">
      <c r="D76" s="24">
        <v>41455</v>
      </c>
      <c r="E76" s="10"/>
      <c r="F76" s="22">
        <f>G11*G75</f>
        <v>1115.4031089424029</v>
      </c>
      <c r="G76" s="22">
        <f t="shared" si="4"/>
        <v>166286.89858390213</v>
      </c>
      <c r="H76" s="23"/>
    </row>
    <row r="77" spans="4:19" x14ac:dyDescent="0.25">
      <c r="D77" s="24">
        <v>41486</v>
      </c>
      <c r="E77" s="10"/>
      <c r="F77" s="22">
        <f>H11*G76</f>
        <v>1338.5222329786557</v>
      </c>
      <c r="G77" s="22">
        <f t="shared" si="4"/>
        <v>167625.4208168808</v>
      </c>
      <c r="H77" s="23"/>
    </row>
    <row r="78" spans="4:19" x14ac:dyDescent="0.25">
      <c r="D78" s="24">
        <v>41517</v>
      </c>
      <c r="F78" s="22">
        <f>I11*G77</f>
        <v>1047.478682778127</v>
      </c>
      <c r="G78" s="22">
        <f t="shared" si="4"/>
        <v>168672.89949965893</v>
      </c>
      <c r="H78" s="23"/>
    </row>
    <row r="79" spans="4:19" x14ac:dyDescent="0.25">
      <c r="D79" s="24">
        <v>41547</v>
      </c>
      <c r="F79" s="22">
        <f>J11*G78</f>
        <v>1016.5789148169819</v>
      </c>
      <c r="G79" s="22">
        <f t="shared" si="4"/>
        <v>169689.47841447592</v>
      </c>
      <c r="H79" s="23"/>
    </row>
    <row r="80" spans="4:19" x14ac:dyDescent="0.25">
      <c r="D80" s="24">
        <v>41578</v>
      </c>
      <c r="F80" s="22">
        <f>K11*G79</f>
        <v>1001.3291276499017</v>
      </c>
      <c r="G80" s="22">
        <f t="shared" si="4"/>
        <v>170690.80754212581</v>
      </c>
      <c r="H80" s="23"/>
    </row>
    <row r="81" spans="4:8" x14ac:dyDescent="0.25">
      <c r="D81" s="24">
        <v>41608</v>
      </c>
      <c r="F81" s="22">
        <f>L11*G80</f>
        <v>1738.3066494686323</v>
      </c>
      <c r="G81" s="22">
        <f t="shared" si="4"/>
        <v>172429.11419159445</v>
      </c>
      <c r="H81" s="23"/>
    </row>
    <row r="82" spans="4:8" x14ac:dyDescent="0.25">
      <c r="D82" s="24">
        <v>41639</v>
      </c>
      <c r="F82" s="22">
        <f>M11*G81</f>
        <v>1908.60062207534</v>
      </c>
      <c r="G82" s="22">
        <f t="shared" si="4"/>
        <v>174337.71481366979</v>
      </c>
      <c r="H82" s="23">
        <f>SUM(F71:F82)</f>
        <v>15289.677040034909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5" x14ac:dyDescent="0.25"/>
  <cols>
    <col min="2" max="2" width="12.5703125" bestFit="1" customWidth="1"/>
    <col min="9" max="9" width="9.85546875" customWidth="1"/>
    <col min="10" max="10" width="9.7109375" bestFit="1" customWidth="1"/>
  </cols>
  <sheetData>
    <row r="1" spans="1:3" x14ac:dyDescent="0.25">
      <c r="A1" s="24"/>
      <c r="B1" s="21" t="s">
        <v>27</v>
      </c>
      <c r="C1" s="21"/>
    </row>
    <row r="2" spans="1:3" x14ac:dyDescent="0.25">
      <c r="A2" s="24"/>
      <c r="B2" s="21"/>
      <c r="C2" s="21"/>
    </row>
    <row r="3" spans="1:3" x14ac:dyDescent="0.25">
      <c r="A3" s="33"/>
      <c r="B3" s="34">
        <v>100000</v>
      </c>
      <c r="C3" s="25"/>
    </row>
    <row r="4" spans="1:3" x14ac:dyDescent="0.25">
      <c r="A4" s="33">
        <v>39630</v>
      </c>
      <c r="B4" s="34">
        <v>98740.89</v>
      </c>
      <c r="C4" s="25">
        <f t="shared" ref="C4:C35" si="0">SUM(B4-B3)/B3</f>
        <v>-1.2591100000000006E-2</v>
      </c>
    </row>
    <row r="5" spans="1:3" x14ac:dyDescent="0.25">
      <c r="A5" s="33">
        <v>39661</v>
      </c>
      <c r="B5" s="34">
        <v>100012.86527707418</v>
      </c>
      <c r="C5" s="25">
        <f t="shared" si="0"/>
        <v>1.2881950700203088E-2</v>
      </c>
    </row>
    <row r="6" spans="1:3" x14ac:dyDescent="0.25">
      <c r="A6" s="33">
        <v>39693</v>
      </c>
      <c r="B6" s="34">
        <v>91750.596940368094</v>
      </c>
      <c r="C6" s="25">
        <f t="shared" si="0"/>
        <v>-8.2612055097275885E-2</v>
      </c>
    </row>
    <row r="7" spans="1:3" x14ac:dyDescent="0.25">
      <c r="A7" s="33">
        <v>39722</v>
      </c>
      <c r="B7" s="34">
        <v>76487.743912164777</v>
      </c>
      <c r="C7" s="25">
        <f t="shared" si="0"/>
        <v>-0.16635153925072746</v>
      </c>
    </row>
    <row r="8" spans="1:3" x14ac:dyDescent="0.25">
      <c r="A8" s="33">
        <v>39755</v>
      </c>
      <c r="B8" s="34">
        <v>70866.754113881441</v>
      </c>
      <c r="C8" s="25">
        <f t="shared" si="0"/>
        <v>-7.3488764484127514E-2</v>
      </c>
    </row>
    <row r="9" spans="1:3" x14ac:dyDescent="0.25">
      <c r="A9" s="33">
        <v>39783</v>
      </c>
      <c r="B9" s="34">
        <v>71879.451484455887</v>
      </c>
      <c r="C9" s="25">
        <f t="shared" si="0"/>
        <v>1.4290161631320967E-2</v>
      </c>
    </row>
    <row r="10" spans="1:3" x14ac:dyDescent="0.25">
      <c r="A10" s="33">
        <v>39815</v>
      </c>
      <c r="B10" s="34">
        <v>65931.938167184751</v>
      </c>
      <c r="C10" s="25">
        <f t="shared" si="0"/>
        <v>-8.2742886797867413E-2</v>
      </c>
    </row>
    <row r="11" spans="1:3" x14ac:dyDescent="0.25">
      <c r="A11" s="33">
        <v>39846</v>
      </c>
      <c r="B11" s="34">
        <v>58709.136478598288</v>
      </c>
      <c r="C11" s="25">
        <f t="shared" si="0"/>
        <v>-0.10954936089200777</v>
      </c>
    </row>
    <row r="12" spans="1:3" x14ac:dyDescent="0.25">
      <c r="A12" s="33">
        <v>39874</v>
      </c>
      <c r="B12" s="34">
        <v>63865.428018858343</v>
      </c>
      <c r="C12" s="25">
        <f t="shared" si="0"/>
        <v>8.7827753047257304E-2</v>
      </c>
    </row>
    <row r="13" spans="1:3" x14ac:dyDescent="0.25">
      <c r="A13" s="33">
        <v>39904</v>
      </c>
      <c r="B13" s="34">
        <v>69876.217374342887</v>
      </c>
      <c r="C13" s="25">
        <f t="shared" si="0"/>
        <v>9.4116481200277283E-2</v>
      </c>
    </row>
    <row r="14" spans="1:3" x14ac:dyDescent="0.25">
      <c r="A14" s="33">
        <v>39934</v>
      </c>
      <c r="B14" s="34">
        <v>73755.838814248025</v>
      </c>
      <c r="C14" s="25">
        <f t="shared" si="0"/>
        <v>5.5521343107643034E-2</v>
      </c>
    </row>
    <row r="15" spans="1:3" x14ac:dyDescent="0.25">
      <c r="A15" s="33">
        <v>39965</v>
      </c>
      <c r="B15" s="34">
        <v>73747.132178811982</v>
      </c>
      <c r="C15" s="25">
        <f t="shared" si="0"/>
        <v>-1.1804672790679741E-4</v>
      </c>
    </row>
    <row r="16" spans="1:3" x14ac:dyDescent="0.25">
      <c r="A16" s="33">
        <v>39995</v>
      </c>
      <c r="B16" s="34">
        <v>79199.310462642083</v>
      </c>
      <c r="C16" s="25">
        <f t="shared" si="0"/>
        <v>7.3930715985136924E-2</v>
      </c>
    </row>
    <row r="17" spans="1:3" x14ac:dyDescent="0.25">
      <c r="A17" s="33">
        <v>40028</v>
      </c>
      <c r="B17" s="34">
        <v>81844.036647365778</v>
      </c>
      <c r="C17" s="25">
        <f t="shared" si="0"/>
        <v>3.3393298114270817E-2</v>
      </c>
    </row>
    <row r="18" spans="1:3" x14ac:dyDescent="0.25">
      <c r="A18" s="33">
        <v>40057</v>
      </c>
      <c r="B18" s="34">
        <v>84724.71558393116</v>
      </c>
      <c r="C18" s="25">
        <f t="shared" si="0"/>
        <v>3.5197175684003844E-2</v>
      </c>
    </row>
    <row r="19" spans="1:3" x14ac:dyDescent="0.25">
      <c r="A19" s="33">
        <v>40087</v>
      </c>
      <c r="B19" s="34">
        <v>83108.725999973409</v>
      </c>
      <c r="C19" s="25">
        <f t="shared" si="0"/>
        <v>-1.9073414089621786E-2</v>
      </c>
    </row>
    <row r="20" spans="1:3" x14ac:dyDescent="0.25">
      <c r="A20" s="33">
        <v>40119</v>
      </c>
      <c r="B20" s="34">
        <v>87894.44832074859</v>
      </c>
      <c r="C20" s="25">
        <f t="shared" si="0"/>
        <v>5.7583872971133168E-2</v>
      </c>
    </row>
    <row r="21" spans="1:3" x14ac:dyDescent="0.25">
      <c r="A21" s="33">
        <v>40148</v>
      </c>
      <c r="B21" s="34">
        <v>89453.270554688774</v>
      </c>
      <c r="C21" s="25">
        <f t="shared" si="0"/>
        <v>1.773516147745368E-2</v>
      </c>
    </row>
    <row r="22" spans="1:3" x14ac:dyDescent="0.25">
      <c r="A22" s="33">
        <v>40182</v>
      </c>
      <c r="B22" s="34">
        <v>86137.117990681407</v>
      </c>
      <c r="C22" s="25">
        <f t="shared" si="0"/>
        <v>-3.7071339521118803E-2</v>
      </c>
    </row>
    <row r="23" spans="1:3" x14ac:dyDescent="0.25">
      <c r="A23" s="33">
        <v>40210</v>
      </c>
      <c r="B23" s="34">
        <v>88613.443824366725</v>
      </c>
      <c r="C23" s="25">
        <f t="shared" si="0"/>
        <v>2.8748649727904928E-2</v>
      </c>
    </row>
    <row r="24" spans="1:3" x14ac:dyDescent="0.25">
      <c r="A24" s="33">
        <v>40238</v>
      </c>
      <c r="B24" s="34">
        <v>93809.977865632216</v>
      </c>
      <c r="C24" s="25">
        <f t="shared" si="0"/>
        <v>5.8642727525239913E-2</v>
      </c>
    </row>
    <row r="25" spans="1:3" x14ac:dyDescent="0.25">
      <c r="A25" s="33">
        <v>40269</v>
      </c>
      <c r="B25" s="34">
        <v>95212.53104138613</v>
      </c>
      <c r="C25" s="25">
        <f t="shared" si="0"/>
        <v>1.4951002096630348E-2</v>
      </c>
    </row>
    <row r="26" spans="1:3" x14ac:dyDescent="0.25">
      <c r="A26" s="33">
        <v>40301</v>
      </c>
      <c r="B26" s="34">
        <v>87545.085033270341</v>
      </c>
      <c r="C26" s="25">
        <f t="shared" si="0"/>
        <v>-8.0529799221312287E-2</v>
      </c>
    </row>
    <row r="27" spans="1:3" x14ac:dyDescent="0.25">
      <c r="A27" s="33">
        <v>40330</v>
      </c>
      <c r="B27" s="34">
        <v>82795.701057584287</v>
      </c>
      <c r="C27" s="25">
        <f t="shared" si="0"/>
        <v>-5.4250720915755744E-2</v>
      </c>
    </row>
    <row r="28" spans="1:3" x14ac:dyDescent="0.25">
      <c r="A28" s="33">
        <v>40360</v>
      </c>
      <c r="B28" s="34">
        <v>88466.204932897483</v>
      </c>
      <c r="C28" s="25">
        <f t="shared" si="0"/>
        <v>6.848790218430989E-2</v>
      </c>
    </row>
    <row r="29" spans="1:3" x14ac:dyDescent="0.25">
      <c r="A29" s="33">
        <v>40392</v>
      </c>
      <c r="B29" s="34">
        <v>84281.456929793771</v>
      </c>
      <c r="C29" s="25">
        <f t="shared" si="0"/>
        <v>-4.7303351672855029E-2</v>
      </c>
    </row>
    <row r="30" spans="1:3" x14ac:dyDescent="0.25">
      <c r="A30" s="33">
        <v>40422</v>
      </c>
      <c r="B30" s="34">
        <v>91664.394916218225</v>
      </c>
      <c r="C30" s="25">
        <f t="shared" si="0"/>
        <v>8.7598604193261903E-2</v>
      </c>
    </row>
    <row r="31" spans="1:3" x14ac:dyDescent="0.25">
      <c r="A31" s="33">
        <v>40452</v>
      </c>
      <c r="B31" s="34">
        <v>95088.896872522382</v>
      </c>
      <c r="C31" s="25">
        <f t="shared" si="0"/>
        <v>3.7359129020970147E-2</v>
      </c>
    </row>
    <row r="32" spans="1:3" x14ac:dyDescent="0.25">
      <c r="A32" s="33">
        <v>40483</v>
      </c>
      <c r="B32" s="34">
        <v>94874.142055067816</v>
      </c>
      <c r="C32" s="25">
        <f t="shared" si="0"/>
        <v>-2.2584636536742025E-3</v>
      </c>
    </row>
    <row r="33" spans="1:10" x14ac:dyDescent="0.25">
      <c r="A33" s="33">
        <v>40513</v>
      </c>
      <c r="B33" s="34">
        <v>101048.49732747582</v>
      </c>
      <c r="C33" s="25">
        <f t="shared" si="0"/>
        <v>6.5079431957595205E-2</v>
      </c>
    </row>
    <row r="34" spans="1:10" x14ac:dyDescent="0.25">
      <c r="A34" s="33">
        <v>40546</v>
      </c>
      <c r="B34" s="34">
        <v>103354.70937638824</v>
      </c>
      <c r="C34" s="25">
        <f t="shared" si="0"/>
        <v>2.2822823791614613E-2</v>
      </c>
    </row>
    <row r="35" spans="1:10" x14ac:dyDescent="0.25">
      <c r="A35" s="33">
        <v>40575</v>
      </c>
      <c r="B35" s="34">
        <v>106628.84236660317</v>
      </c>
      <c r="C35" s="25">
        <f t="shared" si="0"/>
        <v>3.1678604777373769E-2</v>
      </c>
    </row>
    <row r="36" spans="1:10" x14ac:dyDescent="0.25">
      <c r="A36" s="33">
        <v>40603</v>
      </c>
      <c r="B36" s="34">
        <v>106542.72945101179</v>
      </c>
      <c r="C36" s="25">
        <f t="shared" ref="C36:C61" si="1">SUM(B36-B35)/B35</f>
        <v>-8.0759495911353482E-4</v>
      </c>
    </row>
    <row r="37" spans="1:10" x14ac:dyDescent="0.25">
      <c r="A37" s="33">
        <v>40634</v>
      </c>
      <c r="B37" s="34">
        <v>109564.48733328925</v>
      </c>
      <c r="C37" s="25">
        <f t="shared" si="1"/>
        <v>2.8361934200933463E-2</v>
      </c>
    </row>
    <row r="38" spans="1:10" x14ac:dyDescent="0.25">
      <c r="A38" s="33">
        <v>40665</v>
      </c>
      <c r="B38" s="34">
        <v>108069.40750130928</v>
      </c>
      <c r="C38" s="25">
        <f t="shared" si="1"/>
        <v>-1.3645660819203334E-2</v>
      </c>
    </row>
    <row r="39" spans="1:10" x14ac:dyDescent="0.25">
      <c r="A39" s="33">
        <v>40695</v>
      </c>
      <c r="B39" s="34">
        <v>106119.15353443324</v>
      </c>
      <c r="C39" s="25">
        <f t="shared" si="1"/>
        <v>-1.8046309422510863E-2</v>
      </c>
    </row>
    <row r="40" spans="1:10" x14ac:dyDescent="0.25">
      <c r="A40" s="33">
        <v>40725</v>
      </c>
      <c r="B40" s="34">
        <v>103818.86922401575</v>
      </c>
      <c r="C40" s="25">
        <f t="shared" si="1"/>
        <v>-2.1676429125220012E-2</v>
      </c>
    </row>
    <row r="41" spans="1:10" x14ac:dyDescent="0.25">
      <c r="A41" s="33">
        <v>40756</v>
      </c>
      <c r="B41" s="34">
        <v>98540.47633040449</v>
      </c>
      <c r="C41" s="25">
        <f t="shared" si="1"/>
        <v>-5.0842326959098176E-2</v>
      </c>
    </row>
    <row r="42" spans="1:10" x14ac:dyDescent="0.25">
      <c r="A42" s="33">
        <v>40787</v>
      </c>
      <c r="B42" s="34">
        <v>91366.659168353071</v>
      </c>
      <c r="C42" s="25">
        <f t="shared" si="1"/>
        <v>-7.2800715291833337E-2</v>
      </c>
    </row>
    <row r="43" spans="1:10" x14ac:dyDescent="0.25">
      <c r="A43" s="33">
        <v>40819</v>
      </c>
      <c r="B43" s="34">
        <v>101261.11691854676</v>
      </c>
      <c r="C43" s="25">
        <f t="shared" si="1"/>
        <v>0.10829396456274128</v>
      </c>
    </row>
    <row r="44" spans="1:10" x14ac:dyDescent="0.25">
      <c r="A44" s="33">
        <v>40848</v>
      </c>
      <c r="B44" s="34">
        <v>100729.47734262093</v>
      </c>
      <c r="C44" s="25">
        <f t="shared" si="1"/>
        <v>-5.2501847906089643E-3</v>
      </c>
    </row>
    <row r="45" spans="1:10" x14ac:dyDescent="0.25">
      <c r="A45" s="33">
        <v>40878</v>
      </c>
      <c r="B45" s="34">
        <v>101684.04608043899</v>
      </c>
      <c r="C45" s="25">
        <f t="shared" si="1"/>
        <v>9.4765580344588901E-3</v>
      </c>
    </row>
    <row r="46" spans="1:10" x14ac:dyDescent="0.25">
      <c r="A46" s="33">
        <v>40911</v>
      </c>
      <c r="B46" s="34">
        <v>106118.8061542044</v>
      </c>
      <c r="C46" s="25">
        <f t="shared" si="1"/>
        <v>4.3613135439724907E-2</v>
      </c>
      <c r="F46" s="22" t="s">
        <v>29</v>
      </c>
      <c r="G46" s="21"/>
      <c r="H46" s="23"/>
      <c r="I46" s="21"/>
      <c r="J46" s="29" t="s">
        <v>18</v>
      </c>
    </row>
    <row r="47" spans="1:10" x14ac:dyDescent="0.25">
      <c r="A47" s="33">
        <v>40940</v>
      </c>
      <c r="B47" s="34">
        <v>110435.7026296728</v>
      </c>
      <c r="C47" s="25">
        <f t="shared" si="1"/>
        <v>4.0679843958999949E-2</v>
      </c>
      <c r="F47" s="22"/>
      <c r="G47" s="21"/>
      <c r="H47" s="23"/>
      <c r="I47" s="26"/>
      <c r="J47" s="24">
        <v>41305</v>
      </c>
    </row>
    <row r="48" spans="1:10" x14ac:dyDescent="0.25">
      <c r="A48" s="33">
        <v>40969</v>
      </c>
      <c r="B48" s="34">
        <v>113894.70498698337</v>
      </c>
      <c r="C48" s="25">
        <f t="shared" si="1"/>
        <v>3.1321413953508709E-2</v>
      </c>
      <c r="F48" s="22"/>
      <c r="G48" s="21"/>
      <c r="H48" s="23"/>
      <c r="I48" s="21"/>
      <c r="J48" s="24">
        <v>41333</v>
      </c>
    </row>
    <row r="49" spans="1:10" x14ac:dyDescent="0.25">
      <c r="A49" s="33">
        <v>41001</v>
      </c>
      <c r="B49" s="34">
        <v>113028.14974163371</v>
      </c>
      <c r="C49" s="25">
        <f t="shared" si="1"/>
        <v>-7.6083892174680064E-3</v>
      </c>
      <c r="F49" s="22"/>
      <c r="G49" s="21"/>
      <c r="H49" s="23"/>
      <c r="I49" s="25">
        <f>((1+(B60-$B$57)/$B$57)^(1/(90/365))-1)</f>
        <v>0.4749495437653235</v>
      </c>
      <c r="J49" s="24">
        <v>41364</v>
      </c>
    </row>
    <row r="50" spans="1:10" x14ac:dyDescent="0.25">
      <c r="A50" s="33">
        <v>41030</v>
      </c>
      <c r="B50" s="34">
        <v>105930.37786825093</v>
      </c>
      <c r="C50" s="25">
        <f t="shared" si="1"/>
        <v>-6.2796497063848933E-2</v>
      </c>
      <c r="F50" s="22"/>
      <c r="G50" s="21"/>
      <c r="H50" s="23"/>
      <c r="I50" s="25">
        <f>((1+(B61-$B$57)/$B$57)^(1/(120/365))-1)</f>
        <v>0.41527670737787292</v>
      </c>
      <c r="J50" s="24">
        <v>41394</v>
      </c>
    </row>
    <row r="51" spans="1:10" x14ac:dyDescent="0.25">
      <c r="A51" s="33">
        <v>41061</v>
      </c>
      <c r="B51" s="34">
        <v>110169.79179033801</v>
      </c>
      <c r="C51" s="25">
        <f t="shared" si="1"/>
        <v>4.0020757099156042E-2</v>
      </c>
    </row>
    <row r="52" spans="1:10" x14ac:dyDescent="0.25">
      <c r="A52" s="33">
        <v>41092</v>
      </c>
      <c r="B52" s="34">
        <v>111502.72419152755</v>
      </c>
      <c r="C52" s="25">
        <f t="shared" si="1"/>
        <v>1.2098891897029401E-2</v>
      </c>
    </row>
    <row r="53" spans="1:10" x14ac:dyDescent="0.25">
      <c r="A53" s="33">
        <v>41122</v>
      </c>
      <c r="B53" s="34">
        <v>113721.5656315972</v>
      </c>
      <c r="C53" s="25">
        <f t="shared" si="1"/>
        <v>1.9899437042079429E-2</v>
      </c>
    </row>
    <row r="54" spans="1:10" x14ac:dyDescent="0.25">
      <c r="A54" s="33">
        <v>41156</v>
      </c>
      <c r="B54" s="34">
        <v>116467.2243075608</v>
      </c>
      <c r="C54" s="25">
        <f t="shared" si="1"/>
        <v>2.4143693948588448E-2</v>
      </c>
    </row>
    <row r="55" spans="1:10" x14ac:dyDescent="0.25">
      <c r="A55" s="33">
        <v>41194</v>
      </c>
      <c r="B55" s="34">
        <v>114132.32409484108</v>
      </c>
      <c r="C55" s="25">
        <f t="shared" si="1"/>
        <v>-2.0047702060399662E-2</v>
      </c>
    </row>
    <row r="56" spans="1:10" x14ac:dyDescent="0.25">
      <c r="A56" s="33">
        <v>41225</v>
      </c>
      <c r="B56" s="34">
        <v>114437.80830150156</v>
      </c>
      <c r="C56" s="25">
        <f t="shared" si="1"/>
        <v>2.6765792170027692E-3</v>
      </c>
    </row>
    <row r="57" spans="1:10" x14ac:dyDescent="0.25">
      <c r="A57" s="33">
        <v>41256</v>
      </c>
      <c r="B57" s="34">
        <v>115267.10557237563</v>
      </c>
      <c r="C57" s="25">
        <f t="shared" si="1"/>
        <v>7.2467070383694992E-3</v>
      </c>
    </row>
    <row r="58" spans="1:10" x14ac:dyDescent="0.25">
      <c r="A58" s="33">
        <v>41287</v>
      </c>
      <c r="B58" s="34">
        <v>121034.51472417072</v>
      </c>
      <c r="C58" s="25">
        <f t="shared" si="1"/>
        <v>5.0035169384675497E-2</v>
      </c>
    </row>
    <row r="59" spans="1:10" x14ac:dyDescent="0.25">
      <c r="A59" s="33">
        <v>41318</v>
      </c>
      <c r="B59" s="34">
        <v>122441.15791033566</v>
      </c>
      <c r="C59" s="25">
        <f t="shared" si="1"/>
        <v>1.1621835220892071E-2</v>
      </c>
    </row>
    <row r="60" spans="1:10" x14ac:dyDescent="0.25">
      <c r="A60" s="33">
        <v>41346</v>
      </c>
      <c r="B60" s="34">
        <v>126859.1142850677</v>
      </c>
      <c r="C60" s="25">
        <f t="shared" si="1"/>
        <v>3.6082281890598658E-2</v>
      </c>
    </row>
    <row r="61" spans="1:10" x14ac:dyDescent="0.25">
      <c r="A61" s="33">
        <v>41377</v>
      </c>
      <c r="B61" s="34">
        <v>129210.28</v>
      </c>
      <c r="C61" s="25">
        <f t="shared" si="1"/>
        <v>1.8533675945812986E-2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 Performance</vt:lpstr>
      <vt:lpstr>S&amp;P 500 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ACSmyth</dc:creator>
  <cp:lastModifiedBy>Keith</cp:lastModifiedBy>
  <dcterms:created xsi:type="dcterms:W3CDTF">2012-10-04T21:00:07Z</dcterms:created>
  <dcterms:modified xsi:type="dcterms:W3CDTF">2014-01-03T17:35:51Z</dcterms:modified>
</cp:coreProperties>
</file>