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Verdana"/>
      <scheme val="minor"/>
    </font>
    <font>
      <sz val="11.0"/>
      <color theme="1"/>
      <name val="Verdana"/>
      <scheme val="minor"/>
    </font>
    <font>
      <color theme="1"/>
      <name val="Verdana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Font="1"/>
    <xf borderId="0" fillId="0" fontId="2" numFmtId="2" xfId="0" applyFont="1" applyNumberFormat="1"/>
    <xf borderId="0" fillId="0" fontId="2" numFmtId="10" xfId="0" applyFont="1" applyNumberFormat="1"/>
    <xf borderId="0" fillId="0" fontId="2" numFmtId="10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W48" displayName="Table_1" id="1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424242"/>
      </a:dk1>
      <a:lt1>
        <a:srgbClr val="FFFFFF"/>
      </a:lt1>
      <a:dk2>
        <a:srgbClr val="424242"/>
      </a:dk2>
      <a:lt2>
        <a:srgbClr val="FFFFFF"/>
      </a:lt2>
      <a:accent1>
        <a:srgbClr val="C0791B"/>
      </a:accent1>
      <a:accent2>
        <a:srgbClr val="0B6374"/>
      </a:accent2>
      <a:accent3>
        <a:srgbClr val="FD5B58"/>
      </a:accent3>
      <a:accent4>
        <a:srgbClr val="27278B"/>
      </a:accent4>
      <a:accent5>
        <a:srgbClr val="8DD8D3"/>
      </a:accent5>
      <a:accent6>
        <a:srgbClr val="D7E6A3"/>
      </a:accent6>
      <a:hlink>
        <a:srgbClr val="27278B"/>
      </a:hlink>
      <a:folHlink>
        <a:srgbClr val="27278B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sheetData>
    <row r="1">
      <c r="A1" s="1" t="str">
        <f>IFERROR(__xludf.DUMMYFUNCTION("QUERY(IMPORTRANGE(""1p-9k3euCCLVtj_-Goo9IuSQb7VNc1jDgWATVotDnNzI"", ""Task 1!A:P""), ""SELECT * WHERE Col15 = 'Good Stock'"")
"),"Stock")</f>
        <v>Stock</v>
      </c>
      <c r="B1" s="1" t="str">
        <f>IFERROR(__xludf.DUMMYFUNCTION("""COMPUTED_VALUE"""),"Market cap (in Rs Cr.)")</f>
        <v>Market cap (in Rs Cr.)</v>
      </c>
      <c r="C1" s="1" t="str">
        <f>IFERROR(__xludf.DUMMYFUNCTION("""COMPUTED_VALUE"""),"Current price")</f>
        <v>Current price</v>
      </c>
      <c r="D1" s="1" t="str">
        <f>IFERROR(__xludf.DUMMYFUNCTION("""COMPUTED_VALUE"""),"PE Ratio")</f>
        <v>PE Ratio</v>
      </c>
      <c r="E1" s="1" t="str">
        <f>IFERROR(__xludf.DUMMYFUNCTION("""COMPUTED_VALUE"""),"52 Week High")</f>
        <v>52 Week High</v>
      </c>
      <c r="F1" s="1" t="str">
        <f>IFERROR(__xludf.DUMMYFUNCTION("""COMPUTED_VALUE"""),"% Below 52 week high")</f>
        <v>% Below 52 week high</v>
      </c>
      <c r="G1" s="1" t="str">
        <f>IFERROR(__xludf.DUMMYFUNCTION("""COMPUTED_VALUE"""),"52 Week Low")</f>
        <v>52 Week Low</v>
      </c>
      <c r="H1" s="1" t="str">
        <f>IFERROR(__xludf.DUMMYFUNCTION("""COMPUTED_VALUE"""),"% Above 52 Week low")</f>
        <v>% Above 52 Week low</v>
      </c>
      <c r="I1" s="1" t="str">
        <f>IFERROR(__xludf.DUMMYFUNCTION("""COMPUTED_VALUE"""),"Yesterday Closing Price")</f>
        <v>Yesterday Closing Price</v>
      </c>
      <c r="J1" s="2" t="str">
        <f>IFERROR(__xludf.DUMMYFUNCTION("""COMPUTED_VALUE"""),"% Change")</f>
        <v>% Change</v>
      </c>
      <c r="K1" s="1" t="str">
        <f>IFERROR(__xludf.DUMMYFUNCTION("""COMPUTED_VALUE"""),"Industry")</f>
        <v>Industry</v>
      </c>
      <c r="L1" s="1" t="str">
        <f>IFERROR(__xludf.DUMMYFUNCTION("""COMPUTED_VALUE"""),"NSE/BSE Code")</f>
        <v>NSE/BSE Code</v>
      </c>
      <c r="M1" s="1" t="str">
        <f>IFERROR(__xludf.DUMMYFUNCTION("""COMPUTED_VALUE"""),"Bear Mode 1")</f>
        <v>Bear Mode 1</v>
      </c>
      <c r="N1" s="1" t="str">
        <f>IFERROR(__xludf.DUMMYFUNCTION("""COMPUTED_VALUE"""),"Bear Mode 2")</f>
        <v>Bear Mode 2</v>
      </c>
      <c r="O1" s="1" t="str">
        <f>IFERROR(__xludf.DUMMYFUNCTION("""COMPUTED_VALUE"""),"Stock Status")</f>
        <v>Stock Status</v>
      </c>
      <c r="P1" s="1" t="str">
        <f>IFERROR(__xludf.DUMMYFUNCTION("""COMPUTED_VALUE"""),"Cap Size")</f>
        <v>Cap Size</v>
      </c>
      <c r="Q1" s="1"/>
      <c r="R1" s="1"/>
      <c r="S1" s="1"/>
      <c r="T1" s="1"/>
      <c r="U1" s="1"/>
      <c r="V1" s="1"/>
      <c r="W1" s="1"/>
      <c r="X1" s="2"/>
      <c r="Y1" s="2"/>
      <c r="Z1" s="2"/>
      <c r="AA1" s="2"/>
    </row>
    <row r="2">
      <c r="A2" s="3" t="str">
        <f>IFERROR(__xludf.DUMMYFUNCTION("""COMPUTED_VALUE"""),"HUL")</f>
        <v>HUL</v>
      </c>
      <c r="B2" s="4">
        <f>IFERROR(__xludf.DUMMYFUNCTION("""COMPUTED_VALUE"""),616301.326875)</f>
        <v>616301.3269</v>
      </c>
      <c r="C2" s="3">
        <f>IFERROR(__xludf.DUMMYFUNCTION("""COMPUTED_VALUE"""),2620.6)</f>
        <v>2620.6</v>
      </c>
      <c r="D2" s="3">
        <f>IFERROR(__xludf.DUMMYFUNCTION("""COMPUTED_VALUE"""),63.81)</f>
        <v>63.81</v>
      </c>
      <c r="E2" s="3">
        <f>IFERROR(__xludf.DUMMYFUNCTION("""COMPUTED_VALUE"""),2741.6)</f>
        <v>2741.6</v>
      </c>
      <c r="F2" s="5">
        <f>IFERROR(__xludf.DUMMYFUNCTION("""COMPUTED_VALUE"""),0.0441348117887365)</f>
        <v>0.04413481179</v>
      </c>
      <c r="G2" s="3">
        <f>IFERROR(__xludf.DUMMYFUNCTION("""COMPUTED_VALUE"""),1901.55)</f>
        <v>1901.55</v>
      </c>
      <c r="H2" s="5">
        <f>IFERROR(__xludf.DUMMYFUNCTION("""COMPUTED_VALUE"""),0.37813888669769397)</f>
        <v>0.3781388867</v>
      </c>
      <c r="I2" s="3">
        <f>IFERROR(__xludf.DUMMYFUNCTION("""COMPUTED_VALUE"""),2590.05)</f>
        <v>2590.05</v>
      </c>
      <c r="J2" s="6">
        <f>IFERROR(__xludf.DUMMYFUNCTION("""COMPUTED_VALUE"""),0.011795139089978852)</f>
        <v>0.01179513909</v>
      </c>
      <c r="K2" s="3" t="str">
        <f>IFERROR(__xludf.DUMMYFUNCTION("""COMPUTED_VALUE"""),"FMCG")</f>
        <v>FMCG</v>
      </c>
      <c r="L2" s="3" t="str">
        <f>IFERROR(__xludf.DUMMYFUNCTION("""COMPUTED_VALUE"""),"HINDUNILVR")</f>
        <v>HINDUNILVR</v>
      </c>
      <c r="M2" s="3" t="str">
        <f>IFERROR(__xludf.DUMMYFUNCTION("""COMPUTED_VALUE"""),"No")</f>
        <v>No</v>
      </c>
      <c r="N2" s="3" t="str">
        <f>IFERROR(__xludf.DUMMYFUNCTION("""COMPUTED_VALUE"""),"No")</f>
        <v>No</v>
      </c>
      <c r="O2" s="3" t="str">
        <f>IFERROR(__xludf.DUMMYFUNCTION("""COMPUTED_VALUE"""),"Good Stock")</f>
        <v>Good Stock</v>
      </c>
      <c r="P2" s="3" t="str">
        <f>IFERROR(__xludf.DUMMYFUNCTION("""COMPUTED_VALUE"""),"Large Cap")</f>
        <v>Large Cap</v>
      </c>
      <c r="Q2" s="3"/>
      <c r="R2" s="3"/>
      <c r="S2" s="3"/>
      <c r="T2" s="3"/>
      <c r="U2" s="3"/>
      <c r="V2" s="3"/>
      <c r="W2" s="3"/>
    </row>
    <row r="3">
      <c r="A3" s="3" t="str">
        <f>IFERROR(__xludf.DUMMYFUNCTION("""COMPUTED_VALUE"""),"SBI Bank")</f>
        <v>SBI Bank</v>
      </c>
      <c r="B3" s="4">
        <f>IFERROR(__xludf.DUMMYFUNCTION("""COMPUTED_VALUE"""),535431.3246675)</f>
        <v>535431.3247</v>
      </c>
      <c r="C3" s="3">
        <f>IFERROR(__xludf.DUMMYFUNCTION("""COMPUTED_VALUE"""),600.05)</f>
        <v>600.05</v>
      </c>
      <c r="D3" s="3">
        <f>IFERROR(__xludf.DUMMYFUNCTION("""COMPUTED_VALUE"""),13.0)</f>
        <v>13</v>
      </c>
      <c r="E3" s="3">
        <f>IFERROR(__xludf.DUMMYFUNCTION("""COMPUTED_VALUE"""),629.65)</f>
        <v>629.65</v>
      </c>
      <c r="F3" s="5">
        <f>IFERROR(__xludf.DUMMYFUNCTION("""COMPUTED_VALUE"""),0.047010243786230484)</f>
        <v>0.04701024379</v>
      </c>
      <c r="G3" s="3">
        <f>IFERROR(__xludf.DUMMYFUNCTION("""COMPUTED_VALUE"""),425.0)</f>
        <v>425</v>
      </c>
      <c r="H3" s="5">
        <f>IFERROR(__xludf.DUMMYFUNCTION("""COMPUTED_VALUE"""),0.41188235294117637)</f>
        <v>0.4118823529</v>
      </c>
      <c r="I3" s="3">
        <f>IFERROR(__xludf.DUMMYFUNCTION("""COMPUTED_VALUE"""),595.0)</f>
        <v>595</v>
      </c>
      <c r="J3" s="6">
        <f>IFERROR(__xludf.DUMMYFUNCTION("""COMPUTED_VALUE"""),0.008487394957983117)</f>
        <v>0.008487394958</v>
      </c>
      <c r="K3" s="3" t="str">
        <f>IFERROR(__xludf.DUMMYFUNCTION("""COMPUTED_VALUE"""),"Bank")</f>
        <v>Bank</v>
      </c>
      <c r="L3" s="3" t="str">
        <f>IFERROR(__xludf.DUMMYFUNCTION("""COMPUTED_VALUE"""),"BOM:500112")</f>
        <v>BOM:500112</v>
      </c>
      <c r="M3" s="3" t="str">
        <f>IFERROR(__xludf.DUMMYFUNCTION("""COMPUTED_VALUE"""),"No")</f>
        <v>No</v>
      </c>
      <c r="N3" s="3" t="str">
        <f>IFERROR(__xludf.DUMMYFUNCTION("""COMPUTED_VALUE"""),"No")</f>
        <v>No</v>
      </c>
      <c r="O3" s="3" t="str">
        <f>IFERROR(__xludf.DUMMYFUNCTION("""COMPUTED_VALUE"""),"Good Stock")</f>
        <v>Good Stock</v>
      </c>
      <c r="P3" s="3" t="str">
        <f>IFERROR(__xludf.DUMMYFUNCTION("""COMPUTED_VALUE"""),"Large Cap")</f>
        <v>Large Cap</v>
      </c>
      <c r="Q3" s="3"/>
      <c r="R3" s="3"/>
      <c r="S3" s="3"/>
      <c r="T3" s="3"/>
      <c r="U3" s="3"/>
      <c r="V3" s="3"/>
      <c r="W3" s="3"/>
    </row>
    <row r="4">
      <c r="A4" s="3" t="str">
        <f>IFERROR(__xludf.DUMMYFUNCTION("""COMPUTED_VALUE"""),"L&amp;T")</f>
        <v>L&amp;T</v>
      </c>
      <c r="B4" s="4">
        <f>IFERROR(__xludf.DUMMYFUNCTION("""COMPUTED_VALUE"""),302617.166625)</f>
        <v>302617.1666</v>
      </c>
      <c r="C4" s="3">
        <f>IFERROR(__xludf.DUMMYFUNCTION("""COMPUTED_VALUE"""),2153.75)</f>
        <v>2153.75</v>
      </c>
      <c r="D4" s="3">
        <f>IFERROR(__xludf.DUMMYFUNCTION("""COMPUTED_VALUE"""),31.53)</f>
        <v>31.53</v>
      </c>
      <c r="E4" s="3">
        <f>IFERROR(__xludf.DUMMYFUNCTION("""COMPUTED_VALUE"""),2210.5)</f>
        <v>2210.5</v>
      </c>
      <c r="F4" s="5">
        <f>IFERROR(__xludf.DUMMYFUNCTION("""COMPUTED_VALUE"""),0.025672924677674736)</f>
        <v>0.02567292468</v>
      </c>
      <c r="G4" s="3">
        <f>IFERROR(__xludf.DUMMYFUNCTION("""COMPUTED_VALUE"""),1456.8)</f>
        <v>1456.8</v>
      </c>
      <c r="H4" s="5">
        <f>IFERROR(__xludf.DUMMYFUNCTION("""COMPUTED_VALUE"""),0.4784115870400879)</f>
        <v>0.478411587</v>
      </c>
      <c r="I4" s="3">
        <f>IFERROR(__xludf.DUMMYFUNCTION("""COMPUTED_VALUE"""),2160.2)</f>
        <v>2160.2</v>
      </c>
      <c r="J4" s="6">
        <f>IFERROR(__xludf.DUMMYFUNCTION("""COMPUTED_VALUE"""),-0.0029858346449401995)</f>
        <v>-0.002985834645</v>
      </c>
      <c r="K4" s="3" t="str">
        <f>IFERROR(__xludf.DUMMYFUNCTION("""COMPUTED_VALUE"""),"Infrastructure")</f>
        <v>Infrastructure</v>
      </c>
      <c r="L4" s="3" t="str">
        <f>IFERROR(__xludf.DUMMYFUNCTION("""COMPUTED_VALUE"""),"BOM:500510")</f>
        <v>BOM:500510</v>
      </c>
      <c r="M4" s="3" t="str">
        <f>IFERROR(__xludf.DUMMYFUNCTION("""COMPUTED_VALUE"""),"No")</f>
        <v>No</v>
      </c>
      <c r="N4" s="3" t="str">
        <f>IFERROR(__xludf.DUMMYFUNCTION("""COMPUTED_VALUE"""),"No")</f>
        <v>No</v>
      </c>
      <c r="O4" s="3" t="str">
        <f>IFERROR(__xludf.DUMMYFUNCTION("""COMPUTED_VALUE"""),"Good Stock")</f>
        <v>Good Stock</v>
      </c>
      <c r="P4" s="3" t="str">
        <f>IFERROR(__xludf.DUMMYFUNCTION("""COMPUTED_VALUE"""),"Large Cap")</f>
        <v>Large Cap</v>
      </c>
      <c r="Q4" s="3"/>
      <c r="R4" s="3"/>
      <c r="S4" s="3"/>
      <c r="T4" s="3"/>
      <c r="U4" s="3"/>
      <c r="V4" s="3"/>
      <c r="W4" s="3"/>
    </row>
    <row r="5">
      <c r="A5" s="3" t="str">
        <f>IFERROR(__xludf.DUMMYFUNCTION("""COMPUTED_VALUE"""),"Axis Bank")</f>
        <v>Axis Bank</v>
      </c>
      <c r="B5" s="4">
        <f>IFERROR(__xludf.DUMMYFUNCTION("""COMPUTED_VALUE"""),287213.2945283)</f>
        <v>287213.2945</v>
      </c>
      <c r="C5" s="3">
        <f>IFERROR(__xludf.DUMMYFUNCTION("""COMPUTED_VALUE"""),933.9)</f>
        <v>933.9</v>
      </c>
      <c r="D5" s="3">
        <f>IFERROR(__xludf.DUMMYFUNCTION("""COMPUTED_VALUE"""),15.67)</f>
        <v>15.67</v>
      </c>
      <c r="E5" s="3">
        <f>IFERROR(__xludf.DUMMYFUNCTION("""COMPUTED_VALUE"""),970.0)</f>
        <v>970</v>
      </c>
      <c r="F5" s="5">
        <f>IFERROR(__xludf.DUMMYFUNCTION("""COMPUTED_VALUE"""),0.03721649484536085)</f>
        <v>0.03721649485</v>
      </c>
      <c r="G5" s="3">
        <f>IFERROR(__xludf.DUMMYFUNCTION("""COMPUTED_VALUE"""),618.25)</f>
        <v>618.25</v>
      </c>
      <c r="H5" s="5">
        <f>IFERROR(__xludf.DUMMYFUNCTION("""COMPUTED_VALUE"""),0.5105539830165791)</f>
        <v>0.510553983</v>
      </c>
      <c r="I5" s="3">
        <f>IFERROR(__xludf.DUMMYFUNCTION("""COMPUTED_VALUE"""),935.55)</f>
        <v>935.55</v>
      </c>
      <c r="J5" s="6">
        <f>IFERROR(__xludf.DUMMYFUNCTION("""COMPUTED_VALUE"""),-0.0017636684303350728)</f>
        <v>-0.00176366843</v>
      </c>
      <c r="K5" s="3" t="str">
        <f>IFERROR(__xludf.DUMMYFUNCTION("""COMPUTED_VALUE"""),"Bank")</f>
        <v>Bank</v>
      </c>
      <c r="L5" s="3" t="str">
        <f>IFERROR(__xludf.DUMMYFUNCTION("""COMPUTED_VALUE"""),"AXISBANK")</f>
        <v>AXISBANK</v>
      </c>
      <c r="M5" s="3" t="str">
        <f>IFERROR(__xludf.DUMMYFUNCTION("""COMPUTED_VALUE"""),"No")</f>
        <v>No</v>
      </c>
      <c r="N5" s="3" t="str">
        <f>IFERROR(__xludf.DUMMYFUNCTION("""COMPUTED_VALUE"""),"No")</f>
        <v>No</v>
      </c>
      <c r="O5" s="3" t="str">
        <f>IFERROR(__xludf.DUMMYFUNCTION("""COMPUTED_VALUE"""),"Good Stock")</f>
        <v>Good Stock</v>
      </c>
      <c r="P5" s="3" t="str">
        <f>IFERROR(__xludf.DUMMYFUNCTION("""COMPUTED_VALUE"""),"Large Cap")</f>
        <v>Large Cap</v>
      </c>
      <c r="Q5" s="3"/>
      <c r="R5" s="3"/>
      <c r="S5" s="3"/>
      <c r="T5" s="3"/>
      <c r="U5" s="3"/>
      <c r="V5" s="3"/>
      <c r="W5" s="3"/>
    </row>
    <row r="6">
      <c r="A6" s="3" t="str">
        <f>IFERROR(__xludf.DUMMYFUNCTION("""COMPUTED_VALUE"""),"Sun pharma")</f>
        <v>Sun pharma</v>
      </c>
      <c r="B6" s="4">
        <f>IFERROR(__xludf.DUMMYFUNCTION("""COMPUTED_VALUE"""),247191.650802)</f>
        <v>247191.6508</v>
      </c>
      <c r="C6" s="3">
        <f>IFERROR(__xludf.DUMMYFUNCTION("""COMPUTED_VALUE"""),1031.05)</f>
        <v>1031.05</v>
      </c>
      <c r="D6" s="3">
        <f>IFERROR(__xludf.DUMMYFUNCTION("""COMPUTED_VALUE"""),60.4)</f>
        <v>60.4</v>
      </c>
      <c r="E6" s="3">
        <f>IFERROR(__xludf.DUMMYFUNCTION("""COMPUTED_VALUE"""),1070.95)</f>
        <v>1070.95</v>
      </c>
      <c r="F6" s="5">
        <f>IFERROR(__xludf.DUMMYFUNCTION("""COMPUTED_VALUE"""),0.03725664129978065)</f>
        <v>0.0372566413</v>
      </c>
      <c r="G6" s="3">
        <f>IFERROR(__xludf.DUMMYFUNCTION("""COMPUTED_VALUE"""),784.8)</f>
        <v>784.8</v>
      </c>
      <c r="H6" s="5">
        <f>IFERROR(__xludf.DUMMYFUNCTION("""COMPUTED_VALUE"""),0.3137742099898063)</f>
        <v>0.31377421</v>
      </c>
      <c r="I6" s="3">
        <f>IFERROR(__xludf.DUMMYFUNCTION("""COMPUTED_VALUE"""),1032.85)</f>
        <v>1032.85</v>
      </c>
      <c r="J6" s="6">
        <f>IFERROR(__xludf.DUMMYFUNCTION("""COMPUTED_VALUE"""),-0.0017427506414290116)</f>
        <v>-0.001742750641</v>
      </c>
      <c r="K6" s="3" t="str">
        <f>IFERROR(__xludf.DUMMYFUNCTION("""COMPUTED_VALUE"""),"Pharma")</f>
        <v>Pharma</v>
      </c>
      <c r="L6" s="3" t="str">
        <f>IFERROR(__xludf.DUMMYFUNCTION("""COMPUTED_VALUE"""),"SUNPHARMA")</f>
        <v>SUNPHARMA</v>
      </c>
      <c r="M6" s="3" t="str">
        <f>IFERROR(__xludf.DUMMYFUNCTION("""COMPUTED_VALUE"""),"No")</f>
        <v>No</v>
      </c>
      <c r="N6" s="3" t="str">
        <f>IFERROR(__xludf.DUMMYFUNCTION("""COMPUTED_VALUE"""),"No")</f>
        <v>No</v>
      </c>
      <c r="O6" s="3" t="str">
        <f>IFERROR(__xludf.DUMMYFUNCTION("""COMPUTED_VALUE"""),"Good Stock")</f>
        <v>Good Stock</v>
      </c>
      <c r="P6" s="3" t="str">
        <f>IFERROR(__xludf.DUMMYFUNCTION("""COMPUTED_VALUE"""),"Large Cap")</f>
        <v>Large Cap</v>
      </c>
      <c r="Q6" s="3"/>
      <c r="R6" s="3"/>
      <c r="S6" s="3"/>
      <c r="T6" s="3"/>
      <c r="U6" s="3"/>
      <c r="V6" s="3"/>
      <c r="W6" s="3"/>
    </row>
    <row r="7">
      <c r="A7" s="3" t="str">
        <f>IFERROR(__xludf.DUMMYFUNCTION("""COMPUTED_VALUE"""),"Ultratech Cement")</f>
        <v>Ultratech Cement</v>
      </c>
      <c r="B7" s="4">
        <f>IFERROR(__xludf.DUMMYFUNCTION("""COMPUTED_VALUE"""),208975.8)</f>
        <v>208975.8</v>
      </c>
      <c r="C7" s="3">
        <f>IFERROR(__xludf.DUMMYFUNCTION("""COMPUTED_VALUE"""),7244.95)</f>
        <v>7244.95</v>
      </c>
      <c r="D7" s="3">
        <f>IFERROR(__xludf.DUMMYFUNCTION("""COMPUTED_VALUE"""),31.35)</f>
        <v>31.35</v>
      </c>
      <c r="E7" s="3">
        <f>IFERROR(__xludf.DUMMYFUNCTION("""COMPUTED_VALUE"""),7946.0)</f>
        <v>7946</v>
      </c>
      <c r="F7" s="5">
        <f>IFERROR(__xludf.DUMMYFUNCTION("""COMPUTED_VALUE"""),0.08822678077019887)</f>
        <v>0.08822678077</v>
      </c>
      <c r="G7" s="3">
        <f>IFERROR(__xludf.DUMMYFUNCTION("""COMPUTED_VALUE"""),5157.05)</f>
        <v>5157.05</v>
      </c>
      <c r="H7" s="5">
        <f>IFERROR(__xludf.DUMMYFUNCTION("""COMPUTED_VALUE"""),0.4048632454600982)</f>
        <v>0.4048632455</v>
      </c>
      <c r="I7" s="3">
        <f>IFERROR(__xludf.DUMMYFUNCTION("""COMPUTED_VALUE"""),7153.35)</f>
        <v>7153.35</v>
      </c>
      <c r="J7" s="6">
        <f>IFERROR(__xludf.DUMMYFUNCTION("""COMPUTED_VALUE"""),0.012805189177098764)</f>
        <v>0.01280518918</v>
      </c>
      <c r="K7" s="3" t="str">
        <f>IFERROR(__xludf.DUMMYFUNCTION("""COMPUTED_VALUE"""),"Cement")</f>
        <v>Cement</v>
      </c>
      <c r="L7" s="3" t="str">
        <f>IFERROR(__xludf.DUMMYFUNCTION("""COMPUTED_VALUE"""),"ULTRACEMCO")</f>
        <v>ULTRACEMCO</v>
      </c>
      <c r="M7" s="3" t="str">
        <f>IFERROR(__xludf.DUMMYFUNCTION("""COMPUTED_VALUE"""),"No")</f>
        <v>No</v>
      </c>
      <c r="N7" s="3" t="str">
        <f>IFERROR(__xludf.DUMMYFUNCTION("""COMPUTED_VALUE"""),"No")</f>
        <v>No</v>
      </c>
      <c r="O7" s="3" t="str">
        <f>IFERROR(__xludf.DUMMYFUNCTION("""COMPUTED_VALUE"""),"Good Stock")</f>
        <v>Good Stock</v>
      </c>
      <c r="P7" s="3" t="str">
        <f>IFERROR(__xludf.DUMMYFUNCTION("""COMPUTED_VALUE"""),"Large Cap")</f>
        <v>Large Cap</v>
      </c>
      <c r="Q7" s="3"/>
      <c r="R7" s="3"/>
      <c r="S7" s="3"/>
      <c r="T7" s="3"/>
      <c r="U7" s="3"/>
      <c r="V7" s="3"/>
      <c r="W7" s="3"/>
    </row>
    <row r="8">
      <c r="A8" s="3" t="str">
        <f>IFERROR(__xludf.DUMMYFUNCTION("""COMPUTED_VALUE"""),"M&amp;M")</f>
        <v>M&amp;M</v>
      </c>
      <c r="B8" s="4">
        <f>IFERROR(__xludf.DUMMYFUNCTION("""COMPUTED_VALUE"""),158785.3716893)</f>
        <v>158785.3717</v>
      </c>
      <c r="C8" s="3">
        <f>IFERROR(__xludf.DUMMYFUNCTION("""COMPUTED_VALUE"""),1327.55)</f>
        <v>1327.55</v>
      </c>
      <c r="D8" s="3">
        <f>IFERROR(__xludf.DUMMYFUNCTION("""COMPUTED_VALUE"""),16.12)</f>
        <v>16.12</v>
      </c>
      <c r="E8" s="3">
        <f>IFERROR(__xludf.DUMMYFUNCTION("""COMPUTED_VALUE"""),1366.55)</f>
        <v>1366.55</v>
      </c>
      <c r="F8" s="5">
        <f>IFERROR(__xludf.DUMMYFUNCTION("""COMPUTED_VALUE"""),0.028539021623797154)</f>
        <v>0.02853902162</v>
      </c>
      <c r="G8" s="3">
        <f>IFERROR(__xludf.DUMMYFUNCTION("""COMPUTED_VALUE"""),671.15)</f>
        <v>671.15</v>
      </c>
      <c r="H8" s="5">
        <f>IFERROR(__xludf.DUMMYFUNCTION("""COMPUTED_VALUE"""),0.9780227966922447)</f>
        <v>0.9780227967</v>
      </c>
      <c r="I8" s="3">
        <f>IFERROR(__xludf.DUMMYFUNCTION("""COMPUTED_VALUE"""),1319.9)</f>
        <v>1319.9</v>
      </c>
      <c r="J8" s="6">
        <f>IFERROR(__xludf.DUMMYFUNCTION("""COMPUTED_VALUE"""),0.005795893628305071)</f>
        <v>0.005795893628</v>
      </c>
      <c r="K8" s="3" t="str">
        <f>IFERROR(__xludf.DUMMYFUNCTION("""COMPUTED_VALUE"""),"Automobile")</f>
        <v>Automobile</v>
      </c>
      <c r="L8" s="3" t="str">
        <f>IFERROR(__xludf.DUMMYFUNCTION("""COMPUTED_VALUE"""),"M&amp;M")</f>
        <v>M&amp;M</v>
      </c>
      <c r="M8" s="3" t="str">
        <f>IFERROR(__xludf.DUMMYFUNCTION("""COMPUTED_VALUE"""),"No")</f>
        <v>No</v>
      </c>
      <c r="N8" s="3" t="str">
        <f>IFERROR(__xludf.DUMMYFUNCTION("""COMPUTED_VALUE"""),"No")</f>
        <v>No</v>
      </c>
      <c r="O8" s="3" t="str">
        <f>IFERROR(__xludf.DUMMYFUNCTION("""COMPUTED_VALUE"""),"Good Stock")</f>
        <v>Good Stock</v>
      </c>
      <c r="P8" s="3" t="str">
        <f>IFERROR(__xludf.DUMMYFUNCTION("""COMPUTED_VALUE"""),"Large Cap")</f>
        <v>Large Cap</v>
      </c>
      <c r="Q8" s="3"/>
      <c r="R8" s="3"/>
      <c r="S8" s="3"/>
      <c r="T8" s="3"/>
      <c r="U8" s="3"/>
      <c r="V8" s="3"/>
      <c r="W8" s="3"/>
    </row>
    <row r="9">
      <c r="A9" s="3" t="str">
        <f>IFERROR(__xludf.DUMMYFUNCTION("""COMPUTED_VALUE"""),"Tata Steel")</f>
        <v>Tata Steel</v>
      </c>
      <c r="B9" s="4">
        <f>IFERROR(__xludf.DUMMYFUNCTION("""COMPUTED_VALUE"""),147293.6037181)</f>
        <v>147293.6037</v>
      </c>
      <c r="C9" s="3">
        <f>IFERROR(__xludf.DUMMYFUNCTION("""COMPUTED_VALUE"""),120.45)</f>
        <v>120.45</v>
      </c>
      <c r="D9" s="3">
        <f>IFERROR(__xludf.DUMMYFUNCTION("""COMPUTED_VALUE"""),5.13)</f>
        <v>5.13</v>
      </c>
      <c r="E9" s="3">
        <f>IFERROR(__xludf.DUMMYFUNCTION("""COMPUTED_VALUE"""),138.63)</f>
        <v>138.63</v>
      </c>
      <c r="F9" s="5">
        <f>IFERROR(__xludf.DUMMYFUNCTION("""COMPUTED_VALUE"""),0.1311404457909543)</f>
        <v>0.1311404458</v>
      </c>
      <c r="G9" s="3">
        <f>IFERROR(__xludf.DUMMYFUNCTION("""COMPUTED_VALUE"""),82.71)</f>
        <v>82.71</v>
      </c>
      <c r="H9" s="5">
        <f>IFERROR(__xludf.DUMMYFUNCTION("""COMPUTED_VALUE"""),0.45629307217990583)</f>
        <v>0.4562930722</v>
      </c>
      <c r="I9" s="3">
        <f>IFERROR(__xludf.DUMMYFUNCTION("""COMPUTED_VALUE"""),118.05)</f>
        <v>118.05</v>
      </c>
      <c r="J9" s="6">
        <f>IFERROR(__xludf.DUMMYFUNCTION("""COMPUTED_VALUE"""),0.020330368487928893)</f>
        <v>0.02033036849</v>
      </c>
      <c r="K9" s="3" t="str">
        <f>IFERROR(__xludf.DUMMYFUNCTION("""COMPUTED_VALUE"""),"Infrastructure")</f>
        <v>Infrastructure</v>
      </c>
      <c r="L9" s="3" t="str">
        <f>IFERROR(__xludf.DUMMYFUNCTION("""COMPUTED_VALUE"""),"BOM:500470")</f>
        <v>BOM:500470</v>
      </c>
      <c r="M9" s="3" t="str">
        <f>IFERROR(__xludf.DUMMYFUNCTION("""COMPUTED_VALUE"""),"No")</f>
        <v>No</v>
      </c>
      <c r="N9" s="3" t="str">
        <f>IFERROR(__xludf.DUMMYFUNCTION("""COMPUTED_VALUE"""),"No")</f>
        <v>No</v>
      </c>
      <c r="O9" s="3" t="str">
        <f>IFERROR(__xludf.DUMMYFUNCTION("""COMPUTED_VALUE"""),"Good Stock")</f>
        <v>Good Stock</v>
      </c>
      <c r="P9" s="3" t="str">
        <f>IFERROR(__xludf.DUMMYFUNCTION("""COMPUTED_VALUE"""),"Large Cap")</f>
        <v>Large Cap</v>
      </c>
      <c r="Q9" s="3"/>
      <c r="R9" s="3"/>
      <c r="S9" s="3"/>
      <c r="T9" s="3"/>
      <c r="U9" s="3"/>
      <c r="V9" s="3"/>
      <c r="W9" s="3"/>
    </row>
    <row r="10">
      <c r="A10" s="3" t="str">
        <f>IFERROR(__xludf.DUMMYFUNCTION("""COMPUTED_VALUE"""),"Ambuja Cement")</f>
        <v>Ambuja Cement</v>
      </c>
      <c r="B10" s="4">
        <f>IFERROR(__xludf.DUMMYFUNCTION("""COMPUTED_VALUE"""),102995.3567038)</f>
        <v>102995.3567</v>
      </c>
      <c r="C10" s="3">
        <f>IFERROR(__xludf.DUMMYFUNCTION("""COMPUTED_VALUE"""),518.7)</f>
        <v>518.7</v>
      </c>
      <c r="D10" s="3">
        <f>IFERROR(__xludf.DUMMYFUNCTION("""COMPUTED_VALUE"""),57.36)</f>
        <v>57.36</v>
      </c>
      <c r="E10" s="3">
        <f>IFERROR(__xludf.DUMMYFUNCTION("""COMPUTED_VALUE"""),598.15)</f>
        <v>598.15</v>
      </c>
      <c r="F10" s="5">
        <f>IFERROR(__xludf.DUMMYFUNCTION("""COMPUTED_VALUE"""),0.13282621416032755)</f>
        <v>0.1328262142</v>
      </c>
      <c r="G10" s="3">
        <f>IFERROR(__xludf.DUMMYFUNCTION("""COMPUTED_VALUE"""),274.0)</f>
        <v>274</v>
      </c>
      <c r="H10" s="5">
        <f>IFERROR(__xludf.DUMMYFUNCTION("""COMPUTED_VALUE"""),0.8930656934306571)</f>
        <v>0.8930656934</v>
      </c>
      <c r="I10" s="3">
        <f>IFERROR(__xludf.DUMMYFUNCTION("""COMPUTED_VALUE"""),510.4)</f>
        <v>510.4</v>
      </c>
      <c r="J10" s="6">
        <f>IFERROR(__xludf.DUMMYFUNCTION("""COMPUTED_VALUE"""),0.01626175548589355)</f>
        <v>0.01626175549</v>
      </c>
      <c r="K10" s="3" t="str">
        <f>IFERROR(__xludf.DUMMYFUNCTION("""COMPUTED_VALUE"""),"Cement")</f>
        <v>Cement</v>
      </c>
      <c r="L10" s="3" t="str">
        <f>IFERROR(__xludf.DUMMYFUNCTION("""COMPUTED_VALUE"""),"BOM:500425")</f>
        <v>BOM:500425</v>
      </c>
      <c r="M10" s="3" t="str">
        <f>IFERROR(__xludf.DUMMYFUNCTION("""COMPUTED_VALUE"""),"No")</f>
        <v>No</v>
      </c>
      <c r="N10" s="3" t="str">
        <f>IFERROR(__xludf.DUMMYFUNCTION("""COMPUTED_VALUE"""),"No")</f>
        <v>No</v>
      </c>
      <c r="O10" s="3" t="str">
        <f>IFERROR(__xludf.DUMMYFUNCTION("""COMPUTED_VALUE"""),"Good Stock")</f>
        <v>Good Stock</v>
      </c>
      <c r="P10" s="3" t="str">
        <f>IFERROR(__xludf.DUMMYFUNCTION("""COMPUTED_VALUE"""),"Large Cap")</f>
        <v>Large Cap</v>
      </c>
      <c r="Q10" s="3"/>
      <c r="R10" s="3"/>
      <c r="S10" s="3"/>
      <c r="T10" s="3"/>
      <c r="U10" s="3"/>
      <c r="V10" s="3"/>
      <c r="W10" s="3"/>
    </row>
    <row r="11">
      <c r="A11" s="3" t="str">
        <f>IFERROR(__xludf.DUMMYFUNCTION("""COMPUTED_VALUE"""),"Bank of Baroda")</f>
        <v>Bank of Baroda</v>
      </c>
      <c r="B11" s="4">
        <f>IFERROR(__xludf.DUMMYFUNCTION("""COMPUTED_VALUE"""),95565.8761753)</f>
        <v>95565.87618</v>
      </c>
      <c r="C11" s="3">
        <f>IFERROR(__xludf.DUMMYFUNCTION("""COMPUTED_VALUE"""),184.9)</f>
        <v>184.9</v>
      </c>
      <c r="D11" s="3">
        <f>IFERROR(__xludf.DUMMYFUNCTION("""COMPUTED_VALUE"""),9.72)</f>
        <v>9.72</v>
      </c>
      <c r="E11" s="3">
        <f>IFERROR(__xludf.DUMMYFUNCTION("""COMPUTED_VALUE"""),197.2)</f>
        <v>197.2</v>
      </c>
      <c r="F11" s="5">
        <f>IFERROR(__xludf.DUMMYFUNCTION("""COMPUTED_VALUE"""),0.06237322515212974)</f>
        <v>0.06237322515</v>
      </c>
      <c r="G11" s="3">
        <f>IFERROR(__xludf.DUMMYFUNCTION("""COMPUTED_VALUE"""),89.9)</f>
        <v>89.9</v>
      </c>
      <c r="H11" s="5">
        <f>IFERROR(__xludf.DUMMYFUNCTION("""COMPUTED_VALUE"""),1.0567296996662958)</f>
        <v>1.0567297</v>
      </c>
      <c r="I11" s="3">
        <f>IFERROR(__xludf.DUMMYFUNCTION("""COMPUTED_VALUE"""),181.8)</f>
        <v>181.8</v>
      </c>
      <c r="J11" s="6">
        <f>IFERROR(__xludf.DUMMYFUNCTION("""COMPUTED_VALUE"""),0.01705170517051702)</f>
        <v>0.01705170517</v>
      </c>
      <c r="K11" s="3" t="str">
        <f>IFERROR(__xludf.DUMMYFUNCTION("""COMPUTED_VALUE"""),"Bank")</f>
        <v>Bank</v>
      </c>
      <c r="L11" s="3" t="str">
        <f>IFERROR(__xludf.DUMMYFUNCTION("""COMPUTED_VALUE"""),"BOM:532134")</f>
        <v>BOM:532134</v>
      </c>
      <c r="M11" s="3" t="str">
        <f>IFERROR(__xludf.DUMMYFUNCTION("""COMPUTED_VALUE"""),"No")</f>
        <v>No</v>
      </c>
      <c r="N11" s="3" t="str">
        <f>IFERROR(__xludf.DUMMYFUNCTION("""COMPUTED_VALUE"""),"No")</f>
        <v>No</v>
      </c>
      <c r="O11" s="3" t="str">
        <f>IFERROR(__xludf.DUMMYFUNCTION("""COMPUTED_VALUE"""),"Good Stock")</f>
        <v>Good Stock</v>
      </c>
      <c r="P11" s="3" t="str">
        <f>IFERROR(__xludf.DUMMYFUNCTION("""COMPUTED_VALUE"""),"Large Cap")</f>
        <v>Large Cap</v>
      </c>
      <c r="Q11" s="3"/>
      <c r="R11" s="3"/>
      <c r="S11" s="3"/>
      <c r="T11" s="3"/>
      <c r="U11" s="3"/>
      <c r="V11" s="3"/>
      <c r="W11" s="3"/>
    </row>
    <row r="12">
      <c r="A12" s="3" t="str">
        <f>IFERROR(__xludf.DUMMYFUNCTION("""COMPUTED_VALUE"""),"Godrej Consumer")</f>
        <v>Godrej Consumer</v>
      </c>
      <c r="B12" s="4">
        <f>IFERROR(__xludf.DUMMYFUNCTION("""COMPUTED_VALUE"""),93678.862)</f>
        <v>93678.862</v>
      </c>
      <c r="C12" s="3">
        <f>IFERROR(__xludf.DUMMYFUNCTION("""COMPUTED_VALUE"""),916.75)</f>
        <v>916.75</v>
      </c>
      <c r="D12" s="3">
        <f>IFERROR(__xludf.DUMMYFUNCTION("""COMPUTED_VALUE"""),58.81)</f>
        <v>58.81</v>
      </c>
      <c r="E12" s="3">
        <f>IFERROR(__xludf.DUMMYFUNCTION("""COMPUTED_VALUE"""),955.65)</f>
        <v>955.65</v>
      </c>
      <c r="F12" s="5">
        <f>IFERROR(__xludf.DUMMYFUNCTION("""COMPUTED_VALUE"""),0.04070527912938835)</f>
        <v>0.04070527913</v>
      </c>
      <c r="G12" s="3">
        <f>IFERROR(__xludf.DUMMYFUNCTION("""COMPUTED_VALUE"""),660.2)</f>
        <v>660.2</v>
      </c>
      <c r="H12" s="5">
        <f>IFERROR(__xludf.DUMMYFUNCTION("""COMPUTED_VALUE"""),0.3885943653438351)</f>
        <v>0.3885943653</v>
      </c>
      <c r="I12" s="3">
        <f>IFERROR(__xludf.DUMMYFUNCTION("""COMPUTED_VALUE"""),914.9)</f>
        <v>914.9</v>
      </c>
      <c r="J12" s="6">
        <f>IFERROR(__xludf.DUMMYFUNCTION("""COMPUTED_VALUE"""),0.00202207891572852)</f>
        <v>0.002022078916</v>
      </c>
      <c r="K12" s="3" t="str">
        <f>IFERROR(__xludf.DUMMYFUNCTION("""COMPUTED_VALUE"""),"FMCG")</f>
        <v>FMCG</v>
      </c>
      <c r="L12" s="3" t="str">
        <f>IFERROR(__xludf.DUMMYFUNCTION("""COMPUTED_VALUE"""),"BOM:532424")</f>
        <v>BOM:532424</v>
      </c>
      <c r="M12" s="3" t="str">
        <f>IFERROR(__xludf.DUMMYFUNCTION("""COMPUTED_VALUE"""),"No")</f>
        <v>No</v>
      </c>
      <c r="N12" s="3" t="str">
        <f>IFERROR(__xludf.DUMMYFUNCTION("""COMPUTED_VALUE"""),"No")</f>
        <v>No</v>
      </c>
      <c r="O12" s="3" t="str">
        <f>IFERROR(__xludf.DUMMYFUNCTION("""COMPUTED_VALUE"""),"Good Stock")</f>
        <v>Good Stock</v>
      </c>
      <c r="P12" s="3" t="str">
        <f>IFERROR(__xludf.DUMMYFUNCTION("""COMPUTED_VALUE"""),"Large Cap")</f>
        <v>Large Cap</v>
      </c>
      <c r="Q12" s="3"/>
      <c r="R12" s="3"/>
      <c r="S12" s="3"/>
      <c r="T12" s="3"/>
      <c r="U12" s="3"/>
      <c r="V12" s="3"/>
      <c r="W12" s="3"/>
    </row>
    <row r="13">
      <c r="A13" s="3" t="str">
        <f>IFERROR(__xludf.DUMMYFUNCTION("""COMPUTED_VALUE"""),"Shree Cement")</f>
        <v>Shree Cement</v>
      </c>
      <c r="B13" s="4">
        <f>IFERROR(__xludf.DUMMYFUNCTION("""COMPUTED_VALUE"""),87098.03)</f>
        <v>87098.03</v>
      </c>
      <c r="C13" s="3">
        <f>IFERROR(__xludf.DUMMYFUNCTION("""COMPUTED_VALUE"""),24025.0)</f>
        <v>24025</v>
      </c>
      <c r="D13" s="3">
        <f>IFERROR(__xludf.DUMMYFUNCTION("""COMPUTED_VALUE"""),54.11)</f>
        <v>54.11</v>
      </c>
      <c r="E13" s="3">
        <f>IFERROR(__xludf.DUMMYFUNCTION("""COMPUTED_VALUE"""),27936.75)</f>
        <v>27936.75</v>
      </c>
      <c r="F13" s="5">
        <f>IFERROR(__xludf.DUMMYFUNCTION("""COMPUTED_VALUE"""),0.14002165606235514)</f>
        <v>0.1400216561</v>
      </c>
      <c r="G13" s="3">
        <f>IFERROR(__xludf.DUMMYFUNCTION("""COMPUTED_VALUE"""),17865.2)</f>
        <v>17865.2</v>
      </c>
      <c r="H13" s="5">
        <f>IFERROR(__xludf.DUMMYFUNCTION("""COMPUTED_VALUE"""),0.34479322929494205)</f>
        <v>0.3447932293</v>
      </c>
      <c r="I13" s="3">
        <f>IFERROR(__xludf.DUMMYFUNCTION("""COMPUTED_VALUE"""),23854.85)</f>
        <v>23854.85</v>
      </c>
      <c r="J13" s="6">
        <f>IFERROR(__xludf.DUMMYFUNCTION("""COMPUTED_VALUE"""),0.007132721438198163)</f>
        <v>0.007132721438</v>
      </c>
      <c r="K13" s="3" t="str">
        <f>IFERROR(__xludf.DUMMYFUNCTION("""COMPUTED_VALUE"""),"Cement")</f>
        <v>Cement</v>
      </c>
      <c r="L13" s="3" t="str">
        <f>IFERROR(__xludf.DUMMYFUNCTION("""COMPUTED_VALUE"""),"SHREECEM")</f>
        <v>SHREECEM</v>
      </c>
      <c r="M13" s="3" t="str">
        <f>IFERROR(__xludf.DUMMYFUNCTION("""COMPUTED_VALUE"""),"No")</f>
        <v>No</v>
      </c>
      <c r="N13" s="3" t="str">
        <f>IFERROR(__xludf.DUMMYFUNCTION("""COMPUTED_VALUE"""),"No")</f>
        <v>No</v>
      </c>
      <c r="O13" s="3" t="str">
        <f>IFERROR(__xludf.DUMMYFUNCTION("""COMPUTED_VALUE"""),"Good Stock")</f>
        <v>Good Stock</v>
      </c>
      <c r="P13" s="3" t="str">
        <f>IFERROR(__xludf.DUMMYFUNCTION("""COMPUTED_VALUE"""),"Large Cap")</f>
        <v>Large Cap</v>
      </c>
      <c r="Q13" s="3"/>
      <c r="R13" s="3"/>
      <c r="S13" s="3"/>
      <c r="T13" s="3"/>
      <c r="U13" s="3"/>
      <c r="V13" s="3"/>
      <c r="W13" s="3"/>
    </row>
    <row r="14">
      <c r="A14" s="3" t="str">
        <f>IFERROR(__xludf.DUMMYFUNCTION("""COMPUTED_VALUE"""),"Eicher Motor")</f>
        <v>Eicher Motor</v>
      </c>
      <c r="B14" s="4">
        <f>IFERROR(__xludf.DUMMYFUNCTION("""COMPUTED_VALUE"""),86543.2296232)</f>
        <v>86543.22962</v>
      </c>
      <c r="C14" s="3">
        <f>IFERROR(__xludf.DUMMYFUNCTION("""COMPUTED_VALUE"""),3164.9)</f>
        <v>3164.9</v>
      </c>
      <c r="D14" s="3">
        <f>IFERROR(__xludf.DUMMYFUNCTION("""COMPUTED_VALUE"""),37.12)</f>
        <v>37.12</v>
      </c>
      <c r="E14" s="3">
        <f>IFERROR(__xludf.DUMMYFUNCTION("""COMPUTED_VALUE"""),3889.65)</f>
        <v>3889.65</v>
      </c>
      <c r="F14" s="5">
        <f>IFERROR(__xludf.DUMMYFUNCTION("""COMPUTED_VALUE"""),0.18632781869834047)</f>
        <v>0.1863278187</v>
      </c>
      <c r="G14" s="3">
        <f>IFERROR(__xludf.DUMMYFUNCTION("""COMPUTED_VALUE"""),2159.55)</f>
        <v>2159.55</v>
      </c>
      <c r="H14" s="5">
        <f>IFERROR(__xludf.DUMMYFUNCTION("""COMPUTED_VALUE"""),0.4655368016484915)</f>
        <v>0.4655368016</v>
      </c>
      <c r="I14" s="3">
        <f>IFERROR(__xludf.DUMMYFUNCTION("""COMPUTED_VALUE"""),3103.25)</f>
        <v>3103.25</v>
      </c>
      <c r="J14" s="6">
        <f>IFERROR(__xludf.DUMMYFUNCTION("""COMPUTED_VALUE"""),0.019866269233867747)</f>
        <v>0.01986626923</v>
      </c>
      <c r="K14" s="3" t="str">
        <f>IFERROR(__xludf.DUMMYFUNCTION("""COMPUTED_VALUE"""),"Automobile")</f>
        <v>Automobile</v>
      </c>
      <c r="L14" s="3" t="str">
        <f>IFERROR(__xludf.DUMMYFUNCTION("""COMPUTED_VALUE"""),"EICHERMOT")</f>
        <v>EICHERMOT</v>
      </c>
      <c r="M14" s="3" t="str">
        <f>IFERROR(__xludf.DUMMYFUNCTION("""COMPUTED_VALUE"""),"No")</f>
        <v>No</v>
      </c>
      <c r="N14" s="3" t="str">
        <f>IFERROR(__xludf.DUMMYFUNCTION("""COMPUTED_VALUE"""),"No")</f>
        <v>No</v>
      </c>
      <c r="O14" s="3" t="str">
        <f>IFERROR(__xludf.DUMMYFUNCTION("""COMPUTED_VALUE"""),"Good Stock")</f>
        <v>Good Stock</v>
      </c>
      <c r="P14" s="3" t="str">
        <f>IFERROR(__xludf.DUMMYFUNCTION("""COMPUTED_VALUE"""),"Large Cap")</f>
        <v>Large Cap</v>
      </c>
      <c r="Q14" s="3"/>
      <c r="R14" s="3"/>
      <c r="S14" s="3"/>
      <c r="T14" s="3"/>
      <c r="U14" s="3"/>
      <c r="V14" s="3"/>
      <c r="W14" s="3"/>
    </row>
    <row r="15">
      <c r="A15" s="3" t="str">
        <f>IFERROR(__xludf.DUMMYFUNCTION("""COMPUTED_VALUE"""),"Varun Beverage")</f>
        <v>Varun Beverage</v>
      </c>
      <c r="B15" s="4">
        <f>IFERROR(__xludf.DUMMYFUNCTION("""COMPUTED_VALUE"""),73698.477067)</f>
        <v>73698.47707</v>
      </c>
      <c r="C15" s="3">
        <f>IFERROR(__xludf.DUMMYFUNCTION("""COMPUTED_VALUE"""),1134.8)</f>
        <v>1134.8</v>
      </c>
      <c r="D15" s="3">
        <f>IFERROR(__xludf.DUMMYFUNCTION("""COMPUTED_VALUE"""),51.22)</f>
        <v>51.22</v>
      </c>
      <c r="E15" s="3">
        <f>IFERROR(__xludf.DUMMYFUNCTION("""COMPUTED_VALUE"""),1432.05)</f>
        <v>1432.05</v>
      </c>
      <c r="F15" s="5">
        <f>IFERROR(__xludf.DUMMYFUNCTION("""COMPUTED_VALUE"""),0.20756956810167243)</f>
        <v>0.2075695681</v>
      </c>
      <c r="G15" s="3">
        <f>IFERROR(__xludf.DUMMYFUNCTION("""COMPUTED_VALUE"""),557.23)</f>
        <v>557.23</v>
      </c>
      <c r="H15" s="5">
        <f>IFERROR(__xludf.DUMMYFUNCTION("""COMPUTED_VALUE"""),1.036501983023168)</f>
        <v>1.036501983</v>
      </c>
      <c r="I15" s="3">
        <f>IFERROR(__xludf.DUMMYFUNCTION("""COMPUTED_VALUE"""),1187.3)</f>
        <v>1187.3</v>
      </c>
      <c r="J15" s="6">
        <f>IFERROR(__xludf.DUMMYFUNCTION("""COMPUTED_VALUE"""),-0.04421797355344058)</f>
        <v>-0.04421797355</v>
      </c>
      <c r="K15" s="3" t="str">
        <f>IFERROR(__xludf.DUMMYFUNCTION("""COMPUTED_VALUE"""),"Food")</f>
        <v>Food</v>
      </c>
      <c r="L15" s="3" t="str">
        <f>IFERROR(__xludf.DUMMYFUNCTION("""COMPUTED_VALUE"""),"BOM:540180")</f>
        <v>BOM:540180</v>
      </c>
      <c r="M15" s="3" t="str">
        <f>IFERROR(__xludf.DUMMYFUNCTION("""COMPUTED_VALUE"""),"No")</f>
        <v>No</v>
      </c>
      <c r="N15" s="3" t="str">
        <f>IFERROR(__xludf.DUMMYFUNCTION("""COMPUTED_VALUE"""),"No")</f>
        <v>No</v>
      </c>
      <c r="O15" s="3" t="str">
        <f>IFERROR(__xludf.DUMMYFUNCTION("""COMPUTED_VALUE"""),"Good Stock")</f>
        <v>Good Stock</v>
      </c>
      <c r="P15" s="3" t="str">
        <f>IFERROR(__xludf.DUMMYFUNCTION("""COMPUTED_VALUE"""),"Large Cap")</f>
        <v>Large Cap</v>
      </c>
      <c r="Q15" s="3"/>
      <c r="R15" s="3"/>
      <c r="S15" s="3"/>
      <c r="T15" s="3"/>
      <c r="U15" s="3"/>
      <c r="V15" s="3"/>
      <c r="W15" s="3"/>
    </row>
    <row r="16">
      <c r="A16" s="3" t="str">
        <f>IFERROR(__xludf.DUMMYFUNCTION("""COMPUTED_VALUE"""),"Yesbank")</f>
        <v>Yesbank</v>
      </c>
      <c r="B16" s="4">
        <f>IFERROR(__xludf.DUMMYFUNCTION("""COMPUTED_VALUE"""),57937.9387031)</f>
        <v>57937.9387</v>
      </c>
      <c r="C16" s="3">
        <f>IFERROR(__xludf.DUMMYFUNCTION("""COMPUTED_VALUE"""),20.15)</f>
        <v>20.15</v>
      </c>
      <c r="D16" s="3">
        <f>IFERROR(__xludf.DUMMYFUNCTION("""COMPUTED_VALUE"""),45.52)</f>
        <v>45.52</v>
      </c>
      <c r="E16" s="3">
        <f>IFERROR(__xludf.DUMMYFUNCTION("""COMPUTED_VALUE"""),24.75)</f>
        <v>24.75</v>
      </c>
      <c r="F16" s="5">
        <f>IFERROR(__xludf.DUMMYFUNCTION("""COMPUTED_VALUE"""),0.18585858585858592)</f>
        <v>0.1858585859</v>
      </c>
      <c r="G16" s="3">
        <f>IFERROR(__xludf.DUMMYFUNCTION("""COMPUTED_VALUE"""),12.11)</f>
        <v>12.11</v>
      </c>
      <c r="H16" s="5">
        <f>IFERROR(__xludf.DUMMYFUNCTION("""COMPUTED_VALUE"""),0.6639141205615193)</f>
        <v>0.6639141206</v>
      </c>
      <c r="I16" s="3">
        <f>IFERROR(__xludf.DUMMYFUNCTION("""COMPUTED_VALUE"""),19.9)</f>
        <v>19.9</v>
      </c>
      <c r="J16" s="6">
        <f>IFERROR(__xludf.DUMMYFUNCTION("""COMPUTED_VALUE"""),0.01256281407035176)</f>
        <v>0.01256281407</v>
      </c>
      <c r="K16" s="3" t="str">
        <f>IFERROR(__xludf.DUMMYFUNCTION("""COMPUTED_VALUE"""),"Bank")</f>
        <v>Bank</v>
      </c>
      <c r="L16" s="3" t="str">
        <f>IFERROR(__xludf.DUMMYFUNCTION("""COMPUTED_VALUE"""),"BOM:532648")</f>
        <v>BOM:532648</v>
      </c>
      <c r="M16" s="3" t="str">
        <f>IFERROR(__xludf.DUMMYFUNCTION("""COMPUTED_VALUE"""),"No")</f>
        <v>No</v>
      </c>
      <c r="N16" s="3" t="str">
        <f>IFERROR(__xludf.DUMMYFUNCTION("""COMPUTED_VALUE"""),"No")</f>
        <v>No</v>
      </c>
      <c r="O16" s="3" t="str">
        <f>IFERROR(__xludf.DUMMYFUNCTION("""COMPUTED_VALUE"""),"Good Stock")</f>
        <v>Good Stock</v>
      </c>
      <c r="P16" s="3" t="str">
        <f>IFERROR(__xludf.DUMMYFUNCTION("""COMPUTED_VALUE"""),"Large Cap")</f>
        <v>Large Cap</v>
      </c>
      <c r="Q16" s="3"/>
      <c r="R16" s="3"/>
      <c r="S16" s="3"/>
      <c r="T16" s="3"/>
      <c r="U16" s="3"/>
      <c r="V16" s="3"/>
      <c r="W16" s="3"/>
    </row>
    <row r="17">
      <c r="A17" s="3" t="str">
        <f>IFERROR(__xludf.DUMMYFUNCTION("""COMPUTED_VALUE"""),"PI industries")</f>
        <v>PI industries</v>
      </c>
      <c r="B17" s="4">
        <f>IFERROR(__xludf.DUMMYFUNCTION("""COMPUTED_VALUE"""),49475.63474)</f>
        <v>49475.63474</v>
      </c>
      <c r="C17" s="3">
        <f>IFERROR(__xludf.DUMMYFUNCTION("""COMPUTED_VALUE"""),3262.0)</f>
        <v>3262</v>
      </c>
      <c r="D17" s="3">
        <f>IFERROR(__xludf.DUMMYFUNCTION("""COMPUTED_VALUE"""),48.33)</f>
        <v>48.33</v>
      </c>
      <c r="E17" s="3">
        <f>IFERROR(__xludf.DUMMYFUNCTION("""COMPUTED_VALUE"""),3698.45)</f>
        <v>3698.45</v>
      </c>
      <c r="F17" s="5">
        <f>IFERROR(__xludf.DUMMYFUNCTION("""COMPUTED_VALUE"""),0.11800889561843471)</f>
        <v>0.1180088956</v>
      </c>
      <c r="G17" s="3">
        <f>IFERROR(__xludf.DUMMYFUNCTION("""COMPUTED_VALUE"""),2333.55)</f>
        <v>2333.55</v>
      </c>
      <c r="H17" s="5">
        <f>IFERROR(__xludf.DUMMYFUNCTION("""COMPUTED_VALUE"""),0.39787019776735005)</f>
        <v>0.3978701978</v>
      </c>
      <c r="I17" s="3">
        <f>IFERROR(__xludf.DUMMYFUNCTION("""COMPUTED_VALUE"""),3292.65)</f>
        <v>3292.65</v>
      </c>
      <c r="J17" s="6">
        <f>IFERROR(__xludf.DUMMYFUNCTION("""COMPUTED_VALUE"""),-0.009308611604634592)</f>
        <v>-0.009308611605</v>
      </c>
      <c r="K17" s="3" t="str">
        <f>IFERROR(__xludf.DUMMYFUNCTION("""COMPUTED_VALUE"""),"Agrochemical")</f>
        <v>Agrochemical</v>
      </c>
      <c r="L17" s="3" t="str">
        <f>IFERROR(__xludf.DUMMYFUNCTION("""COMPUTED_VALUE"""),"PIIND")</f>
        <v>PIIND</v>
      </c>
      <c r="M17" s="3" t="str">
        <f>IFERROR(__xludf.DUMMYFUNCTION("""COMPUTED_VALUE"""),"No")</f>
        <v>No</v>
      </c>
      <c r="N17" s="3" t="str">
        <f>IFERROR(__xludf.DUMMYFUNCTION("""COMPUTED_VALUE"""),"No")</f>
        <v>No</v>
      </c>
      <c r="O17" s="3" t="str">
        <f>IFERROR(__xludf.DUMMYFUNCTION("""COMPUTED_VALUE"""),"Good Stock")</f>
        <v>Good Stock</v>
      </c>
      <c r="P17" s="3" t="str">
        <f>IFERROR(__xludf.DUMMYFUNCTION("""COMPUTED_VALUE"""),"Large Cap")</f>
        <v>Large Cap</v>
      </c>
      <c r="Q17" s="3"/>
      <c r="R17" s="3"/>
      <c r="S17" s="3"/>
      <c r="T17" s="3"/>
      <c r="U17" s="3"/>
      <c r="V17" s="3"/>
      <c r="W17" s="3"/>
    </row>
    <row r="18">
      <c r="A18" s="3" t="str">
        <f>IFERROR(__xludf.DUMMYFUNCTION("""COMPUTED_VALUE"""),"TVS")</f>
        <v>TVS</v>
      </c>
      <c r="B18" s="4">
        <f>IFERROR(__xludf.DUMMYFUNCTION("""COMPUTED_VALUE"""),47610.86)</f>
        <v>47610.86</v>
      </c>
      <c r="C18" s="3">
        <f>IFERROR(__xludf.DUMMYFUNCTION("""COMPUTED_VALUE"""),999.5)</f>
        <v>999.5</v>
      </c>
      <c r="D18" s="3">
        <f>IFERROR(__xludf.DUMMYFUNCTION("""COMPUTED_VALUE"""),39.03)</f>
        <v>39.03</v>
      </c>
      <c r="E18" s="3">
        <f>IFERROR(__xludf.DUMMYFUNCTION("""COMPUTED_VALUE"""),1177.0)</f>
        <v>1177</v>
      </c>
      <c r="F18" s="5">
        <f>IFERROR(__xludf.DUMMYFUNCTION("""COMPUTED_VALUE"""),0.1508071367884452)</f>
        <v>0.1508071368</v>
      </c>
      <c r="G18" s="3">
        <f>IFERROR(__xludf.DUMMYFUNCTION("""COMPUTED_VALUE"""),513.0)</f>
        <v>513</v>
      </c>
      <c r="H18" s="5">
        <f>IFERROR(__xludf.DUMMYFUNCTION("""COMPUTED_VALUE"""),0.9483430799220273)</f>
        <v>0.9483430799</v>
      </c>
      <c r="I18" s="3">
        <f>IFERROR(__xludf.DUMMYFUNCTION("""COMPUTED_VALUE"""),1005.2)</f>
        <v>1005.2</v>
      </c>
      <c r="J18" s="6">
        <f>IFERROR(__xludf.DUMMYFUNCTION("""COMPUTED_VALUE"""),-0.005670513330680507)</f>
        <v>-0.005670513331</v>
      </c>
      <c r="K18" s="3" t="str">
        <f>IFERROR(__xludf.DUMMYFUNCTION("""COMPUTED_VALUE"""),"Automobile")</f>
        <v>Automobile</v>
      </c>
      <c r="L18" s="3" t="str">
        <f>IFERROR(__xludf.DUMMYFUNCTION("""COMPUTED_VALUE"""),"BOM:532343")</f>
        <v>BOM:532343</v>
      </c>
      <c r="M18" s="3" t="str">
        <f>IFERROR(__xludf.DUMMYFUNCTION("""COMPUTED_VALUE"""),"No")</f>
        <v>No</v>
      </c>
      <c r="N18" s="3" t="str">
        <f>IFERROR(__xludf.DUMMYFUNCTION("""COMPUTED_VALUE"""),"No")</f>
        <v>No</v>
      </c>
      <c r="O18" s="3" t="str">
        <f>IFERROR(__xludf.DUMMYFUNCTION("""COMPUTED_VALUE"""),"Good Stock")</f>
        <v>Good Stock</v>
      </c>
      <c r="P18" s="3" t="str">
        <f>IFERROR(__xludf.DUMMYFUNCTION("""COMPUTED_VALUE"""),"Large Cap")</f>
        <v>Large Cap</v>
      </c>
      <c r="Q18" s="3"/>
      <c r="R18" s="3"/>
      <c r="S18" s="3"/>
      <c r="T18" s="3"/>
      <c r="U18" s="3"/>
      <c r="V18" s="3"/>
      <c r="W18" s="3"/>
    </row>
    <row r="19">
      <c r="A19" s="3" t="str">
        <f>IFERROR(__xludf.DUMMYFUNCTION("""COMPUTED_VALUE"""),"Abbott India")</f>
        <v>Abbott India</v>
      </c>
      <c r="B19" s="4">
        <f>IFERROR(__xludf.DUMMYFUNCTION("""COMPUTED_VALUE"""),47348.12)</f>
        <v>47348.12</v>
      </c>
      <c r="C19" s="3">
        <f>IFERROR(__xludf.DUMMYFUNCTION("""COMPUTED_VALUE"""),22241.0)</f>
        <v>22241</v>
      </c>
      <c r="D19" s="3">
        <f>IFERROR(__xludf.DUMMYFUNCTION("""COMPUTED_VALUE"""),53.6)</f>
        <v>53.6</v>
      </c>
      <c r="E19" s="3">
        <f>IFERROR(__xludf.DUMMYFUNCTION("""COMPUTED_VALUE"""),22499.0)</f>
        <v>22499</v>
      </c>
      <c r="F19" s="5">
        <f>IFERROR(__xludf.DUMMYFUNCTION("""COMPUTED_VALUE"""),0.011467176318947508)</f>
        <v>0.01146717632</v>
      </c>
      <c r="G19" s="3">
        <f>IFERROR(__xludf.DUMMYFUNCTION("""COMPUTED_VALUE"""),15514.0)</f>
        <v>15514</v>
      </c>
      <c r="H19" s="5">
        <f>IFERROR(__xludf.DUMMYFUNCTION("""COMPUTED_VALUE"""),0.4336083537450045)</f>
        <v>0.4336083537</v>
      </c>
      <c r="I19" s="3">
        <f>IFERROR(__xludf.DUMMYFUNCTION("""COMPUTED_VALUE"""),22162.55)</f>
        <v>22162.55</v>
      </c>
      <c r="J19" s="6">
        <f>IFERROR(__xludf.DUMMYFUNCTION("""COMPUTED_VALUE"""),0.0035397551274560343)</f>
        <v>0.003539755127</v>
      </c>
      <c r="K19" s="3" t="str">
        <f>IFERROR(__xludf.DUMMYFUNCTION("""COMPUTED_VALUE"""),"Pharma")</f>
        <v>Pharma</v>
      </c>
      <c r="L19" s="3" t="str">
        <f>IFERROR(__xludf.DUMMYFUNCTION("""COMPUTED_VALUE"""),"ABBOTINDIA")</f>
        <v>ABBOTINDIA</v>
      </c>
      <c r="M19" s="3" t="str">
        <f>IFERROR(__xludf.DUMMYFUNCTION("""COMPUTED_VALUE"""),"No")</f>
        <v>No</v>
      </c>
      <c r="N19" s="3" t="str">
        <f>IFERROR(__xludf.DUMMYFUNCTION("""COMPUTED_VALUE"""),"No")</f>
        <v>No</v>
      </c>
      <c r="O19" s="3" t="str">
        <f>IFERROR(__xludf.DUMMYFUNCTION("""COMPUTED_VALUE"""),"Good Stock")</f>
        <v>Good Stock</v>
      </c>
      <c r="P19" s="3" t="str">
        <f>IFERROR(__xludf.DUMMYFUNCTION("""COMPUTED_VALUE"""),"Large Cap")</f>
        <v>Large Cap</v>
      </c>
      <c r="Q19" s="3"/>
      <c r="R19" s="3"/>
      <c r="S19" s="3"/>
      <c r="T19" s="3"/>
      <c r="U19" s="3"/>
      <c r="V19" s="3"/>
      <c r="W19" s="3"/>
    </row>
    <row r="20">
      <c r="A20" s="3" t="str">
        <f>IFERROR(__xludf.DUMMYFUNCTION("""COMPUTED_VALUE"""),"Balkrishna Industries")</f>
        <v>Balkrishna Industries</v>
      </c>
      <c r="B20" s="4">
        <f>IFERROR(__xludf.DUMMYFUNCTION("""COMPUTED_VALUE"""),43195.8704177)</f>
        <v>43195.87042</v>
      </c>
      <c r="C20" s="3">
        <f>IFERROR(__xludf.DUMMYFUNCTION("""COMPUTED_VALUE"""),2229.0)</f>
        <v>2229</v>
      </c>
      <c r="D20" s="3">
        <f>IFERROR(__xludf.DUMMYFUNCTION("""COMPUTED_VALUE"""),30.72)</f>
        <v>30.72</v>
      </c>
      <c r="E20" s="3">
        <f>IFERROR(__xludf.DUMMYFUNCTION("""COMPUTED_VALUE"""),2537.45)</f>
        <v>2537.45</v>
      </c>
      <c r="F20" s="5">
        <f>IFERROR(__xludf.DUMMYFUNCTION("""COMPUTED_VALUE"""),0.12155904549843341)</f>
        <v>0.1215590455</v>
      </c>
      <c r="G20" s="3">
        <f>IFERROR(__xludf.DUMMYFUNCTION("""COMPUTED_VALUE"""),1690.55)</f>
        <v>1690.55</v>
      </c>
      <c r="H20" s="5">
        <f>IFERROR(__xludf.DUMMYFUNCTION("""COMPUTED_VALUE"""),0.31850581171807996)</f>
        <v>0.3185058117</v>
      </c>
      <c r="I20" s="3">
        <f>IFERROR(__xludf.DUMMYFUNCTION("""COMPUTED_VALUE"""),2214.25)</f>
        <v>2214.25</v>
      </c>
      <c r="J20" s="6">
        <f>IFERROR(__xludf.DUMMYFUNCTION("""COMPUTED_VALUE"""),0.0066613977644800725)</f>
        <v>0.006661397764</v>
      </c>
      <c r="K20" s="3" t="str">
        <f>IFERROR(__xludf.DUMMYFUNCTION("""COMPUTED_VALUE"""),"Tyre")</f>
        <v>Tyre</v>
      </c>
      <c r="L20" s="3" t="str">
        <f>IFERROR(__xludf.DUMMYFUNCTION("""COMPUTED_VALUE"""),"BALKRISIND")</f>
        <v>BALKRISIND</v>
      </c>
      <c r="M20" s="3" t="str">
        <f>IFERROR(__xludf.DUMMYFUNCTION("""COMPUTED_VALUE"""),"No")</f>
        <v>No</v>
      </c>
      <c r="N20" s="3" t="str">
        <f>IFERROR(__xludf.DUMMYFUNCTION("""COMPUTED_VALUE"""),"No")</f>
        <v>No</v>
      </c>
      <c r="O20" s="3" t="str">
        <f>IFERROR(__xludf.DUMMYFUNCTION("""COMPUTED_VALUE"""),"Good Stock")</f>
        <v>Good Stock</v>
      </c>
      <c r="P20" s="3" t="str">
        <f>IFERROR(__xludf.DUMMYFUNCTION("""COMPUTED_VALUE"""),"Large Cap")</f>
        <v>Large Cap</v>
      </c>
      <c r="Q20" s="3"/>
      <c r="R20" s="3"/>
      <c r="S20" s="3"/>
      <c r="T20" s="3"/>
      <c r="U20" s="3"/>
      <c r="V20" s="3"/>
      <c r="W20" s="3"/>
    </row>
    <row r="21">
      <c r="A21" s="3" t="str">
        <f>IFERROR(__xludf.DUMMYFUNCTION("""COMPUTED_VALUE"""),"Polycab")</f>
        <v>Polycab</v>
      </c>
      <c r="B21" s="4">
        <f>IFERROR(__xludf.DUMMYFUNCTION("""COMPUTED_VALUE"""),39945.4022299)</f>
        <v>39945.40223</v>
      </c>
      <c r="C21" s="3">
        <f>IFERROR(__xludf.DUMMYFUNCTION("""COMPUTED_VALUE"""),2662.0)</f>
        <v>2662</v>
      </c>
      <c r="D21" s="3">
        <f>IFERROR(__xludf.DUMMYFUNCTION("""COMPUTED_VALUE"""),35.5)</f>
        <v>35.5</v>
      </c>
      <c r="E21" s="3">
        <f>IFERROR(__xludf.DUMMYFUNCTION("""COMPUTED_VALUE"""),3025.0)</f>
        <v>3025</v>
      </c>
      <c r="F21" s="5">
        <f>IFERROR(__xludf.DUMMYFUNCTION("""COMPUTED_VALUE"""),0.12)</f>
        <v>0.12</v>
      </c>
      <c r="G21" s="3">
        <f>IFERROR(__xludf.DUMMYFUNCTION("""COMPUTED_VALUE"""),2043.85)</f>
        <v>2043.85</v>
      </c>
      <c r="H21" s="5">
        <f>IFERROR(__xludf.DUMMYFUNCTION("""COMPUTED_VALUE"""),0.3024439171172053)</f>
        <v>0.3024439171</v>
      </c>
      <c r="I21" s="3">
        <f>IFERROR(__xludf.DUMMYFUNCTION("""COMPUTED_VALUE"""),2677.05)</f>
        <v>2677.05</v>
      </c>
      <c r="J21" s="6">
        <f>IFERROR(__xludf.DUMMYFUNCTION("""COMPUTED_VALUE"""),-0.005621859883080324)</f>
        <v>-0.005621859883</v>
      </c>
      <c r="K21" s="3" t="str">
        <f>IFERROR(__xludf.DUMMYFUNCTION("""COMPUTED_VALUE"""),"Consumer Electrical")</f>
        <v>Consumer Electrical</v>
      </c>
      <c r="L21" s="3" t="str">
        <f>IFERROR(__xludf.DUMMYFUNCTION("""COMPUTED_VALUE"""),"POLYCAB")</f>
        <v>POLYCAB</v>
      </c>
      <c r="M21" s="3" t="str">
        <f>IFERROR(__xludf.DUMMYFUNCTION("""COMPUTED_VALUE"""),"No")</f>
        <v>No</v>
      </c>
      <c r="N21" s="3" t="str">
        <f>IFERROR(__xludf.DUMMYFUNCTION("""COMPUTED_VALUE"""),"No")</f>
        <v>No</v>
      </c>
      <c r="O21" s="3" t="str">
        <f>IFERROR(__xludf.DUMMYFUNCTION("""COMPUTED_VALUE"""),"Good Stock")</f>
        <v>Good Stock</v>
      </c>
      <c r="P21" s="3" t="str">
        <f>IFERROR(__xludf.DUMMYFUNCTION("""COMPUTED_VALUE"""),"Large Cap")</f>
        <v>Large Cap</v>
      </c>
      <c r="Q21" s="3"/>
      <c r="R21" s="3"/>
      <c r="S21" s="3"/>
      <c r="T21" s="3"/>
      <c r="U21" s="3"/>
      <c r="V21" s="3"/>
      <c r="W21" s="3"/>
    </row>
    <row r="22">
      <c r="A22" s="3" t="str">
        <f>IFERROR(__xludf.DUMMYFUNCTION("""COMPUTED_VALUE"""),"Solar Industries")</f>
        <v>Solar Industries</v>
      </c>
      <c r="B22" s="4">
        <f>IFERROR(__xludf.DUMMYFUNCTION("""COMPUTED_VALUE"""),38859.14)</f>
        <v>38859.14</v>
      </c>
      <c r="C22" s="3">
        <f>IFERROR(__xludf.DUMMYFUNCTION("""COMPUTED_VALUE"""),4338.0)</f>
        <v>4338</v>
      </c>
      <c r="D22" s="3">
        <f>IFERROR(__xludf.DUMMYFUNCTION("""COMPUTED_VALUE"""),63.66)</f>
        <v>63.66</v>
      </c>
      <c r="E22" s="3">
        <f>IFERROR(__xludf.DUMMYFUNCTION("""COMPUTED_VALUE"""),4535.95)</f>
        <v>4535.95</v>
      </c>
      <c r="F22" s="5">
        <f>IFERROR(__xludf.DUMMYFUNCTION("""COMPUTED_VALUE"""),0.043640251766443594)</f>
        <v>0.04364025177</v>
      </c>
      <c r="G22" s="3">
        <f>IFERROR(__xludf.DUMMYFUNCTION("""COMPUTED_VALUE"""),2160.05)</f>
        <v>2160.05</v>
      </c>
      <c r="H22" s="5">
        <f>IFERROR(__xludf.DUMMYFUNCTION("""COMPUTED_VALUE"""),1.0082868452119162)</f>
        <v>1.008286845</v>
      </c>
      <c r="I22" s="3">
        <f>IFERROR(__xludf.DUMMYFUNCTION("""COMPUTED_VALUE"""),4340.15)</f>
        <v>4340.15</v>
      </c>
      <c r="J22" s="6">
        <f>IFERROR(__xludf.DUMMYFUNCTION("""COMPUTED_VALUE"""),-4.953745838276641E-4)</f>
        <v>-0.0004953745838</v>
      </c>
      <c r="K22" s="3" t="str">
        <f>IFERROR(__xludf.DUMMYFUNCTION("""COMPUTED_VALUE"""),"Defence")</f>
        <v>Defence</v>
      </c>
      <c r="L22" s="3" t="str">
        <f>IFERROR(__xludf.DUMMYFUNCTION("""COMPUTED_VALUE"""),"BOM:532725")</f>
        <v>BOM:532725</v>
      </c>
      <c r="M22" s="3" t="str">
        <f>IFERROR(__xludf.DUMMYFUNCTION("""COMPUTED_VALUE"""),"No")</f>
        <v>No</v>
      </c>
      <c r="N22" s="3" t="str">
        <f>IFERROR(__xludf.DUMMYFUNCTION("""COMPUTED_VALUE"""),"No")</f>
        <v>No</v>
      </c>
      <c r="O22" s="3" t="str">
        <f>IFERROR(__xludf.DUMMYFUNCTION("""COMPUTED_VALUE"""),"Good Stock")</f>
        <v>Good Stock</v>
      </c>
      <c r="P22" s="3" t="str">
        <f>IFERROR(__xludf.DUMMYFUNCTION("""COMPUTED_VALUE"""),"Large Cap")</f>
        <v>Large Cap</v>
      </c>
      <c r="Q22" s="3"/>
      <c r="R22" s="3"/>
      <c r="S22" s="3"/>
      <c r="T22" s="3"/>
      <c r="U22" s="3"/>
      <c r="V22" s="3"/>
      <c r="W22" s="3"/>
    </row>
    <row r="23">
      <c r="A23" s="3" t="str">
        <f>IFERROR(__xludf.DUMMYFUNCTION("""COMPUTED_VALUE"""),"APL Apollo")</f>
        <v>APL Apollo</v>
      </c>
      <c r="B23" s="4">
        <f>IFERROR(__xludf.DUMMYFUNCTION("""COMPUTED_VALUE"""),31477.05)</f>
        <v>31477.05</v>
      </c>
      <c r="C23" s="3">
        <f>IFERROR(__xludf.DUMMYFUNCTION("""COMPUTED_VALUE"""),1136.0)</f>
        <v>1136</v>
      </c>
      <c r="D23" s="3">
        <f>IFERROR(__xludf.DUMMYFUNCTION("""COMPUTED_VALUE"""),54.9)</f>
        <v>54.9</v>
      </c>
      <c r="E23" s="3">
        <f>IFERROR(__xludf.DUMMYFUNCTION("""COMPUTED_VALUE"""),1193.85)</f>
        <v>1193.85</v>
      </c>
      <c r="F23" s="5">
        <f>IFERROR(__xludf.DUMMYFUNCTION("""COMPUTED_VALUE"""),0.04845667378648902)</f>
        <v>0.04845667379</v>
      </c>
      <c r="G23" s="3">
        <f>IFERROR(__xludf.DUMMYFUNCTION("""COMPUTED_VALUE"""),771.0)</f>
        <v>771</v>
      </c>
      <c r="H23" s="5">
        <f>IFERROR(__xludf.DUMMYFUNCTION("""COMPUTED_VALUE"""),0.47341115434500647)</f>
        <v>0.4734111543</v>
      </c>
      <c r="I23" s="3">
        <f>IFERROR(__xludf.DUMMYFUNCTION("""COMPUTED_VALUE"""),1127.95)</f>
        <v>1127.95</v>
      </c>
      <c r="J23" s="6">
        <f>IFERROR(__xludf.DUMMYFUNCTION("""COMPUTED_VALUE"""),0.007136841172037727)</f>
        <v>0.007136841172</v>
      </c>
      <c r="K23" s="3" t="str">
        <f>IFERROR(__xludf.DUMMYFUNCTION("""COMPUTED_VALUE"""),"Steel")</f>
        <v>Steel</v>
      </c>
      <c r="L23" s="3" t="str">
        <f>IFERROR(__xludf.DUMMYFUNCTION("""COMPUTED_VALUE"""),"BOM:533758")</f>
        <v>BOM:533758</v>
      </c>
      <c r="M23" s="3" t="str">
        <f>IFERROR(__xludf.DUMMYFUNCTION("""COMPUTED_VALUE"""),"No")</f>
        <v>No</v>
      </c>
      <c r="N23" s="3" t="str">
        <f>IFERROR(__xludf.DUMMYFUNCTION("""COMPUTED_VALUE"""),"No")</f>
        <v>No</v>
      </c>
      <c r="O23" s="3" t="str">
        <f>IFERROR(__xludf.DUMMYFUNCTION("""COMPUTED_VALUE"""),"Good Stock")</f>
        <v>Good Stock</v>
      </c>
      <c r="P23" s="3" t="str">
        <f>IFERROR(__xludf.DUMMYFUNCTION("""COMPUTED_VALUE"""),"Large Cap")</f>
        <v>Large Cap</v>
      </c>
      <c r="Q23" s="3"/>
      <c r="R23" s="3"/>
      <c r="S23" s="3"/>
      <c r="T23" s="3"/>
      <c r="U23" s="3"/>
      <c r="V23" s="3"/>
      <c r="W23" s="3"/>
    </row>
    <row r="24">
      <c r="A24" s="3" t="str">
        <f>IFERROR(__xludf.DUMMYFUNCTION("""COMPUTED_VALUE"""),"Supreme Industries")</f>
        <v>Supreme Industries</v>
      </c>
      <c r="B24" s="4">
        <f>IFERROR(__xludf.DUMMYFUNCTION("""COMPUTED_VALUE"""),31369.92)</f>
        <v>31369.92</v>
      </c>
      <c r="C24" s="3">
        <f>IFERROR(__xludf.DUMMYFUNCTION("""COMPUTED_VALUE"""),2461.0)</f>
        <v>2461</v>
      </c>
      <c r="D24" s="3">
        <f>IFERROR(__xludf.DUMMYFUNCTION("""COMPUTED_VALUE"""),36.12)</f>
        <v>36.12</v>
      </c>
      <c r="E24" s="3">
        <f>IFERROR(__xludf.DUMMYFUNCTION("""COMPUTED_VALUE"""),2607.65)</f>
        <v>2607.65</v>
      </c>
      <c r="F24" s="5">
        <f>IFERROR(__xludf.DUMMYFUNCTION("""COMPUTED_VALUE"""),0.05623837554886587)</f>
        <v>0.05623837555</v>
      </c>
      <c r="G24" s="3">
        <f>IFERROR(__xludf.DUMMYFUNCTION("""COMPUTED_VALUE"""),1666.25)</f>
        <v>1666.25</v>
      </c>
      <c r="H24" s="5">
        <f>IFERROR(__xludf.DUMMYFUNCTION("""COMPUTED_VALUE"""),0.47696924231057763)</f>
        <v>0.4769692423</v>
      </c>
      <c r="I24" s="3">
        <f>IFERROR(__xludf.DUMMYFUNCTION("""COMPUTED_VALUE"""),2452.7)</f>
        <v>2452.7</v>
      </c>
      <c r="J24" s="6">
        <f>IFERROR(__xludf.DUMMYFUNCTION("""COMPUTED_VALUE"""),0.003384025767521581)</f>
        <v>0.003384025768</v>
      </c>
      <c r="K24" s="3" t="str">
        <f>IFERROR(__xludf.DUMMYFUNCTION("""COMPUTED_VALUE"""),"Plastic")</f>
        <v>Plastic</v>
      </c>
      <c r="L24" s="3" t="str">
        <f>IFERROR(__xludf.DUMMYFUNCTION("""COMPUTED_VALUE"""),"SUPREMEIND")</f>
        <v>SUPREMEIND</v>
      </c>
      <c r="M24" s="3" t="str">
        <f>IFERROR(__xludf.DUMMYFUNCTION("""COMPUTED_VALUE"""),"No")</f>
        <v>No</v>
      </c>
      <c r="N24" s="3" t="str">
        <f>IFERROR(__xludf.DUMMYFUNCTION("""COMPUTED_VALUE"""),"No")</f>
        <v>No</v>
      </c>
      <c r="O24" s="3" t="str">
        <f>IFERROR(__xludf.DUMMYFUNCTION("""COMPUTED_VALUE"""),"Good Stock")</f>
        <v>Good Stock</v>
      </c>
      <c r="P24" s="3" t="str">
        <f>IFERROR(__xludf.DUMMYFUNCTION("""COMPUTED_VALUE"""),"Large Cap")</f>
        <v>Large Cap</v>
      </c>
      <c r="Q24" s="3"/>
      <c r="R24" s="3"/>
      <c r="S24" s="3"/>
      <c r="T24" s="3"/>
      <c r="U24" s="3"/>
      <c r="V24" s="3"/>
      <c r="W24" s="3"/>
    </row>
    <row r="25">
      <c r="A25" s="3" t="str">
        <f>IFERROR(__xludf.DUMMYFUNCTION("""COMPUTED_VALUE"""),"Federal Bank")</f>
        <v>Federal Bank</v>
      </c>
      <c r="B25" s="4">
        <f>IFERROR(__xludf.DUMMYFUNCTION("""COMPUTED_VALUE"""),29278.4915846)</f>
        <v>29278.49158</v>
      </c>
      <c r="C25" s="3">
        <f>IFERROR(__xludf.DUMMYFUNCTION("""COMPUTED_VALUE"""),138.45)</f>
        <v>138.45</v>
      </c>
      <c r="D25" s="3">
        <f>IFERROR(__xludf.DUMMYFUNCTION("""COMPUTED_VALUE"""),11.78)</f>
        <v>11.78</v>
      </c>
      <c r="E25" s="3">
        <f>IFERROR(__xludf.DUMMYFUNCTION("""COMPUTED_VALUE"""),142.25)</f>
        <v>142.25</v>
      </c>
      <c r="F25" s="5">
        <f>IFERROR(__xludf.DUMMYFUNCTION("""COMPUTED_VALUE"""),0.0267135325131811)</f>
        <v>0.02671353251</v>
      </c>
      <c r="G25" s="3">
        <f>IFERROR(__xludf.DUMMYFUNCTION("""COMPUTED_VALUE"""),82.5)</f>
        <v>82.5</v>
      </c>
      <c r="H25" s="5">
        <f>IFERROR(__xludf.DUMMYFUNCTION("""COMPUTED_VALUE"""),0.678181818181818)</f>
        <v>0.6781818182</v>
      </c>
      <c r="I25" s="3">
        <f>IFERROR(__xludf.DUMMYFUNCTION("""COMPUTED_VALUE"""),135.05)</f>
        <v>135.05</v>
      </c>
      <c r="J25" s="6">
        <f>IFERROR(__xludf.DUMMYFUNCTION("""COMPUTED_VALUE"""),0.025175860792298978)</f>
        <v>0.02517586079</v>
      </c>
      <c r="K25" s="3" t="str">
        <f>IFERROR(__xludf.DUMMYFUNCTION("""COMPUTED_VALUE"""),"Bank")</f>
        <v>Bank</v>
      </c>
      <c r="L25" s="3" t="str">
        <f>IFERROR(__xludf.DUMMYFUNCTION("""COMPUTED_VALUE"""),"BOM:500469")</f>
        <v>BOM:500469</v>
      </c>
      <c r="M25" s="3" t="str">
        <f>IFERROR(__xludf.DUMMYFUNCTION("""COMPUTED_VALUE"""),"No")</f>
        <v>No</v>
      </c>
      <c r="N25" s="3" t="str">
        <f>IFERROR(__xludf.DUMMYFUNCTION("""COMPUTED_VALUE"""),"No")</f>
        <v>No</v>
      </c>
      <c r="O25" s="3" t="str">
        <f>IFERROR(__xludf.DUMMYFUNCTION("""COMPUTED_VALUE"""),"Good Stock")</f>
        <v>Good Stock</v>
      </c>
      <c r="P25" s="3" t="str">
        <f>IFERROR(__xludf.DUMMYFUNCTION("""COMPUTED_VALUE"""),"Large Cap")</f>
        <v>Large Cap</v>
      </c>
      <c r="Q25" s="3"/>
      <c r="R25" s="3"/>
      <c r="S25" s="3"/>
      <c r="T25" s="3"/>
      <c r="U25" s="3"/>
      <c r="V25" s="3"/>
      <c r="W25" s="3"/>
    </row>
    <row r="26">
      <c r="A26" s="3" t="str">
        <f>IFERROR(__xludf.DUMMYFUNCTION("""COMPUTED_VALUE"""),"Sumitomo Chemicals")</f>
        <v>Sumitomo Chemicals</v>
      </c>
      <c r="B26" s="4">
        <f>IFERROR(__xludf.DUMMYFUNCTION("""COMPUTED_VALUE"""),24637.83)</f>
        <v>24637.83</v>
      </c>
      <c r="C26" s="3">
        <f>IFERROR(__xludf.DUMMYFUNCTION("""COMPUTED_VALUE"""),493.2)</f>
        <v>493.2</v>
      </c>
      <c r="D26" s="3">
        <f>IFERROR(__xludf.DUMMYFUNCTION("""COMPUTED_VALUE"""),48.9)</f>
        <v>48.9</v>
      </c>
      <c r="E26" s="3">
        <f>IFERROR(__xludf.DUMMYFUNCTION("""COMPUTED_VALUE"""),540.8)</f>
        <v>540.8</v>
      </c>
      <c r="F26" s="5">
        <f>IFERROR(__xludf.DUMMYFUNCTION("""COMPUTED_VALUE"""),0.08801775147928989)</f>
        <v>0.08801775148</v>
      </c>
      <c r="G26" s="3">
        <f>IFERROR(__xludf.DUMMYFUNCTION("""COMPUTED_VALUE"""),351.5)</f>
        <v>351.5</v>
      </c>
      <c r="H26" s="5">
        <f>IFERROR(__xludf.DUMMYFUNCTION("""COMPUTED_VALUE"""),0.40312944523470834)</f>
        <v>0.4031294452</v>
      </c>
      <c r="I26" s="3">
        <f>IFERROR(__xludf.DUMMYFUNCTION("""COMPUTED_VALUE"""),487.95)</f>
        <v>487.95</v>
      </c>
      <c r="J26" s="6">
        <f>IFERROR(__xludf.DUMMYFUNCTION("""COMPUTED_VALUE"""),0.010759299108515218)</f>
        <v>0.01075929911</v>
      </c>
      <c r="K26" s="3" t="str">
        <f>IFERROR(__xludf.DUMMYFUNCTION("""COMPUTED_VALUE"""),"Agrochemical")</f>
        <v>Agrochemical</v>
      </c>
      <c r="L26" s="3" t="str">
        <f>IFERROR(__xludf.DUMMYFUNCTION("""COMPUTED_VALUE"""),"SUMICHEM")</f>
        <v>SUMICHEM</v>
      </c>
      <c r="M26" s="3" t="str">
        <f>IFERROR(__xludf.DUMMYFUNCTION("""COMPUTED_VALUE"""),"No")</f>
        <v>No</v>
      </c>
      <c r="N26" s="3" t="str">
        <f>IFERROR(__xludf.DUMMYFUNCTION("""COMPUTED_VALUE"""),"No")</f>
        <v>No</v>
      </c>
      <c r="O26" s="3" t="str">
        <f>IFERROR(__xludf.DUMMYFUNCTION("""COMPUTED_VALUE"""),"Good Stock")</f>
        <v>Good Stock</v>
      </c>
      <c r="P26" s="3" t="str">
        <f>IFERROR(__xludf.DUMMYFUNCTION("""COMPUTED_VALUE"""),"Medium Cap")</f>
        <v>Medium Cap</v>
      </c>
      <c r="Q26" s="3"/>
      <c r="R26" s="3"/>
      <c r="S26" s="3"/>
      <c r="T26" s="3"/>
      <c r="U26" s="3"/>
      <c r="V26" s="3"/>
      <c r="W26" s="3"/>
    </row>
    <row r="27">
      <c r="A27" s="3" t="str">
        <f>IFERROR(__xludf.DUMMYFUNCTION("""COMPUTED_VALUE"""),"J K Cement")</f>
        <v>J K Cement</v>
      </c>
      <c r="B27" s="4">
        <f>IFERROR(__xludf.DUMMYFUNCTION("""COMPUTED_VALUE"""),22430.59)</f>
        <v>22430.59</v>
      </c>
      <c r="C27" s="3">
        <f>IFERROR(__xludf.DUMMYFUNCTION("""COMPUTED_VALUE"""),2900.45)</f>
        <v>2900.45</v>
      </c>
      <c r="D27" s="3">
        <f>IFERROR(__xludf.DUMMYFUNCTION("""COMPUTED_VALUE"""),36.07)</f>
        <v>36.07</v>
      </c>
      <c r="E27" s="3">
        <f>IFERROR(__xludf.DUMMYFUNCTION("""COMPUTED_VALUE"""),3646.25)</f>
        <v>3646.25</v>
      </c>
      <c r="F27" s="5">
        <f>IFERROR(__xludf.DUMMYFUNCTION("""COMPUTED_VALUE"""),0.2045389098388756)</f>
        <v>0.2045389098</v>
      </c>
      <c r="G27" s="3">
        <f>IFERROR(__xludf.DUMMYFUNCTION("""COMPUTED_VALUE"""),2005.0)</f>
        <v>2005</v>
      </c>
      <c r="H27" s="5">
        <f>IFERROR(__xludf.DUMMYFUNCTION("""COMPUTED_VALUE"""),0.4466084788029924)</f>
        <v>0.4466084788</v>
      </c>
      <c r="I27" s="3">
        <f>IFERROR(__xludf.DUMMYFUNCTION("""COMPUTED_VALUE"""),2905.9)</f>
        <v>2905.9</v>
      </c>
      <c r="J27" s="6">
        <f>IFERROR(__xludf.DUMMYFUNCTION("""COMPUTED_VALUE"""),-0.0018754946832307625)</f>
        <v>-0.001875494683</v>
      </c>
      <c r="K27" s="3" t="str">
        <f>IFERROR(__xludf.DUMMYFUNCTION("""COMPUTED_VALUE"""),"Cement")</f>
        <v>Cement</v>
      </c>
      <c r="L27" s="3" t="str">
        <f>IFERROR(__xludf.DUMMYFUNCTION("""COMPUTED_VALUE"""),"BOM:532644")</f>
        <v>BOM:532644</v>
      </c>
      <c r="M27" s="3" t="str">
        <f>IFERROR(__xludf.DUMMYFUNCTION("""COMPUTED_VALUE"""),"No")</f>
        <v>No</v>
      </c>
      <c r="N27" s="3" t="str">
        <f>IFERROR(__xludf.DUMMYFUNCTION("""COMPUTED_VALUE"""),"No")</f>
        <v>No</v>
      </c>
      <c r="O27" s="3" t="str">
        <f>IFERROR(__xludf.DUMMYFUNCTION("""COMPUTED_VALUE"""),"Good Stock")</f>
        <v>Good Stock</v>
      </c>
      <c r="P27" s="3" t="str">
        <f>IFERROR(__xludf.DUMMYFUNCTION("""COMPUTED_VALUE"""),"Medium Cap")</f>
        <v>Medium Cap</v>
      </c>
      <c r="Q27" s="3"/>
      <c r="R27" s="3"/>
      <c r="S27" s="3"/>
      <c r="T27" s="3"/>
      <c r="U27" s="3"/>
      <c r="V27" s="3"/>
      <c r="W27" s="3"/>
    </row>
    <row r="28">
      <c r="A28" s="3" t="str">
        <f>IFERROR(__xludf.DUMMYFUNCTION("""COMPUTED_VALUE"""),"LIC Housing Finance")</f>
        <v>LIC Housing Finance</v>
      </c>
      <c r="B28" s="4">
        <f>IFERROR(__xludf.DUMMYFUNCTION("""COMPUTED_VALUE"""),22159.2659823)</f>
        <v>22159.26598</v>
      </c>
      <c r="C28" s="3">
        <f>IFERROR(__xludf.DUMMYFUNCTION("""COMPUTED_VALUE"""),402.9)</f>
        <v>402.9</v>
      </c>
      <c r="D28" s="3">
        <f>IFERROR(__xludf.DUMMYFUNCTION("""COMPUTED_VALUE"""),6.85)</f>
        <v>6.85</v>
      </c>
      <c r="E28" s="3">
        <f>IFERROR(__xludf.DUMMYFUNCTION("""COMPUTED_VALUE"""),443.5)</f>
        <v>443.5</v>
      </c>
      <c r="F28" s="5">
        <f>IFERROR(__xludf.DUMMYFUNCTION("""COMPUTED_VALUE"""),0.09154453213077796)</f>
        <v>0.09154453213</v>
      </c>
      <c r="G28" s="3">
        <f>IFERROR(__xludf.DUMMYFUNCTION("""COMPUTED_VALUE"""),291.75)</f>
        <v>291.75</v>
      </c>
      <c r="H28" s="5">
        <f>IFERROR(__xludf.DUMMYFUNCTION("""COMPUTED_VALUE"""),0.38097686375321327)</f>
        <v>0.3809768638</v>
      </c>
      <c r="I28" s="3">
        <f>IFERROR(__xludf.DUMMYFUNCTION("""COMPUTED_VALUE"""),400.2)</f>
        <v>400.2</v>
      </c>
      <c r="J28" s="6">
        <f>IFERROR(__xludf.DUMMYFUNCTION("""COMPUTED_VALUE"""),0.006746626686656643)</f>
        <v>0.006746626687</v>
      </c>
      <c r="K28" s="3" t="str">
        <f>IFERROR(__xludf.DUMMYFUNCTION("""COMPUTED_VALUE"""),"NBFC")</f>
        <v>NBFC</v>
      </c>
      <c r="L28" s="3" t="str">
        <f>IFERROR(__xludf.DUMMYFUNCTION("""COMPUTED_VALUE"""),"BOM:500253")</f>
        <v>BOM:500253</v>
      </c>
      <c r="M28" s="3" t="str">
        <f>IFERROR(__xludf.DUMMYFUNCTION("""COMPUTED_VALUE"""),"No")</f>
        <v>No</v>
      </c>
      <c r="N28" s="3" t="str">
        <f>IFERROR(__xludf.DUMMYFUNCTION("""COMPUTED_VALUE"""),"No")</f>
        <v>No</v>
      </c>
      <c r="O28" s="3" t="str">
        <f>IFERROR(__xludf.DUMMYFUNCTION("""COMPUTED_VALUE"""),"Good Stock")</f>
        <v>Good Stock</v>
      </c>
      <c r="P28" s="3" t="str">
        <f>IFERROR(__xludf.DUMMYFUNCTION("""COMPUTED_VALUE"""),"Medium Cap")</f>
        <v>Medium Cap</v>
      </c>
      <c r="Q28" s="3"/>
      <c r="R28" s="3"/>
      <c r="S28" s="3"/>
      <c r="T28" s="3"/>
      <c r="U28" s="3"/>
      <c r="V28" s="3"/>
      <c r="W28" s="3"/>
    </row>
    <row r="29">
      <c r="A29" s="3" t="str">
        <f>IFERROR(__xludf.DUMMYFUNCTION("""COMPUTED_VALUE"""),"Endurance Technology")</f>
        <v>Endurance Technology</v>
      </c>
      <c r="B29" s="4">
        <f>IFERROR(__xludf.DUMMYFUNCTION("""COMPUTED_VALUE"""),19679.44)</f>
        <v>19679.44</v>
      </c>
      <c r="C29" s="3">
        <f>IFERROR(__xludf.DUMMYFUNCTION("""COMPUTED_VALUE"""),1398.5)</f>
        <v>1398.5</v>
      </c>
      <c r="D29" s="3">
        <f>IFERROR(__xludf.DUMMYFUNCTION("""COMPUTED_VALUE"""),42.23)</f>
        <v>42.23</v>
      </c>
      <c r="E29" s="3">
        <f>IFERROR(__xludf.DUMMYFUNCTION("""COMPUTED_VALUE"""),1736.15)</f>
        <v>1736.15</v>
      </c>
      <c r="F29" s="5">
        <f>IFERROR(__xludf.DUMMYFUNCTION("""COMPUTED_VALUE"""),0.19448204360222335)</f>
        <v>0.1944820436</v>
      </c>
      <c r="G29" s="3">
        <f>IFERROR(__xludf.DUMMYFUNCTION("""COMPUTED_VALUE"""),1047.2)</f>
        <v>1047.2</v>
      </c>
      <c r="H29" s="5">
        <f>IFERROR(__xludf.DUMMYFUNCTION("""COMPUTED_VALUE"""),0.3354660045836516)</f>
        <v>0.3354660046</v>
      </c>
      <c r="I29" s="3">
        <f>IFERROR(__xludf.DUMMYFUNCTION("""COMPUTED_VALUE"""),1401.15)</f>
        <v>1401.15</v>
      </c>
      <c r="J29" s="6">
        <f>IFERROR(__xludf.DUMMYFUNCTION("""COMPUTED_VALUE"""),-0.001891303572065868)</f>
        <v>-0.001891303572</v>
      </c>
      <c r="K29" s="3" t="str">
        <f>IFERROR(__xludf.DUMMYFUNCTION("""COMPUTED_VALUE"""),"Automobile Ancilliary")</f>
        <v>Automobile Ancilliary</v>
      </c>
      <c r="L29" s="3" t="str">
        <f>IFERROR(__xludf.DUMMYFUNCTION("""COMPUTED_VALUE"""),"ENDURANCE")</f>
        <v>ENDURANCE</v>
      </c>
      <c r="M29" s="3" t="str">
        <f>IFERROR(__xludf.DUMMYFUNCTION("""COMPUTED_VALUE"""),"No")</f>
        <v>No</v>
      </c>
      <c r="N29" s="3" t="str">
        <f>IFERROR(__xludf.DUMMYFUNCTION("""COMPUTED_VALUE"""),"No")</f>
        <v>No</v>
      </c>
      <c r="O29" s="3" t="str">
        <f>IFERROR(__xludf.DUMMYFUNCTION("""COMPUTED_VALUE"""),"Good Stock")</f>
        <v>Good Stock</v>
      </c>
      <c r="P29" s="3" t="str">
        <f>IFERROR(__xludf.DUMMYFUNCTION("""COMPUTED_VALUE"""),"Medium Cap")</f>
        <v>Medium Cap</v>
      </c>
      <c r="Q29" s="3"/>
      <c r="R29" s="3"/>
      <c r="S29" s="3"/>
      <c r="T29" s="3"/>
      <c r="U29" s="3"/>
      <c r="V29" s="3"/>
      <c r="W29" s="3"/>
    </row>
    <row r="30">
      <c r="A30" s="3" t="str">
        <f>IFERROR(__xludf.DUMMYFUNCTION("""COMPUTED_VALUE"""),"KPIT")</f>
        <v>KPIT</v>
      </c>
      <c r="B30" s="4">
        <f>IFERROR(__xludf.DUMMYFUNCTION("""COMPUTED_VALUE"""),18827.9516699)</f>
        <v>18827.95167</v>
      </c>
      <c r="C30" s="3">
        <f>IFERROR(__xludf.DUMMYFUNCTION("""COMPUTED_VALUE"""),696.3)</f>
        <v>696.3</v>
      </c>
      <c r="D30" s="3">
        <f>IFERROR(__xludf.DUMMYFUNCTION("""COMPUTED_VALUE"""),59.82)</f>
        <v>59.82</v>
      </c>
      <c r="E30" s="3">
        <f>IFERROR(__xludf.DUMMYFUNCTION("""COMPUTED_VALUE"""),764.25)</f>
        <v>764.25</v>
      </c>
      <c r="F30" s="5">
        <f>IFERROR(__xludf.DUMMYFUNCTION("""COMPUTED_VALUE"""),0.08891069676153097)</f>
        <v>0.08891069676</v>
      </c>
      <c r="G30" s="3">
        <f>IFERROR(__xludf.DUMMYFUNCTION("""COMPUTED_VALUE"""),440.0)</f>
        <v>440</v>
      </c>
      <c r="H30" s="5">
        <f>IFERROR(__xludf.DUMMYFUNCTION("""COMPUTED_VALUE"""),0.5824999999999999)</f>
        <v>0.5825</v>
      </c>
      <c r="I30" s="3">
        <f>IFERROR(__xludf.DUMMYFUNCTION("""COMPUTED_VALUE"""),692.45)</f>
        <v>692.45</v>
      </c>
      <c r="J30" s="6">
        <f>IFERROR(__xludf.DUMMYFUNCTION("""COMPUTED_VALUE"""),0.005559968228752847)</f>
        <v>0.005559968229</v>
      </c>
      <c r="K30" s="3" t="str">
        <f>IFERROR(__xludf.DUMMYFUNCTION("""COMPUTED_VALUE"""),"IT")</f>
        <v>IT</v>
      </c>
      <c r="L30" s="3" t="str">
        <f>IFERROR(__xludf.DUMMYFUNCTION("""COMPUTED_VALUE"""),"BOM:542651")</f>
        <v>BOM:542651</v>
      </c>
      <c r="M30" s="3" t="str">
        <f>IFERROR(__xludf.DUMMYFUNCTION("""COMPUTED_VALUE"""),"No")</f>
        <v>No</v>
      </c>
      <c r="N30" s="3" t="str">
        <f>IFERROR(__xludf.DUMMYFUNCTION("""COMPUTED_VALUE"""),"No")</f>
        <v>No</v>
      </c>
      <c r="O30" s="3" t="str">
        <f>IFERROR(__xludf.DUMMYFUNCTION("""COMPUTED_VALUE"""),"Good Stock")</f>
        <v>Good Stock</v>
      </c>
      <c r="P30" s="3" t="str">
        <f>IFERROR(__xludf.DUMMYFUNCTION("""COMPUTED_VALUE"""),"Medium Cap")</f>
        <v>Medium Cap</v>
      </c>
      <c r="Q30" s="3"/>
      <c r="R30" s="3"/>
      <c r="S30" s="3"/>
      <c r="T30" s="3"/>
      <c r="U30" s="3"/>
      <c r="V30" s="3"/>
      <c r="W30" s="3"/>
    </row>
    <row r="31">
      <c r="A31" s="3" t="str">
        <f>IFERROR(__xludf.DUMMYFUNCTION("""COMPUTED_VALUE"""),"Fine Organics")</f>
        <v>Fine Organics</v>
      </c>
      <c r="B31" s="4">
        <f>IFERROR(__xludf.DUMMYFUNCTION("""COMPUTED_VALUE"""),17277.2)</f>
        <v>17277.2</v>
      </c>
      <c r="C31" s="3">
        <f>IFERROR(__xludf.DUMMYFUNCTION("""COMPUTED_VALUE"""),5630.0)</f>
        <v>5630</v>
      </c>
      <c r="D31" s="3">
        <f>IFERROR(__xludf.DUMMYFUNCTION("""COMPUTED_VALUE"""),32.19)</f>
        <v>32.19</v>
      </c>
      <c r="E31" s="3">
        <f>IFERROR(__xludf.DUMMYFUNCTION("""COMPUTED_VALUE"""),7328.75)</f>
        <v>7328.75</v>
      </c>
      <c r="F31" s="5">
        <f>IFERROR(__xludf.DUMMYFUNCTION("""COMPUTED_VALUE"""),0.23179259764625618)</f>
        <v>0.2317925976</v>
      </c>
      <c r="G31" s="3">
        <f>IFERROR(__xludf.DUMMYFUNCTION("""COMPUTED_VALUE"""),3457.1)</f>
        <v>3457.1</v>
      </c>
      <c r="H31" s="5">
        <f>IFERROR(__xludf.DUMMYFUNCTION("""COMPUTED_VALUE"""),0.6285325851146916)</f>
        <v>0.6285325851</v>
      </c>
      <c r="I31" s="3">
        <f>IFERROR(__xludf.DUMMYFUNCTION("""COMPUTED_VALUE"""),5672.25)</f>
        <v>5672.25</v>
      </c>
      <c r="J31" s="6">
        <f>IFERROR(__xludf.DUMMYFUNCTION("""COMPUTED_VALUE"""),-0.0074485433469963416)</f>
        <v>-0.007448543347</v>
      </c>
      <c r="K31" s="3" t="str">
        <f>IFERROR(__xludf.DUMMYFUNCTION("""COMPUTED_VALUE"""),"Chemical")</f>
        <v>Chemical</v>
      </c>
      <c r="L31" s="3" t="str">
        <f>IFERROR(__xludf.DUMMYFUNCTION("""COMPUTED_VALUE"""),"FINEORG")</f>
        <v>FINEORG</v>
      </c>
      <c r="M31" s="3" t="str">
        <f>IFERROR(__xludf.DUMMYFUNCTION("""COMPUTED_VALUE"""),"No")</f>
        <v>No</v>
      </c>
      <c r="N31" s="3" t="str">
        <f>IFERROR(__xludf.DUMMYFUNCTION("""COMPUTED_VALUE"""),"No")</f>
        <v>No</v>
      </c>
      <c r="O31" s="3" t="str">
        <f>IFERROR(__xludf.DUMMYFUNCTION("""COMPUTED_VALUE"""),"Good Stock")</f>
        <v>Good Stock</v>
      </c>
      <c r="P31" s="3" t="str">
        <f>IFERROR(__xludf.DUMMYFUNCTION("""COMPUTED_VALUE"""),"Medium Cap")</f>
        <v>Medium Cap</v>
      </c>
      <c r="Q31" s="3"/>
      <c r="R31" s="3"/>
      <c r="S31" s="3"/>
      <c r="T31" s="3"/>
      <c r="U31" s="3"/>
      <c r="V31" s="3"/>
      <c r="W31" s="3"/>
    </row>
    <row r="32">
      <c r="A32" s="3" t="str">
        <f>IFERROR(__xludf.DUMMYFUNCTION("""COMPUTED_VALUE"""),"Exide Battery")</f>
        <v>Exide Battery</v>
      </c>
      <c r="B32" s="4">
        <f>IFERROR(__xludf.DUMMYFUNCTION("""COMPUTED_VALUE"""),15554.9906858)</f>
        <v>15554.99069</v>
      </c>
      <c r="C32" s="3">
        <f>IFERROR(__xludf.DUMMYFUNCTION("""COMPUTED_VALUE"""),182.85)</f>
        <v>182.85</v>
      </c>
      <c r="D32" s="3">
        <f>IFERROR(__xludf.DUMMYFUNCTION("""COMPUTED_VALUE"""),3.39)</f>
        <v>3.39</v>
      </c>
      <c r="E32" s="3">
        <f>IFERROR(__xludf.DUMMYFUNCTION("""COMPUTED_VALUE"""),194.2)</f>
        <v>194.2</v>
      </c>
      <c r="F32" s="5">
        <f>IFERROR(__xludf.DUMMYFUNCTION("""COMPUTED_VALUE"""),0.05844490216271882)</f>
        <v>0.05844490216</v>
      </c>
      <c r="G32" s="3">
        <f>IFERROR(__xludf.DUMMYFUNCTION("""COMPUTED_VALUE"""),130.25)</f>
        <v>130.25</v>
      </c>
      <c r="H32" s="5">
        <f>IFERROR(__xludf.DUMMYFUNCTION("""COMPUTED_VALUE"""),0.4038387715930902)</f>
        <v>0.4038387716</v>
      </c>
      <c r="I32" s="3">
        <f>IFERROR(__xludf.DUMMYFUNCTION("""COMPUTED_VALUE"""),182.65)</f>
        <v>182.65</v>
      </c>
      <c r="J32" s="6">
        <f>IFERROR(__xludf.DUMMYFUNCTION("""COMPUTED_VALUE"""),0.001094990418833773)</f>
        <v>0.001094990419</v>
      </c>
      <c r="K32" s="3" t="str">
        <f>IFERROR(__xludf.DUMMYFUNCTION("""COMPUTED_VALUE"""),"Automobile Ancilliary")</f>
        <v>Automobile Ancilliary</v>
      </c>
      <c r="L32" s="3" t="str">
        <f>IFERROR(__xludf.DUMMYFUNCTION("""COMPUTED_VALUE"""),"EXIDEIND")</f>
        <v>EXIDEIND</v>
      </c>
      <c r="M32" s="3" t="str">
        <f>IFERROR(__xludf.DUMMYFUNCTION("""COMPUTED_VALUE"""),"No")</f>
        <v>No</v>
      </c>
      <c r="N32" s="3" t="str">
        <f>IFERROR(__xludf.DUMMYFUNCTION("""COMPUTED_VALUE"""),"No")</f>
        <v>No</v>
      </c>
      <c r="O32" s="3" t="str">
        <f>IFERROR(__xludf.DUMMYFUNCTION("""COMPUTED_VALUE"""),"Good Stock")</f>
        <v>Good Stock</v>
      </c>
      <c r="P32" s="3" t="str">
        <f>IFERROR(__xludf.DUMMYFUNCTION("""COMPUTED_VALUE"""),"Medium Cap")</f>
        <v>Medium Cap</v>
      </c>
      <c r="Q32" s="3"/>
      <c r="R32" s="3"/>
      <c r="S32" s="3"/>
      <c r="T32" s="3"/>
      <c r="U32" s="3"/>
      <c r="V32" s="3"/>
      <c r="W32" s="3"/>
    </row>
    <row r="33">
      <c r="A33" s="3" t="str">
        <f>IFERROR(__xludf.DUMMYFUNCTION("""COMPUTED_VALUE"""),"KEI Industries")</f>
        <v>KEI Industries</v>
      </c>
      <c r="B33" s="4">
        <f>IFERROR(__xludf.DUMMYFUNCTION("""COMPUTED_VALUE"""),12966.0743501)</f>
        <v>12966.07435</v>
      </c>
      <c r="C33" s="3">
        <f>IFERROR(__xludf.DUMMYFUNCTION("""COMPUTED_VALUE"""),1436.05)</f>
        <v>1436.05</v>
      </c>
      <c r="D33" s="3">
        <f>IFERROR(__xludf.DUMMYFUNCTION("""COMPUTED_VALUE"""),30.59)</f>
        <v>30.59</v>
      </c>
      <c r="E33" s="3">
        <f>IFERROR(__xludf.DUMMYFUNCTION("""COMPUTED_VALUE"""),1662.45)</f>
        <v>1662.45</v>
      </c>
      <c r="F33" s="5">
        <f>IFERROR(__xludf.DUMMYFUNCTION("""COMPUTED_VALUE"""),0.13618454690366633)</f>
        <v>0.1361845469</v>
      </c>
      <c r="G33" s="3">
        <f>IFERROR(__xludf.DUMMYFUNCTION("""COMPUTED_VALUE"""),905.2)</f>
        <v>905.2</v>
      </c>
      <c r="H33" s="5">
        <f>IFERROR(__xludf.DUMMYFUNCTION("""COMPUTED_VALUE"""),0.5864449845338046)</f>
        <v>0.5864449845</v>
      </c>
      <c r="I33" s="3">
        <f>IFERROR(__xludf.DUMMYFUNCTION("""COMPUTED_VALUE"""),1435.2)</f>
        <v>1435.2</v>
      </c>
      <c r="J33" s="6">
        <f>IFERROR(__xludf.DUMMYFUNCTION("""COMPUTED_VALUE"""),5.922519509475397E-4)</f>
        <v>0.0005922519509</v>
      </c>
      <c r="K33" s="3" t="str">
        <f>IFERROR(__xludf.DUMMYFUNCTION("""COMPUTED_VALUE"""),"Consumer Electrical")</f>
        <v>Consumer Electrical</v>
      </c>
      <c r="L33" s="3" t="str">
        <f>IFERROR(__xludf.DUMMYFUNCTION("""COMPUTED_VALUE"""),"BOM:517569")</f>
        <v>BOM:517569</v>
      </c>
      <c r="M33" s="3" t="str">
        <f>IFERROR(__xludf.DUMMYFUNCTION("""COMPUTED_VALUE"""),"No")</f>
        <v>No</v>
      </c>
      <c r="N33" s="3" t="str">
        <f>IFERROR(__xludf.DUMMYFUNCTION("""COMPUTED_VALUE"""),"No")</f>
        <v>No</v>
      </c>
      <c r="O33" s="3" t="str">
        <f>IFERROR(__xludf.DUMMYFUNCTION("""COMPUTED_VALUE"""),"Good Stock")</f>
        <v>Good Stock</v>
      </c>
      <c r="P33" s="3" t="str">
        <f>IFERROR(__xludf.DUMMYFUNCTION("""COMPUTED_VALUE"""),"Low Cap")</f>
        <v>Low Cap</v>
      </c>
      <c r="Q33" s="3"/>
      <c r="R33" s="3"/>
      <c r="S33" s="3"/>
      <c r="T33" s="3"/>
      <c r="U33" s="3"/>
      <c r="V33" s="3"/>
      <c r="W33" s="3"/>
    </row>
    <row r="34">
      <c r="A34" s="3" t="str">
        <f>IFERROR(__xludf.DUMMYFUNCTION("""COMPUTED_VALUE"""),"Finolex Industries")</f>
        <v>Finolex Industries</v>
      </c>
      <c r="B34" s="4">
        <f>IFERROR(__xludf.DUMMYFUNCTION("""COMPUTED_VALUE"""),10644.74)</f>
        <v>10644.74</v>
      </c>
      <c r="C34" s="3">
        <f>IFERROR(__xludf.DUMMYFUNCTION("""COMPUTED_VALUE"""),173.0)</f>
        <v>173</v>
      </c>
      <c r="D34" s="3">
        <f>IFERROR(__xludf.DUMMYFUNCTION("""COMPUTED_VALUE"""),15.85)</f>
        <v>15.85</v>
      </c>
      <c r="E34" s="3">
        <f>IFERROR(__xludf.DUMMYFUNCTION("""COMPUTED_VALUE"""),204.5)</f>
        <v>204.5</v>
      </c>
      <c r="F34" s="5">
        <f>IFERROR(__xludf.DUMMYFUNCTION("""COMPUTED_VALUE"""),0.15403422982885084)</f>
        <v>0.1540342298</v>
      </c>
      <c r="G34" s="3">
        <f>IFERROR(__xludf.DUMMYFUNCTION("""COMPUTED_VALUE"""),128.0)</f>
        <v>128</v>
      </c>
      <c r="H34" s="5">
        <f>IFERROR(__xludf.DUMMYFUNCTION("""COMPUTED_VALUE"""),0.3515625)</f>
        <v>0.3515625</v>
      </c>
      <c r="I34" s="3">
        <f>IFERROR(__xludf.DUMMYFUNCTION("""COMPUTED_VALUE"""),170.9)</f>
        <v>170.9</v>
      </c>
      <c r="J34" s="6">
        <f>IFERROR(__xludf.DUMMYFUNCTION("""COMPUTED_VALUE"""),0.012287887653598561)</f>
        <v>0.01228788765</v>
      </c>
      <c r="K34" s="3" t="str">
        <f>IFERROR(__xludf.DUMMYFUNCTION("""COMPUTED_VALUE"""),"Piping")</f>
        <v>Piping</v>
      </c>
      <c r="L34" s="3" t="str">
        <f>IFERROR(__xludf.DUMMYFUNCTION("""COMPUTED_VALUE"""),"BOM:500940")</f>
        <v>BOM:500940</v>
      </c>
      <c r="M34" s="3" t="str">
        <f>IFERROR(__xludf.DUMMYFUNCTION("""COMPUTED_VALUE"""),"No")</f>
        <v>No</v>
      </c>
      <c r="N34" s="3" t="str">
        <f>IFERROR(__xludf.DUMMYFUNCTION("""COMPUTED_VALUE"""),"No")</f>
        <v>No</v>
      </c>
      <c r="O34" s="3" t="str">
        <f>IFERROR(__xludf.DUMMYFUNCTION("""COMPUTED_VALUE"""),"Good Stock")</f>
        <v>Good Stock</v>
      </c>
      <c r="P34" s="3" t="str">
        <f>IFERROR(__xludf.DUMMYFUNCTION("""COMPUTED_VALUE"""),"Low Cap")</f>
        <v>Low Cap</v>
      </c>
      <c r="Q34" s="3"/>
      <c r="R34" s="3"/>
      <c r="S34" s="3"/>
      <c r="T34" s="3"/>
      <c r="U34" s="3"/>
      <c r="V34" s="3"/>
      <c r="W34" s="3"/>
    </row>
    <row r="35">
      <c r="A35" s="3" t="str">
        <f>IFERROR(__xludf.DUMMYFUNCTION("""COMPUTED_VALUE"""),"UTI AMC")</f>
        <v>UTI AMC</v>
      </c>
      <c r="B35" s="4">
        <f>IFERROR(__xludf.DUMMYFUNCTION("""COMPUTED_VALUE"""),10284.2865)</f>
        <v>10284.2865</v>
      </c>
      <c r="C35" s="3">
        <f>IFERROR(__xludf.DUMMYFUNCTION("""COMPUTED_VALUE"""),807.2)</f>
        <v>807.2</v>
      </c>
      <c r="D35" s="3">
        <f>IFERROR(__xludf.DUMMYFUNCTION("""COMPUTED_VALUE"""),21.59)</f>
        <v>21.59</v>
      </c>
      <c r="E35" s="3">
        <f>IFERROR(__xludf.DUMMYFUNCTION("""COMPUTED_VALUE"""),1096.05)</f>
        <v>1096.05</v>
      </c>
      <c r="F35" s="5">
        <f>IFERROR(__xludf.DUMMYFUNCTION("""COMPUTED_VALUE"""),0.263537247388349)</f>
        <v>0.2635372474</v>
      </c>
      <c r="G35" s="3">
        <f>IFERROR(__xludf.DUMMYFUNCTION("""COMPUTED_VALUE"""),595.0)</f>
        <v>595</v>
      </c>
      <c r="H35" s="5">
        <f>IFERROR(__xludf.DUMMYFUNCTION("""COMPUTED_VALUE"""),0.35663865546218493)</f>
        <v>0.3566386555</v>
      </c>
      <c r="I35" s="3">
        <f>IFERROR(__xludf.DUMMYFUNCTION("""COMPUTED_VALUE"""),812.9)</f>
        <v>812.9</v>
      </c>
      <c r="J35" s="6">
        <f>IFERROR(__xludf.DUMMYFUNCTION("""COMPUTED_VALUE"""),-0.007011932587033992)</f>
        <v>-0.007011932587</v>
      </c>
      <c r="K35" s="3" t="str">
        <f>IFERROR(__xludf.DUMMYFUNCTION("""COMPUTED_VALUE"""),"AMC")</f>
        <v>AMC</v>
      </c>
      <c r="L35" s="3" t="str">
        <f>IFERROR(__xludf.DUMMYFUNCTION("""COMPUTED_VALUE"""),"BOM:543238")</f>
        <v>BOM:543238</v>
      </c>
      <c r="M35" s="3" t="str">
        <f>IFERROR(__xludf.DUMMYFUNCTION("""COMPUTED_VALUE"""),"No")</f>
        <v>No</v>
      </c>
      <c r="N35" s="3" t="str">
        <f>IFERROR(__xludf.DUMMYFUNCTION("""COMPUTED_VALUE"""),"No")</f>
        <v>No</v>
      </c>
      <c r="O35" s="3" t="str">
        <f>IFERROR(__xludf.DUMMYFUNCTION("""COMPUTED_VALUE"""),"Good Stock")</f>
        <v>Good Stock</v>
      </c>
      <c r="P35" s="3" t="str">
        <f>IFERROR(__xludf.DUMMYFUNCTION("""COMPUTED_VALUE"""),"Low Cap")</f>
        <v>Low Cap</v>
      </c>
      <c r="Q35" s="3"/>
      <c r="R35" s="3"/>
      <c r="S35" s="3"/>
      <c r="T35" s="3"/>
      <c r="U35" s="3"/>
      <c r="V35" s="3"/>
      <c r="W35" s="3"/>
    </row>
    <row r="36">
      <c r="A36" s="3" t="str">
        <f>IFERROR(__xludf.DUMMYFUNCTION("""COMPUTED_VALUE"""),"HFCL")</f>
        <v>HFCL</v>
      </c>
      <c r="B36" s="4">
        <f>IFERROR(__xludf.DUMMYFUNCTION("""COMPUTED_VALUE"""),10126.79307)</f>
        <v>10126.79307</v>
      </c>
      <c r="C36" s="3">
        <f>IFERROR(__xludf.DUMMYFUNCTION("""COMPUTED_VALUE"""),73.6)</f>
        <v>73.6</v>
      </c>
      <c r="D36" s="3">
        <f>IFERROR(__xludf.DUMMYFUNCTION("""COMPUTED_VALUE"""),36.15)</f>
        <v>36.15</v>
      </c>
      <c r="E36" s="3">
        <f>IFERROR(__xludf.DUMMYFUNCTION("""COMPUTED_VALUE"""),101.35)</f>
        <v>101.35</v>
      </c>
      <c r="F36" s="5">
        <f>IFERROR(__xludf.DUMMYFUNCTION("""COMPUTED_VALUE"""),0.2738036507153429)</f>
        <v>0.2738036507</v>
      </c>
      <c r="G36" s="3">
        <f>IFERROR(__xludf.DUMMYFUNCTION("""COMPUTED_VALUE"""),51.55)</f>
        <v>51.55</v>
      </c>
      <c r="H36" s="5">
        <f>IFERROR(__xludf.DUMMYFUNCTION("""COMPUTED_VALUE"""),0.42774005819592625)</f>
        <v>0.4277400582</v>
      </c>
      <c r="I36" s="3">
        <f>IFERROR(__xludf.DUMMYFUNCTION("""COMPUTED_VALUE"""),72.4)</f>
        <v>72.4</v>
      </c>
      <c r="J36" s="6">
        <f>IFERROR(__xludf.DUMMYFUNCTION("""COMPUTED_VALUE"""),0.01657458563535896)</f>
        <v>0.01657458564</v>
      </c>
      <c r="K36" s="3" t="str">
        <f>IFERROR(__xludf.DUMMYFUNCTION("""COMPUTED_VALUE"""),"Telecom")</f>
        <v>Telecom</v>
      </c>
      <c r="L36" s="3" t="str">
        <f>IFERROR(__xludf.DUMMYFUNCTION("""COMPUTED_VALUE"""),"BOM:500183")</f>
        <v>BOM:500183</v>
      </c>
      <c r="M36" s="3" t="str">
        <f>IFERROR(__xludf.DUMMYFUNCTION("""COMPUTED_VALUE"""),"No")</f>
        <v>No</v>
      </c>
      <c r="N36" s="3" t="str">
        <f>IFERROR(__xludf.DUMMYFUNCTION("""COMPUTED_VALUE"""),"No")</f>
        <v>No</v>
      </c>
      <c r="O36" s="3" t="str">
        <f>IFERROR(__xludf.DUMMYFUNCTION("""COMPUTED_VALUE"""),"Good Stock")</f>
        <v>Good Stock</v>
      </c>
      <c r="P36" s="3" t="str">
        <f>IFERROR(__xludf.DUMMYFUNCTION("""COMPUTED_VALUE"""),"Low Cap")</f>
        <v>Low Cap</v>
      </c>
      <c r="Q36" s="3"/>
      <c r="R36" s="3"/>
      <c r="S36" s="3"/>
      <c r="T36" s="3"/>
      <c r="U36" s="3"/>
      <c r="V36" s="3"/>
      <c r="W36" s="3"/>
    </row>
    <row r="37">
      <c r="A37" s="3" t="str">
        <f>IFERROR(__xludf.DUMMYFUNCTION("""COMPUTED_VALUE"""),"Amara Raja Batter")</f>
        <v>Amara Raja Batter</v>
      </c>
      <c r="B37" s="4">
        <f>IFERROR(__xludf.DUMMYFUNCTION("""COMPUTED_VALUE"""),9847.33486)</f>
        <v>9847.33486</v>
      </c>
      <c r="C37" s="3">
        <f>IFERROR(__xludf.DUMMYFUNCTION("""COMPUTED_VALUE"""),576.5)</f>
        <v>576.5</v>
      </c>
      <c r="D37" s="3">
        <f>IFERROR(__xludf.DUMMYFUNCTION("""COMPUTED_VALUE"""),17.05)</f>
        <v>17.05</v>
      </c>
      <c r="E37" s="3">
        <f>IFERROR(__xludf.DUMMYFUNCTION("""COMPUTED_VALUE"""),668.15)</f>
        <v>668.15</v>
      </c>
      <c r="F37" s="5">
        <f>IFERROR(__xludf.DUMMYFUNCTION("""COMPUTED_VALUE"""),0.13716979720122724)</f>
        <v>0.1371697972</v>
      </c>
      <c r="G37" s="3">
        <f>IFERROR(__xludf.DUMMYFUNCTION("""COMPUTED_VALUE"""),438.05)</f>
        <v>438.05</v>
      </c>
      <c r="H37" s="5">
        <f>IFERROR(__xludf.DUMMYFUNCTION("""COMPUTED_VALUE"""),0.31605981052391274)</f>
        <v>0.3160598105</v>
      </c>
      <c r="I37" s="3">
        <f>IFERROR(__xludf.DUMMYFUNCTION("""COMPUTED_VALUE"""),590.95)</f>
        <v>590.95</v>
      </c>
      <c r="J37" s="6">
        <f>IFERROR(__xludf.DUMMYFUNCTION("""COMPUTED_VALUE"""),-0.02445215331246306)</f>
        <v>-0.02445215331</v>
      </c>
      <c r="K37" s="3" t="str">
        <f>IFERROR(__xludf.DUMMYFUNCTION("""COMPUTED_VALUE"""),"Automobile Ancilliary")</f>
        <v>Automobile Ancilliary</v>
      </c>
      <c r="L37" s="3" t="str">
        <f>IFERROR(__xludf.DUMMYFUNCTION("""COMPUTED_VALUE"""),"AMARAJABAT")</f>
        <v>AMARAJABAT</v>
      </c>
      <c r="M37" s="3" t="str">
        <f>IFERROR(__xludf.DUMMYFUNCTION("""COMPUTED_VALUE"""),"No")</f>
        <v>No</v>
      </c>
      <c r="N37" s="3" t="str">
        <f>IFERROR(__xludf.DUMMYFUNCTION("""COMPUTED_VALUE"""),"No")</f>
        <v>No</v>
      </c>
      <c r="O37" s="3" t="str">
        <f>IFERROR(__xludf.DUMMYFUNCTION("""COMPUTED_VALUE"""),"Good Stock")</f>
        <v>Good Stock</v>
      </c>
      <c r="P37" s="3" t="str">
        <f>IFERROR(__xludf.DUMMYFUNCTION("""COMPUTED_VALUE"""),"Low Cap")</f>
        <v>Low Cap</v>
      </c>
      <c r="Q37" s="3"/>
      <c r="R37" s="3"/>
      <c r="S37" s="3"/>
      <c r="T37" s="3"/>
      <c r="U37" s="3"/>
      <c r="V37" s="3"/>
      <c r="W37" s="3"/>
    </row>
    <row r="38">
      <c r="A38" s="3" t="str">
        <f>IFERROR(__xludf.DUMMYFUNCTION("""COMPUTED_VALUE"""),"Poly Medicure Ltd")</f>
        <v>Poly Medicure Ltd</v>
      </c>
      <c r="B38" s="4">
        <f>IFERROR(__xludf.DUMMYFUNCTION("""COMPUTED_VALUE"""),8584.669055)</f>
        <v>8584.669055</v>
      </c>
      <c r="C38" s="3">
        <f>IFERROR(__xludf.DUMMYFUNCTION("""COMPUTED_VALUE"""),891.5)</f>
        <v>891.5</v>
      </c>
      <c r="D38" s="3">
        <f>IFERROR(__xludf.DUMMYFUNCTION("""COMPUTED_VALUE"""),61.12)</f>
        <v>61.12</v>
      </c>
      <c r="E38" s="3">
        <f>IFERROR(__xludf.DUMMYFUNCTION("""COMPUTED_VALUE"""),1044.4)</f>
        <v>1044.4</v>
      </c>
      <c r="F38" s="5">
        <f>IFERROR(__xludf.DUMMYFUNCTION("""COMPUTED_VALUE"""),0.14639984680199164)</f>
        <v>0.1463998468</v>
      </c>
      <c r="G38" s="3">
        <f>IFERROR(__xludf.DUMMYFUNCTION("""COMPUTED_VALUE"""),652.3)</f>
        <v>652.3</v>
      </c>
      <c r="H38" s="5">
        <f>IFERROR(__xludf.DUMMYFUNCTION("""COMPUTED_VALUE"""),0.36670243752874454)</f>
        <v>0.3667024375</v>
      </c>
      <c r="I38" s="3">
        <f>IFERROR(__xludf.DUMMYFUNCTION("""COMPUTED_VALUE"""),897.9)</f>
        <v>897.9</v>
      </c>
      <c r="J38" s="6">
        <f>IFERROR(__xludf.DUMMYFUNCTION("""COMPUTED_VALUE"""),-0.00712774251030179)</f>
        <v>-0.00712774251</v>
      </c>
      <c r="K38" s="3" t="str">
        <f>IFERROR(__xludf.DUMMYFUNCTION("""COMPUTED_VALUE"""),"Healthcare")</f>
        <v>Healthcare</v>
      </c>
      <c r="L38" s="3" t="str">
        <f>IFERROR(__xludf.DUMMYFUNCTION("""COMPUTED_VALUE"""),"BOM:531768")</f>
        <v>BOM:531768</v>
      </c>
      <c r="M38" s="3" t="str">
        <f>IFERROR(__xludf.DUMMYFUNCTION("""COMPUTED_VALUE"""),"No")</f>
        <v>No</v>
      </c>
      <c r="N38" s="3" t="str">
        <f>IFERROR(__xludf.DUMMYFUNCTION("""COMPUTED_VALUE"""),"No")</f>
        <v>No</v>
      </c>
      <c r="O38" s="3" t="str">
        <f>IFERROR(__xludf.DUMMYFUNCTION("""COMPUTED_VALUE"""),"Good Stock")</f>
        <v>Good Stock</v>
      </c>
      <c r="P38" s="3" t="str">
        <f>IFERROR(__xludf.DUMMYFUNCTION("""COMPUTED_VALUE"""),"Low Cap")</f>
        <v>Low Cap</v>
      </c>
      <c r="Q38" s="3"/>
      <c r="R38" s="3"/>
      <c r="S38" s="3"/>
      <c r="T38" s="3"/>
      <c r="U38" s="3"/>
      <c r="V38" s="3"/>
      <c r="W38" s="3"/>
    </row>
    <row r="39">
      <c r="A39" s="3" t="str">
        <f>IFERROR(__xludf.DUMMYFUNCTION("""COMPUTED_VALUE"""),"Finolex Cable")</f>
        <v>Finolex Cable</v>
      </c>
      <c r="B39" s="4">
        <f>IFERROR(__xludf.DUMMYFUNCTION("""COMPUTED_VALUE"""),8463.6612353)</f>
        <v>8463.661235</v>
      </c>
      <c r="C39" s="3">
        <f>IFERROR(__xludf.DUMMYFUNCTION("""COMPUTED_VALUE"""),553.4)</f>
        <v>553.4</v>
      </c>
      <c r="D39" s="3">
        <f>IFERROR(__xludf.DUMMYFUNCTION("""COMPUTED_VALUE"""),15.6)</f>
        <v>15.6</v>
      </c>
      <c r="E39" s="3">
        <f>IFERROR(__xludf.DUMMYFUNCTION("""COMPUTED_VALUE"""),593.9)</f>
        <v>593.9</v>
      </c>
      <c r="F39" s="5">
        <f>IFERROR(__xludf.DUMMYFUNCTION("""COMPUTED_VALUE"""),0.06819329853510692)</f>
        <v>0.06819329854</v>
      </c>
      <c r="G39" s="3">
        <f>IFERROR(__xludf.DUMMYFUNCTION("""COMPUTED_VALUE"""),343.5)</f>
        <v>343.5</v>
      </c>
      <c r="H39" s="5">
        <f>IFERROR(__xludf.DUMMYFUNCTION("""COMPUTED_VALUE"""),0.6110625909752546)</f>
        <v>0.611062591</v>
      </c>
      <c r="I39" s="3">
        <f>IFERROR(__xludf.DUMMYFUNCTION("""COMPUTED_VALUE"""),539.85)</f>
        <v>539.85</v>
      </c>
      <c r="J39" s="6">
        <f>IFERROR(__xludf.DUMMYFUNCTION("""COMPUTED_VALUE"""),0.02509956469389637)</f>
        <v>0.02509956469</v>
      </c>
      <c r="K39" s="3" t="str">
        <f>IFERROR(__xludf.DUMMYFUNCTION("""COMPUTED_VALUE"""),"Consumer Electrical")</f>
        <v>Consumer Electrical</v>
      </c>
      <c r="L39" s="3" t="str">
        <f>IFERROR(__xludf.DUMMYFUNCTION("""COMPUTED_VALUE"""),"FINCABLES")</f>
        <v>FINCABLES</v>
      </c>
      <c r="M39" s="3" t="str">
        <f>IFERROR(__xludf.DUMMYFUNCTION("""COMPUTED_VALUE"""),"No")</f>
        <v>No</v>
      </c>
      <c r="N39" s="3" t="str">
        <f>IFERROR(__xludf.DUMMYFUNCTION("""COMPUTED_VALUE"""),"No")</f>
        <v>No</v>
      </c>
      <c r="O39" s="3" t="str">
        <f>IFERROR(__xludf.DUMMYFUNCTION("""COMPUTED_VALUE"""),"Good Stock")</f>
        <v>Good Stock</v>
      </c>
      <c r="P39" s="3" t="str">
        <f>IFERROR(__xludf.DUMMYFUNCTION("""COMPUTED_VALUE"""),"Low Cap")</f>
        <v>Low Cap</v>
      </c>
      <c r="Q39" s="3"/>
      <c r="R39" s="3"/>
      <c r="S39" s="3"/>
      <c r="T39" s="3"/>
      <c r="U39" s="3"/>
      <c r="V39" s="3"/>
      <c r="W39" s="3"/>
    </row>
    <row r="40">
      <c r="A40" s="3" t="str">
        <f>IFERROR(__xludf.DUMMYFUNCTION("""COMPUTED_VALUE"""),"Granules India")</f>
        <v>Granules India</v>
      </c>
      <c r="B40" s="4">
        <f>IFERROR(__xludf.DUMMYFUNCTION("""COMPUTED_VALUE"""),7705.431)</f>
        <v>7705.431</v>
      </c>
      <c r="C40" s="3">
        <f>IFERROR(__xludf.DUMMYFUNCTION("""COMPUTED_VALUE"""),318.6)</f>
        <v>318.6</v>
      </c>
      <c r="D40" s="3">
        <f>IFERROR(__xludf.DUMMYFUNCTION("""COMPUTED_VALUE"""),16.36)</f>
        <v>16.36</v>
      </c>
      <c r="E40" s="3">
        <f>IFERROR(__xludf.DUMMYFUNCTION("""COMPUTED_VALUE"""),381.25)</f>
        <v>381.25</v>
      </c>
      <c r="F40" s="5">
        <f>IFERROR(__xludf.DUMMYFUNCTION("""COMPUTED_VALUE"""),0.16432786885245895)</f>
        <v>0.1643278689</v>
      </c>
      <c r="G40" s="3">
        <f>IFERROR(__xludf.DUMMYFUNCTION("""COMPUTED_VALUE"""),227.0)</f>
        <v>227</v>
      </c>
      <c r="H40" s="5">
        <f>IFERROR(__xludf.DUMMYFUNCTION("""COMPUTED_VALUE"""),0.40352422907489)</f>
        <v>0.4035242291</v>
      </c>
      <c r="I40" s="3">
        <f>IFERROR(__xludf.DUMMYFUNCTION("""COMPUTED_VALUE"""),318.15)</f>
        <v>318.15</v>
      </c>
      <c r="J40" s="6">
        <f>IFERROR(__xludf.DUMMYFUNCTION("""COMPUTED_VALUE"""),0.0014144271570015574)</f>
        <v>0.001414427157</v>
      </c>
      <c r="K40" s="3" t="str">
        <f>IFERROR(__xludf.DUMMYFUNCTION("""COMPUTED_VALUE"""),"Pharma")</f>
        <v>Pharma</v>
      </c>
      <c r="L40" s="3" t="str">
        <f>IFERROR(__xludf.DUMMYFUNCTION("""COMPUTED_VALUE"""),"BOM:532482")</f>
        <v>BOM:532482</v>
      </c>
      <c r="M40" s="3" t="str">
        <f>IFERROR(__xludf.DUMMYFUNCTION("""COMPUTED_VALUE"""),"No")</f>
        <v>No</v>
      </c>
      <c r="N40" s="3" t="str">
        <f>IFERROR(__xludf.DUMMYFUNCTION("""COMPUTED_VALUE"""),"No")</f>
        <v>No</v>
      </c>
      <c r="O40" s="3" t="str">
        <f>IFERROR(__xludf.DUMMYFUNCTION("""COMPUTED_VALUE"""),"Good Stock")</f>
        <v>Good Stock</v>
      </c>
      <c r="P40" s="3" t="str">
        <f>IFERROR(__xludf.DUMMYFUNCTION("""COMPUTED_VALUE"""),"Low Cap")</f>
        <v>Low Cap</v>
      </c>
      <c r="Q40" s="3"/>
      <c r="R40" s="3"/>
      <c r="S40" s="3"/>
      <c r="T40" s="3"/>
      <c r="U40" s="3"/>
      <c r="V40" s="3"/>
      <c r="W40" s="3"/>
    </row>
    <row r="41">
      <c r="A41" s="3" t="str">
        <f>IFERROR(__xludf.DUMMYFUNCTION("""COMPUTED_VALUE"""),"ICICI Bank")</f>
        <v>ICICI Bank</v>
      </c>
      <c r="B41" s="4">
        <f>IFERROR(__xludf.DUMMYFUNCTION("""COMPUTED_VALUE"""),7451.4657292)</f>
        <v>7451.465729</v>
      </c>
      <c r="C41" s="3">
        <f>IFERROR(__xludf.DUMMYFUNCTION("""COMPUTED_VALUE"""),873.25)</f>
        <v>873.25</v>
      </c>
      <c r="D41" s="3">
        <f>IFERROR(__xludf.DUMMYFUNCTION("""COMPUTED_VALUE"""),20.88)</f>
        <v>20.88</v>
      </c>
      <c r="E41" s="3">
        <f>IFERROR(__xludf.DUMMYFUNCTION("""COMPUTED_VALUE"""),958.0)</f>
        <v>958</v>
      </c>
      <c r="F41" s="5">
        <f>IFERROR(__xludf.DUMMYFUNCTION("""COMPUTED_VALUE"""),0.08846555323590814)</f>
        <v>0.08846555324</v>
      </c>
      <c r="G41" s="3">
        <f>IFERROR(__xludf.DUMMYFUNCTION("""COMPUTED_VALUE"""),642.0)</f>
        <v>642</v>
      </c>
      <c r="H41" s="5">
        <f>IFERROR(__xludf.DUMMYFUNCTION("""COMPUTED_VALUE"""),0.36020249221183803)</f>
        <v>0.3602024922</v>
      </c>
      <c r="I41" s="3">
        <f>IFERROR(__xludf.DUMMYFUNCTION("""COMPUTED_VALUE"""),861.2)</f>
        <v>861.2</v>
      </c>
      <c r="J41" s="6">
        <f>IFERROR(__xludf.DUMMYFUNCTION("""COMPUTED_VALUE"""),0.013992104040873147)</f>
        <v>0.01399210404</v>
      </c>
      <c r="K41" s="3" t="str">
        <f>IFERROR(__xludf.DUMMYFUNCTION("""COMPUTED_VALUE"""),"Bank")</f>
        <v>Bank</v>
      </c>
      <c r="L41" s="3" t="str">
        <f>IFERROR(__xludf.DUMMYFUNCTION("""COMPUTED_VALUE"""),"BOM:532174")</f>
        <v>BOM:532174</v>
      </c>
      <c r="M41" s="3" t="str">
        <f>IFERROR(__xludf.DUMMYFUNCTION("""COMPUTED_VALUE"""),"No")</f>
        <v>No</v>
      </c>
      <c r="N41" s="3" t="str">
        <f>IFERROR(__xludf.DUMMYFUNCTION("""COMPUTED_VALUE"""),"No")</f>
        <v>No</v>
      </c>
      <c r="O41" s="3" t="str">
        <f>IFERROR(__xludf.DUMMYFUNCTION("""COMPUTED_VALUE"""),"Good Stock")</f>
        <v>Good Stock</v>
      </c>
      <c r="P41" s="3" t="str">
        <f>IFERROR(__xludf.DUMMYFUNCTION("""COMPUTED_VALUE"""),"Low Cap")</f>
        <v>Low Cap</v>
      </c>
      <c r="Q41" s="3"/>
      <c r="R41" s="3"/>
      <c r="S41" s="3"/>
      <c r="T41" s="3"/>
      <c r="U41" s="3"/>
      <c r="V41" s="3"/>
      <c r="W41" s="3"/>
    </row>
    <row r="42">
      <c r="A42" s="3" t="str">
        <f>IFERROR(__xludf.DUMMYFUNCTION("""COMPUTED_VALUE"""),"craftsman automation")</f>
        <v>craftsman automation</v>
      </c>
      <c r="B42" s="4">
        <f>IFERROR(__xludf.DUMMYFUNCTION("""COMPUTED_VALUE"""),7324.341471)</f>
        <v>7324.341471</v>
      </c>
      <c r="C42" s="3">
        <f>IFERROR(__xludf.DUMMYFUNCTION("""COMPUTED_VALUE"""),3465.1)</f>
        <v>3465.1</v>
      </c>
      <c r="D42" s="3">
        <f>IFERROR(__xludf.DUMMYFUNCTION("""COMPUTED_VALUE"""),35.75)</f>
        <v>35.75</v>
      </c>
      <c r="E42" s="3">
        <f>IFERROR(__xludf.DUMMYFUNCTION("""COMPUTED_VALUE"""),3709.95)</f>
        <v>3709.95</v>
      </c>
      <c r="F42" s="5">
        <f>IFERROR(__xludf.DUMMYFUNCTION("""COMPUTED_VALUE"""),0.06599819404574184)</f>
        <v>0.06599819405</v>
      </c>
      <c r="G42" s="3">
        <f>IFERROR(__xludf.DUMMYFUNCTION("""COMPUTED_VALUE"""),1845.0)</f>
        <v>1845</v>
      </c>
      <c r="H42" s="5">
        <f>IFERROR(__xludf.DUMMYFUNCTION("""COMPUTED_VALUE"""),0.8781029810298102)</f>
        <v>0.878102981</v>
      </c>
      <c r="I42" s="3">
        <f>IFERROR(__xludf.DUMMYFUNCTION("""COMPUTED_VALUE"""),3461.8)</f>
        <v>3461.8</v>
      </c>
      <c r="J42" s="6">
        <f>IFERROR(__xludf.DUMMYFUNCTION("""COMPUTED_VALUE"""),9.532613091454524E-4)</f>
        <v>0.0009532613091</v>
      </c>
      <c r="K42" s="3" t="str">
        <f>IFERROR(__xludf.DUMMYFUNCTION("""COMPUTED_VALUE"""),"automobile")</f>
        <v>automobile</v>
      </c>
      <c r="L42" s="3" t="str">
        <f>IFERROR(__xludf.DUMMYFUNCTION("""COMPUTED_VALUE"""),"BOM:543276")</f>
        <v>BOM:543276</v>
      </c>
      <c r="M42" s="3" t="str">
        <f>IFERROR(__xludf.DUMMYFUNCTION("""COMPUTED_VALUE"""),"No")</f>
        <v>No</v>
      </c>
      <c r="N42" s="3" t="str">
        <f>IFERROR(__xludf.DUMMYFUNCTION("""COMPUTED_VALUE"""),"No")</f>
        <v>No</v>
      </c>
      <c r="O42" s="3" t="str">
        <f>IFERROR(__xludf.DUMMYFUNCTION("""COMPUTED_VALUE"""),"Good Stock")</f>
        <v>Good Stock</v>
      </c>
      <c r="P42" s="3" t="str">
        <f>IFERROR(__xludf.DUMMYFUNCTION("""COMPUTED_VALUE"""),"Low Cap")</f>
        <v>Low Cap</v>
      </c>
      <c r="Q42" s="3"/>
      <c r="R42" s="3"/>
      <c r="S42" s="3"/>
      <c r="T42" s="3"/>
      <c r="U42" s="3"/>
      <c r="V42" s="3"/>
      <c r="W42" s="3"/>
    </row>
    <row r="43">
      <c r="A43" s="3" t="str">
        <f>IFERROR(__xludf.DUMMYFUNCTION("""COMPUTED_VALUE"""),"Cera Sanitaryware")</f>
        <v>Cera Sanitaryware</v>
      </c>
      <c r="B43" s="4">
        <f>IFERROR(__xludf.DUMMYFUNCTION("""COMPUTED_VALUE"""),6919.97)</f>
        <v>6919.97</v>
      </c>
      <c r="C43" s="3">
        <f>IFERROR(__xludf.DUMMYFUNCTION("""COMPUTED_VALUE"""),5294.0)</f>
        <v>5294</v>
      </c>
      <c r="D43" s="3">
        <f>IFERROR(__xludf.DUMMYFUNCTION("""COMPUTED_VALUE"""),37.0)</f>
        <v>37</v>
      </c>
      <c r="E43" s="3">
        <f>IFERROR(__xludf.DUMMYFUNCTION("""COMPUTED_VALUE"""),6067.95)</f>
        <v>6067.95</v>
      </c>
      <c r="F43" s="5">
        <f>IFERROR(__xludf.DUMMYFUNCTION("""COMPUTED_VALUE"""),0.1275471946868382)</f>
        <v>0.1275471947</v>
      </c>
      <c r="G43" s="3">
        <f>IFERROR(__xludf.DUMMYFUNCTION("""COMPUTED_VALUE"""),3518.6)</f>
        <v>3518.6</v>
      </c>
      <c r="H43" s="5">
        <f>IFERROR(__xludf.DUMMYFUNCTION("""COMPUTED_VALUE"""),0.5045756835104872)</f>
        <v>0.5045756835</v>
      </c>
      <c r="I43" s="3">
        <f>IFERROR(__xludf.DUMMYFUNCTION("""COMPUTED_VALUE"""),5320.0)</f>
        <v>5320</v>
      </c>
      <c r="J43" s="6">
        <f>IFERROR(__xludf.DUMMYFUNCTION("""COMPUTED_VALUE"""),-0.004887218045112782)</f>
        <v>-0.004887218045</v>
      </c>
      <c r="K43" s="3" t="str">
        <f>IFERROR(__xludf.DUMMYFUNCTION("""COMPUTED_VALUE"""),"Ceramics")</f>
        <v>Ceramics</v>
      </c>
      <c r="L43" s="3" t="str">
        <f>IFERROR(__xludf.DUMMYFUNCTION("""COMPUTED_VALUE"""),"BOM:532443")</f>
        <v>BOM:532443</v>
      </c>
      <c r="M43" s="3" t="str">
        <f>IFERROR(__xludf.DUMMYFUNCTION("""COMPUTED_VALUE"""),"No")</f>
        <v>No</v>
      </c>
      <c r="N43" s="3" t="str">
        <f>IFERROR(__xludf.DUMMYFUNCTION("""COMPUTED_VALUE"""),"No")</f>
        <v>No</v>
      </c>
      <c r="O43" s="3" t="str">
        <f>IFERROR(__xludf.DUMMYFUNCTION("""COMPUTED_VALUE"""),"Good Stock")</f>
        <v>Good Stock</v>
      </c>
      <c r="P43" s="3" t="str">
        <f>IFERROR(__xludf.DUMMYFUNCTION("""COMPUTED_VALUE"""),"Low Cap")</f>
        <v>Low Cap</v>
      </c>
      <c r="Q43" s="3"/>
      <c r="R43" s="3"/>
      <c r="S43" s="3"/>
      <c r="T43" s="3"/>
      <c r="U43" s="3"/>
      <c r="V43" s="3"/>
      <c r="W43" s="3"/>
    </row>
    <row r="44">
      <c r="A44" s="3" t="str">
        <f>IFERROR(__xludf.DUMMYFUNCTION("""COMPUTED_VALUE"""),"Data Pattern")</f>
        <v>Data Pattern</v>
      </c>
      <c r="B44" s="4">
        <f>IFERROR(__xludf.DUMMYFUNCTION("""COMPUTED_VALUE"""),6367.8328518)</f>
        <v>6367.832852</v>
      </c>
      <c r="C44" s="3">
        <f>IFERROR(__xludf.DUMMYFUNCTION("""COMPUTED_VALUE"""),1227.1)</f>
        <v>1227.1</v>
      </c>
      <c r="D44" s="3">
        <f>IFERROR(__xludf.DUMMYFUNCTION("""COMPUTED_VALUE"""),59.65)</f>
        <v>59.65</v>
      </c>
      <c r="E44" s="3">
        <f>IFERROR(__xludf.DUMMYFUNCTION("""COMPUTED_VALUE"""),1480.0)</f>
        <v>1480</v>
      </c>
      <c r="F44" s="5">
        <f>IFERROR(__xludf.DUMMYFUNCTION("""COMPUTED_VALUE"""),0.17087837837837844)</f>
        <v>0.1708783784</v>
      </c>
      <c r="G44" s="3">
        <f>IFERROR(__xludf.DUMMYFUNCTION("""COMPUTED_VALUE"""),575.0)</f>
        <v>575</v>
      </c>
      <c r="H44" s="5">
        <f>IFERROR(__xludf.DUMMYFUNCTION("""COMPUTED_VALUE"""),1.134086956521739)</f>
        <v>1.134086957</v>
      </c>
      <c r="I44" s="3">
        <f>IFERROR(__xludf.DUMMYFUNCTION("""COMPUTED_VALUE"""),1161.25)</f>
        <v>1161.25</v>
      </c>
      <c r="J44" s="6">
        <f>IFERROR(__xludf.DUMMYFUNCTION("""COMPUTED_VALUE"""),0.05670613562970929)</f>
        <v>0.05670613563</v>
      </c>
      <c r="K44" s="3" t="str">
        <f>IFERROR(__xludf.DUMMYFUNCTION("""COMPUTED_VALUE"""),"Technology")</f>
        <v>Technology</v>
      </c>
      <c r="L44" s="3" t="str">
        <f>IFERROR(__xludf.DUMMYFUNCTION("""COMPUTED_VALUE"""),"BOM:543428")</f>
        <v>BOM:543428</v>
      </c>
      <c r="M44" s="3" t="str">
        <f>IFERROR(__xludf.DUMMYFUNCTION("""COMPUTED_VALUE"""),"No")</f>
        <v>No</v>
      </c>
      <c r="N44" s="3" t="str">
        <f>IFERROR(__xludf.DUMMYFUNCTION("""COMPUTED_VALUE"""),"No")</f>
        <v>No</v>
      </c>
      <c r="O44" s="3" t="str">
        <f>IFERROR(__xludf.DUMMYFUNCTION("""COMPUTED_VALUE"""),"Good Stock")</f>
        <v>Good Stock</v>
      </c>
      <c r="P44" s="3" t="str">
        <f>IFERROR(__xludf.DUMMYFUNCTION("""COMPUTED_VALUE"""),"Low Cap")</f>
        <v>Low Cap</v>
      </c>
      <c r="Q44" s="3"/>
      <c r="R44" s="3"/>
      <c r="S44" s="3"/>
      <c r="T44" s="3"/>
      <c r="U44" s="3"/>
      <c r="V44" s="3"/>
      <c r="W44" s="3"/>
    </row>
    <row r="45">
      <c r="A45" s="3" t="str">
        <f>IFERROR(__xludf.DUMMYFUNCTION("""COMPUTED_VALUE"""),"Somany home innovation ltd")</f>
        <v>Somany home innovation ltd</v>
      </c>
      <c r="B45" s="4">
        <f>IFERROR(__xludf.DUMMYFUNCTION("""COMPUTED_VALUE"""),3335.191069)</f>
        <v>3335.191069</v>
      </c>
      <c r="C45" s="3">
        <f>IFERROR(__xludf.DUMMYFUNCTION("""COMPUTED_VALUE"""),462.25)</f>
        <v>462.25</v>
      </c>
      <c r="D45" s="3">
        <f>IFERROR(__xludf.DUMMYFUNCTION("""COMPUTED_VALUE"""),33.36)</f>
        <v>33.36</v>
      </c>
      <c r="E45" s="3">
        <f>IFERROR(__xludf.DUMMYFUNCTION("""COMPUTED_VALUE"""),480.4)</f>
        <v>480.4</v>
      </c>
      <c r="F45" s="5">
        <f>IFERROR(__xludf.DUMMYFUNCTION("""COMPUTED_VALUE"""),0.03778101582014983)</f>
        <v>0.03778101582</v>
      </c>
      <c r="G45" s="3">
        <f>IFERROR(__xludf.DUMMYFUNCTION("""COMPUTED_VALUE"""),258.95)</f>
        <v>258.95</v>
      </c>
      <c r="H45" s="5">
        <f>IFERROR(__xludf.DUMMYFUNCTION("""COMPUTED_VALUE"""),0.7850936474222824)</f>
        <v>0.7850936474</v>
      </c>
      <c r="I45" s="3">
        <f>IFERROR(__xludf.DUMMYFUNCTION("""COMPUTED_VALUE"""),473.2)</f>
        <v>473.2</v>
      </c>
      <c r="J45" s="6">
        <f>IFERROR(__xludf.DUMMYFUNCTION("""COMPUTED_VALUE"""),-0.02314032121724427)</f>
        <v>-0.02314032122</v>
      </c>
      <c r="K45" s="3" t="str">
        <f>IFERROR(__xludf.DUMMYFUNCTION("""COMPUTED_VALUE"""),"Kitchen Appliances")</f>
        <v>Kitchen Appliances</v>
      </c>
      <c r="L45" s="3" t="str">
        <f>IFERROR(__xludf.DUMMYFUNCTION("""COMPUTED_VALUE"""),"BOM:542905")</f>
        <v>BOM:542905</v>
      </c>
      <c r="M45" s="3" t="str">
        <f>IFERROR(__xludf.DUMMYFUNCTION("""COMPUTED_VALUE"""),"No")</f>
        <v>No</v>
      </c>
      <c r="N45" s="3" t="str">
        <f>IFERROR(__xludf.DUMMYFUNCTION("""COMPUTED_VALUE"""),"No")</f>
        <v>No</v>
      </c>
      <c r="O45" s="3" t="str">
        <f>IFERROR(__xludf.DUMMYFUNCTION("""COMPUTED_VALUE"""),"Good Stock")</f>
        <v>Good Stock</v>
      </c>
      <c r="P45" s="3" t="str">
        <f>IFERROR(__xludf.DUMMYFUNCTION("""COMPUTED_VALUE"""),"Low Cap")</f>
        <v>Low Cap</v>
      </c>
      <c r="Q45" s="3"/>
      <c r="R45" s="3"/>
      <c r="S45" s="3"/>
      <c r="T45" s="3"/>
      <c r="U45" s="3"/>
      <c r="V45" s="3"/>
      <c r="W45" s="3"/>
    </row>
    <row r="46">
      <c r="A46" s="3" t="str">
        <f>IFERROR(__xludf.DUMMYFUNCTION("""COMPUTED_VALUE"""),"Astec Lifesciences")</f>
        <v>Astec Lifesciences</v>
      </c>
      <c r="B46" s="4">
        <f>IFERROR(__xludf.DUMMYFUNCTION("""COMPUTED_VALUE"""),3279.733)</f>
        <v>3279.733</v>
      </c>
      <c r="C46" s="3">
        <f>IFERROR(__xludf.DUMMYFUNCTION("""COMPUTED_VALUE"""),1669.3)</f>
        <v>1669.3</v>
      </c>
      <c r="D46" s="3">
        <f>IFERROR(__xludf.DUMMYFUNCTION("""COMPUTED_VALUE"""),33.56)</f>
        <v>33.56</v>
      </c>
      <c r="E46" s="3">
        <f>IFERROR(__xludf.DUMMYFUNCTION("""COMPUTED_VALUE"""),2285.65)</f>
        <v>2285.65</v>
      </c>
      <c r="F46" s="5">
        <f>IFERROR(__xludf.DUMMYFUNCTION("""COMPUTED_VALUE"""),0.2696607092074465)</f>
        <v>0.2696607092</v>
      </c>
      <c r="G46" s="3">
        <f>IFERROR(__xludf.DUMMYFUNCTION("""COMPUTED_VALUE"""),1276.15)</f>
        <v>1276.15</v>
      </c>
      <c r="H46" s="5">
        <f>IFERROR(__xludf.DUMMYFUNCTION("""COMPUTED_VALUE"""),0.30807506954511604)</f>
        <v>0.3080750695</v>
      </c>
      <c r="I46" s="3">
        <f>IFERROR(__xludf.DUMMYFUNCTION("""COMPUTED_VALUE"""),1635.25)</f>
        <v>1635.25</v>
      </c>
      <c r="J46" s="6">
        <f>IFERROR(__xludf.DUMMYFUNCTION("""COMPUTED_VALUE"""),0.020822504204250088)</f>
        <v>0.0208225042</v>
      </c>
      <c r="K46" s="3" t="str">
        <f>IFERROR(__xludf.DUMMYFUNCTION("""COMPUTED_VALUE"""),"Pharma")</f>
        <v>Pharma</v>
      </c>
      <c r="L46" s="3" t="str">
        <f>IFERROR(__xludf.DUMMYFUNCTION("""COMPUTED_VALUE"""),"BOM:533138")</f>
        <v>BOM:533138</v>
      </c>
      <c r="M46" s="3" t="str">
        <f>IFERROR(__xludf.DUMMYFUNCTION("""COMPUTED_VALUE"""),"No")</f>
        <v>No</v>
      </c>
      <c r="N46" s="3" t="str">
        <f>IFERROR(__xludf.DUMMYFUNCTION("""COMPUTED_VALUE"""),"No")</f>
        <v>No</v>
      </c>
      <c r="O46" s="3" t="str">
        <f>IFERROR(__xludf.DUMMYFUNCTION("""COMPUTED_VALUE"""),"Good Stock")</f>
        <v>Good Stock</v>
      </c>
      <c r="P46" s="3" t="str">
        <f>IFERROR(__xludf.DUMMYFUNCTION("""COMPUTED_VALUE"""),"Low Cap")</f>
        <v>Low Cap</v>
      </c>
      <c r="Q46" s="3"/>
      <c r="R46" s="3"/>
      <c r="S46" s="3"/>
      <c r="T46" s="3"/>
      <c r="U46" s="3"/>
      <c r="V46" s="3"/>
      <c r="W46" s="3"/>
    </row>
    <row r="47">
      <c r="A47" s="3" t="str">
        <f>IFERROR(__xludf.DUMMYFUNCTION("""COMPUTED_VALUE"""),"Mold tech")</f>
        <v>Mold tech</v>
      </c>
      <c r="B47" s="4">
        <f>IFERROR(__xludf.DUMMYFUNCTION("""COMPUTED_VALUE"""),3279.606)</f>
        <v>3279.606</v>
      </c>
      <c r="C47" s="3">
        <f>IFERROR(__xludf.DUMMYFUNCTION("""COMPUTED_VALUE"""),988.1)</f>
        <v>988.1</v>
      </c>
      <c r="D47" s="3">
        <f>IFERROR(__xludf.DUMMYFUNCTION("""COMPUTED_VALUE"""),41.73)</f>
        <v>41.73</v>
      </c>
      <c r="E47" s="3">
        <f>IFERROR(__xludf.DUMMYFUNCTION("""COMPUTED_VALUE"""),1057.85)</f>
        <v>1057.85</v>
      </c>
      <c r="F47" s="5">
        <f>IFERROR(__xludf.DUMMYFUNCTION("""COMPUTED_VALUE"""),0.06593562414330945)</f>
        <v>0.06593562414</v>
      </c>
      <c r="G47" s="3">
        <f>IFERROR(__xludf.DUMMYFUNCTION("""COMPUTED_VALUE"""),648.05)</f>
        <v>648.05</v>
      </c>
      <c r="H47" s="5">
        <f>IFERROR(__xludf.DUMMYFUNCTION("""COMPUTED_VALUE"""),0.52472803024458)</f>
        <v>0.5247280302</v>
      </c>
      <c r="I47" s="3">
        <f>IFERROR(__xludf.DUMMYFUNCTION("""COMPUTED_VALUE"""),991.35)</f>
        <v>991.35</v>
      </c>
      <c r="J47" s="6">
        <f>IFERROR(__xludf.DUMMYFUNCTION("""COMPUTED_VALUE"""),-0.0032783577949261106)</f>
        <v>-0.003278357795</v>
      </c>
      <c r="K47" s="3"/>
      <c r="L47" s="3" t="str">
        <f>IFERROR(__xludf.DUMMYFUNCTION("""COMPUTED_VALUE"""),"BOM:533080")</f>
        <v>BOM:533080</v>
      </c>
      <c r="M47" s="3" t="str">
        <f>IFERROR(__xludf.DUMMYFUNCTION("""COMPUTED_VALUE"""),"No")</f>
        <v>No</v>
      </c>
      <c r="N47" s="3" t="str">
        <f>IFERROR(__xludf.DUMMYFUNCTION("""COMPUTED_VALUE"""),"No")</f>
        <v>No</v>
      </c>
      <c r="O47" s="3" t="str">
        <f>IFERROR(__xludf.DUMMYFUNCTION("""COMPUTED_VALUE"""),"Good Stock")</f>
        <v>Good Stock</v>
      </c>
      <c r="P47" s="3" t="str">
        <f>IFERROR(__xludf.DUMMYFUNCTION("""COMPUTED_VALUE"""),"Low Cap")</f>
        <v>Low Cap</v>
      </c>
      <c r="Q47" s="3"/>
      <c r="R47" s="3"/>
      <c r="S47" s="3"/>
      <c r="T47" s="3"/>
      <c r="U47" s="3"/>
      <c r="V47" s="3"/>
      <c r="W47" s="3"/>
    </row>
    <row r="48">
      <c r="A48" s="3" t="str">
        <f>IFERROR(__xludf.DUMMYFUNCTION("""COMPUTED_VALUE"""),"Goldiam International")</f>
        <v>Goldiam International</v>
      </c>
      <c r="B48" s="4">
        <f>IFERROR(__xludf.DUMMYFUNCTION("""COMPUTED_VALUE"""),1794.8020805)</f>
        <v>1794.802081</v>
      </c>
      <c r="C48" s="3">
        <f>IFERROR(__xludf.DUMMYFUNCTION("""COMPUTED_VALUE"""),165.55)</f>
        <v>165.55</v>
      </c>
      <c r="D48" s="3">
        <f>IFERROR(__xludf.DUMMYFUNCTION("""COMPUTED_VALUE"""),17.83)</f>
        <v>17.83</v>
      </c>
      <c r="E48" s="3">
        <f>IFERROR(__xludf.DUMMYFUNCTION("""COMPUTED_VALUE"""),209.41)</f>
        <v>209.41</v>
      </c>
      <c r="F48" s="5">
        <f>IFERROR(__xludf.DUMMYFUNCTION("""COMPUTED_VALUE"""),0.2094455852156057)</f>
        <v>0.2094455852</v>
      </c>
      <c r="G48" s="3">
        <f>IFERROR(__xludf.DUMMYFUNCTION("""COMPUTED_VALUE"""),116.75)</f>
        <v>116.75</v>
      </c>
      <c r="H48" s="5">
        <f>IFERROR(__xludf.DUMMYFUNCTION("""COMPUTED_VALUE"""),0.41798715203426134)</f>
        <v>0.417987152</v>
      </c>
      <c r="I48" s="3">
        <f>IFERROR(__xludf.DUMMYFUNCTION("""COMPUTED_VALUE"""),165.4)</f>
        <v>165.4</v>
      </c>
      <c r="J48" s="6">
        <f>IFERROR(__xludf.DUMMYFUNCTION("""COMPUTED_VALUE"""),9.068923821040247E-4)</f>
        <v>0.0009068923821</v>
      </c>
      <c r="K48" s="3" t="str">
        <f>IFERROR(__xludf.DUMMYFUNCTION("""COMPUTED_VALUE"""),"Retail")</f>
        <v>Retail</v>
      </c>
      <c r="L48" s="3" t="str">
        <f>IFERROR(__xludf.DUMMYFUNCTION("""COMPUTED_VALUE"""),"BOM:526729")</f>
        <v>BOM:526729</v>
      </c>
      <c r="M48" s="3" t="str">
        <f>IFERROR(__xludf.DUMMYFUNCTION("""COMPUTED_VALUE"""),"No")</f>
        <v>No</v>
      </c>
      <c r="N48" s="3" t="str">
        <f>IFERROR(__xludf.DUMMYFUNCTION("""COMPUTED_VALUE"""),"No")</f>
        <v>No</v>
      </c>
      <c r="O48" s="3" t="str">
        <f>IFERROR(__xludf.DUMMYFUNCTION("""COMPUTED_VALUE"""),"Good Stock")</f>
        <v>Good Stock</v>
      </c>
      <c r="P48" s="3" t="str">
        <f>IFERROR(__xludf.DUMMYFUNCTION("""COMPUTED_VALUE"""),"Low Cap")</f>
        <v>Low Cap</v>
      </c>
      <c r="Q48" s="3"/>
      <c r="R48" s="3"/>
      <c r="S48" s="3"/>
      <c r="T48" s="3"/>
      <c r="U48" s="3"/>
      <c r="V48" s="3"/>
      <c r="W48" s="3"/>
    </row>
  </sheetData>
  <conditionalFormatting sqref="F17">
    <cfRule type="colorScale" priority="1">
      <colorScale>
        <cfvo type="min"/>
        <cfvo type="max"/>
        <color rgb="FF57BB8A"/>
        <color rgb="FFFFFFFF"/>
      </colorScale>
    </cfRule>
  </conditionalFormatting>
  <conditionalFormatting sqref="J1:J48">
    <cfRule type="colorScale" priority="2">
      <colorScale>
        <cfvo type="min"/>
        <cfvo type="percentile" val="0"/>
        <cfvo type="max"/>
        <color rgb="FFCC4125"/>
        <color rgb="FFFFD966"/>
        <color rgb="FF38761D"/>
      </colorScale>
    </cfRule>
  </conditionalFormatting>
  <drawing r:id="rId1"/>
  <tableParts count="1">
    <tablePart r:id="rId3"/>
  </tableParts>
</worksheet>
</file>