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<sst xmlns="http://schemas.openxmlformats.org/spreadsheetml/2006/main" count="27" uniqueCount="27">
  <si>
    <t>Company</t>
  </si>
  <si>
    <t>Price</t>
  </si>
  <si>
    <t>Market Cap</t>
  </si>
  <si>
    <t>Debt</t>
  </si>
  <si>
    <t>EV</t>
  </si>
  <si>
    <t>Sales</t>
  </si>
  <si>
    <t>EBITDA</t>
  </si>
  <si>
    <t>EBIT</t>
  </si>
  <si>
    <t>Earning</t>
  </si>
  <si>
    <t>EV/Sales</t>
  </si>
  <si>
    <t>EV/EBITDA</t>
  </si>
  <si>
    <t>EV/EBIT</t>
  </si>
  <si>
    <t>P/E</t>
  </si>
  <si>
    <t>GM</t>
  </si>
  <si>
    <t>Ford</t>
  </si>
  <si>
    <t>Toyota</t>
  </si>
  <si>
    <t>Volkswagon</t>
  </si>
  <si>
    <t>Daimler</t>
  </si>
  <si>
    <t>BMW</t>
  </si>
  <si>
    <t>Honda</t>
  </si>
  <si>
    <t>Tesla</t>
  </si>
  <si>
    <t>yahoo.finance income statement for others, balance sheet for debt</t>
  </si>
  <si>
    <t>Final quarter 2022</t>
  </si>
  <si>
    <t>Tesla total debt</t>
  </si>
  <si>
    <t>Downside</t>
  </si>
  <si>
    <t>Strong sell</t>
  </si>
  <si>
    <t>Others net debt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</si>
</sst>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232A31"/>
      <name val="Arial"/>
    </font>
    <font>
      <color rgb="FF232A31"/>
      <name val="&quot;Yahoo Sans Finance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0F3F5"/>
        <bgColor rgb="FFF0F3F5"/>
      </patternFill>
    </fill>
    <fill>
      <patternFill patternType="solid">
        <fgColor rgb="FFE0F0FF"/>
        <bgColor rgb="FFE0F0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3" xfId="0" applyAlignment="1" applyFont="1" applyNumberFormat="1">
      <alignment horizontal="center" readingOrder="0"/>
    </xf>
    <xf borderId="0" fillId="0" fontId="2" numFmtId="3" xfId="0" applyAlignment="1" applyFont="1" applyNumberFormat="1">
      <alignment readingOrder="0"/>
    </xf>
    <xf borderId="0" fillId="2" fontId="3" numFmtId="3" xfId="0" applyAlignment="1" applyFill="1" applyFont="1" applyNumberFormat="1">
      <alignment horizontal="center" readingOrder="0"/>
    </xf>
    <xf borderId="0" fillId="2" fontId="2" numFmtId="3" xfId="0" applyFont="1" applyNumberFormat="1"/>
    <xf borderId="0" fillId="2" fontId="4" numFmtId="3" xfId="0" applyAlignment="1" applyFont="1" applyNumberFormat="1">
      <alignment horizontal="center" readingOrder="0"/>
    </xf>
    <xf borderId="0" fillId="0" fontId="2" numFmtId="3" xfId="0" applyFont="1" applyNumberFormat="1"/>
    <xf borderId="0" fillId="3" fontId="4" numFmtId="3" xfId="0" applyAlignment="1" applyFill="1" applyFont="1" applyNumberFormat="1">
      <alignment horizontal="center" readingOrder="0"/>
    </xf>
    <xf borderId="0" fillId="0" fontId="4" numFmtId="3" xfId="0" applyAlignment="1" applyFont="1" applyNumberFormat="1">
      <alignment horizontal="center" readingOrder="0"/>
    </xf>
    <xf borderId="0" fillId="4" fontId="4" numFmtId="3" xfId="0" applyAlignment="1" applyFill="1" applyFont="1" applyNumberFormat="1">
      <alignment horizontal="center" readingOrder="0"/>
    </xf>
    <xf borderId="0" fillId="3" fontId="3" numFmtId="3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13</v>
      </c>
      <c r="B2" s="4">
        <f>IFERROR(__xludf.DUMMYFUNCTION("GOOGLEFINANCE(""NYSE:GM"", ""price"")"),35.91)</f>
        <v>35.91</v>
      </c>
      <c r="C2" s="4">
        <f>IFERROR(__xludf.DUMMYFUNCTION("GOOGLEFINANCE(""NYSE:GM"", ""marketcap"")"),5.1017193143E10)</f>
        <v>51017193143</v>
      </c>
      <c r="D2" s="3">
        <v>9.1862E10</v>
      </c>
      <c r="E2" s="4">
        <f t="shared" ref="E2:E9" si="1">C2+D2</f>
        <v>142879193143</v>
      </c>
      <c r="F2" s="5">
        <v>1.47211E11</v>
      </c>
      <c r="G2" s="6">
        <v>2.3649E10</v>
      </c>
      <c r="H2" s="6">
        <v>1.2192E10</v>
      </c>
      <c r="I2" s="6">
        <v>8.627E9</v>
      </c>
      <c r="J2" s="4">
        <f t="shared" ref="J2:J9" si="2">E2/F2</f>
        <v>0.9705741632</v>
      </c>
      <c r="K2" s="4">
        <f t="shared" ref="K2:K9" si="3">E2/G2</f>
        <v>6.041658977</v>
      </c>
      <c r="L2" s="4">
        <f t="shared" ref="L2:L9" si="4">E2/H2</f>
        <v>11.71909393</v>
      </c>
      <c r="M2" s="4">
        <f t="shared" ref="M2:M9" si="5">C2/I2</f>
        <v>5.913665601</v>
      </c>
    </row>
    <row r="3">
      <c r="A3" s="3" t="s">
        <v>14</v>
      </c>
      <c r="B3" s="4">
        <f>IFERROR(__xludf.DUMMYFUNCTION("GOOGLEFINANCE(""NYSE:F"", ""price"")"),12.58)</f>
        <v>12.58</v>
      </c>
      <c r="C3" s="4">
        <f>IFERROR(__xludf.DUMMYFUNCTION("GOOGLEFINANCE(""NYSE:F"", ""marketcap"")"),5.0577801633E10)</f>
        <v>50577801633</v>
      </c>
      <c r="D3" s="7">
        <v>1.17552E11</v>
      </c>
      <c r="E3" s="8">
        <f t="shared" si="1"/>
        <v>168129801633</v>
      </c>
      <c r="F3" s="7">
        <v>1.51736E11</v>
      </c>
      <c r="G3" s="7">
        <v>2.0438E10</v>
      </c>
      <c r="H3" s="7">
        <v>1.4129E10</v>
      </c>
      <c r="I3" s="7">
        <v>9.012E9</v>
      </c>
      <c r="J3" s="4">
        <f t="shared" si="2"/>
        <v>1.108041609</v>
      </c>
      <c r="K3" s="4">
        <f t="shared" si="3"/>
        <v>8.226333381</v>
      </c>
      <c r="L3" s="4">
        <f t="shared" si="4"/>
        <v>11.899625</v>
      </c>
      <c r="M3" s="4">
        <f t="shared" si="5"/>
        <v>5.612272707</v>
      </c>
    </row>
    <row r="4">
      <c r="A4" s="3" t="s">
        <v>15</v>
      </c>
      <c r="B4" s="4">
        <f>IFERROR(__xludf.DUMMYFUNCTION("GOOGLEFINANCE(""NYSE:TM"", ""price"")"),138.97)</f>
        <v>138.97</v>
      </c>
      <c r="C4" s="4">
        <f>IFERROR(__xludf.DUMMYFUNCTION("GOOGLEFINANCE(""NYSE:TM"", ""marketcap"")"),2.28020310362E11)</f>
        <v>228020310362</v>
      </c>
      <c r="D4" s="9">
        <f>IFERROR(__xludf.DUMMYFUNCTION("19961774000*GOOGLEFINANCE(""Currency:JPYUSD"")*1000"),1.51128235464668E11)</f>
        <v>151128235465</v>
      </c>
      <c r="E4" s="8">
        <f t="shared" si="1"/>
        <v>379148545827</v>
      </c>
      <c r="F4" s="9">
        <f>IFERROR(__xludf.DUMMYFUNCTION("33607557000*GOOGLEFINANCE(""Currency:JPYUSD"")*1000"),2.54438848355274E11)</f>
        <v>254438848355</v>
      </c>
      <c r="G4" s="9">
        <f>IFERROR(__xludf.DUMMYFUNCTION("5383570000*GOOGLEFINANCE(""Currency:JPYUSD"")*1000"),4.0758373208740005E10)</f>
        <v>40758373209</v>
      </c>
      <c r="H4" s="9">
        <f>IFERROR(__xludf.DUMMYFUNCTION("3416971000*GOOGLEFINANCE(""Currency:JPYUSD"")*1000"),2.5869484238421997E10)</f>
        <v>25869484238</v>
      </c>
      <c r="I4" s="9">
        <f>IFERROR(__xludf.DUMMYFUNCTION("2496710000*GOOGLEFINANCE(""Currency:JPYUSD"")*1000"),1.890229679822E10)</f>
        <v>18902296798</v>
      </c>
      <c r="J4" s="4">
        <f t="shared" si="2"/>
        <v>1.490136228</v>
      </c>
      <c r="K4" s="4">
        <f t="shared" si="3"/>
        <v>9.30234737</v>
      </c>
      <c r="L4" s="4">
        <f t="shared" si="4"/>
        <v>14.65620815</v>
      </c>
      <c r="M4" s="4">
        <f t="shared" si="5"/>
        <v>12.06310073</v>
      </c>
    </row>
    <row r="5">
      <c r="A5" s="3" t="s">
        <v>16</v>
      </c>
      <c r="B5" s="4">
        <f>IFERROR(__xludf.DUMMYFUNCTION("GOOGLEFINANCE(""ETR:VOW3"", ""price"")*GOOGLEFINANCE(""Currency:EURUSD"")"),136.66341599999998)</f>
        <v>136.663416</v>
      </c>
      <c r="C5" s="4">
        <f>IFERROR(__xludf.DUMMYFUNCTION("GOOGLEFINANCE(""ETR:VOW3"", ""marketcap"")*GOOGLEFINANCE(""Currency:EURUSD"")"),7.891464008783519E10)</f>
        <v>78914640088</v>
      </c>
      <c r="D5" s="9">
        <f>IFERROR(__xludf.DUMMYFUNCTION("137401000*GOOGLEFINANCE(""Currency:EURUSD"")*1000"),1.4651755635E11)</f>
        <v>146517556350</v>
      </c>
      <c r="E5" s="10">
        <f t="shared" si="1"/>
        <v>225432196438</v>
      </c>
      <c r="F5" s="11">
        <f>IFERROR(__xludf.DUMMYFUNCTION("266598000*GOOGLEFINANCE(""Currency:EURUSD"")*1000"),2.8428677729999994E11)</f>
        <v>284286777300</v>
      </c>
      <c r="G5" s="11">
        <f>IFERROR(__xludf.DUMMYFUNCTION("55595000*GOOGLEFINANCE(""Currency:EURUSD"")*1000"),5.928372824999999E10)</f>
        <v>59283728250</v>
      </c>
      <c r="H5" s="12">
        <f>IFERROR(__xludf.DUMMYFUNCTION("25243000*GOOGLEFINANCE(""Currency:EURUSD"")*1000"),2.6917873049999996E10)</f>
        <v>26917873050</v>
      </c>
      <c r="I5" s="11">
        <f>IFERROR(__xludf.DUMMYFUNCTION("16796000*GOOGLEFINANCE(""Currency:EURUSD"")*1000"),1.7910414599999996E10)</f>
        <v>17910414600</v>
      </c>
      <c r="J5" s="4">
        <f t="shared" si="2"/>
        <v>0.7929746103</v>
      </c>
      <c r="K5" s="4">
        <f t="shared" si="3"/>
        <v>3.802598168</v>
      </c>
      <c r="L5" s="4">
        <f t="shared" si="4"/>
        <v>8.374814608</v>
      </c>
      <c r="M5" s="4">
        <f t="shared" si="5"/>
        <v>4.406075563</v>
      </c>
    </row>
    <row r="6">
      <c r="A6" s="3" t="s">
        <v>17</v>
      </c>
      <c r="B6" s="4">
        <f>IFERROR(__xludf.DUMMYFUNCTION("GOOGLEFINANCE(""ETR:DAR"", ""price"")*GOOGLEFINANCE(""Currency:EURUSD"")"),11.729849999999999)</f>
        <v>11.72985</v>
      </c>
      <c r="C6" s="4">
        <f>IFERROR(__xludf.DUMMYFUNCTION("GOOGLEFINANCE(""ETR:DTG"", ""marketcap"")*GOOGLEFINANCE(""Currency:EURUSD"")"),2.6585518246333046E10)</f>
        <v>26585518246</v>
      </c>
      <c r="D6" s="7">
        <f>IFERROR(__xludf.DUMMYFUNCTION("6608000*GOOGLEFINANCE(""Currency:EURUSD"")*1000"),7.0464408E9)</f>
        <v>7046440800</v>
      </c>
      <c r="E6" s="10">
        <f t="shared" si="1"/>
        <v>33631959046</v>
      </c>
      <c r="F6" s="12">
        <f>IFERROR(__xludf.DUMMYFUNCTION("47508000*GOOGLEFINANCE(""Currency:EURUSD"")*1000"),5.06601558E10)</f>
        <v>50660155800</v>
      </c>
      <c r="G6" s="12">
        <f>IFERROR(__xludf.DUMMYFUNCTION("4291000*GOOGLEFINANCE(""Currency:EURUSD"")*1000"),4.57570785E9)</f>
        <v>4575707850</v>
      </c>
      <c r="H6" s="11">
        <f>IFERROR(__xludf.DUMMYFUNCTION("3159000*GOOGLEFINANCE(""Currency:EURUSD"")*1000"),3.36859965E9)</f>
        <v>3368599650</v>
      </c>
      <c r="I6" s="12">
        <f>IFERROR(__xludf.DUMMYFUNCTION("2248000*GOOGLEFINANCE(""Currency:EURUSD"")*1000"),2.3971548E9)</f>
        <v>2397154800</v>
      </c>
      <c r="J6" s="4">
        <f t="shared" si="2"/>
        <v>0.6638739758</v>
      </c>
      <c r="K6" s="4">
        <f t="shared" si="3"/>
        <v>7.35011066</v>
      </c>
      <c r="L6" s="4">
        <f t="shared" si="4"/>
        <v>9.983958481</v>
      </c>
      <c r="M6" s="4">
        <f t="shared" si="5"/>
        <v>11.09044699</v>
      </c>
    </row>
    <row r="7">
      <c r="A7" s="3" t="s">
        <v>18</v>
      </c>
      <c r="B7" s="4">
        <f>IFERROR(__xludf.DUMMYFUNCTION("GOOGLEFINANCE(""ETR:BMW"", ""price"")*GOOGLEFINANCE(""Currency:EURUSD"")"),95.4703155)</f>
        <v>95.4703155</v>
      </c>
      <c r="C7" s="4">
        <f>IFERROR(__xludf.DUMMYFUNCTION("GOOGLEFINANCE(""ETR:DAR"", ""marketcap"")*GOOGLEFINANCE(""Currency:EURUSD"")"),4.6919398933649994E7)</f>
        <v>46919398.93</v>
      </c>
      <c r="D7" s="7">
        <f>IFERROR(__xludf.DUMMYFUNCTION("65304000*GOOGLEFINANCE(""Currency:EURUSD"")*1000"),6.963692039999998E10)</f>
        <v>69636920400</v>
      </c>
      <c r="E7" s="10">
        <f t="shared" si="1"/>
        <v>69683839799</v>
      </c>
      <c r="F7" s="11">
        <f>IFERROR(__xludf.DUMMYFUNCTION("131496000*GOOGLEFINANCE(""Currency:EURUSD"")*1000"),1.402207596E11)</f>
        <v>140220759600</v>
      </c>
      <c r="G7" s="12">
        <f>IFERROR(__xludf.DUMMYFUNCTION("21276000*GOOGLEFINANCE(""Currency:EURUSD"")*1000"),2.2687662599999996E10)</f>
        <v>22687662600</v>
      </c>
      <c r="H7" s="12">
        <f>IFERROR(__xludf.DUMMYFUNCTION("13466000*GOOGLEFINANCE(""Currency:EURUSD"")*1000"),1.43594691E10)</f>
        <v>14359469100</v>
      </c>
      <c r="I7" s="13">
        <f>IFERROR(__xludf.DUMMYFUNCTION("18000000*GOOGLEFINANCE(""Currency:EURUSD"")*1000"),1.91943E10)</f>
        <v>19194300000</v>
      </c>
      <c r="J7" s="4">
        <f t="shared" si="2"/>
        <v>0.4969580824</v>
      </c>
      <c r="K7" s="4">
        <f t="shared" si="3"/>
        <v>3.071442</v>
      </c>
      <c r="L7" s="4">
        <f t="shared" si="4"/>
        <v>4.852814496</v>
      </c>
      <c r="M7" s="4">
        <f t="shared" si="5"/>
        <v>0.002444444389</v>
      </c>
    </row>
    <row r="8">
      <c r="A8" s="3" t="s">
        <v>19</v>
      </c>
      <c r="B8" s="4">
        <f>IFERROR(__xludf.DUMMYFUNCTION("GOOGLEFINANCE(""NYSE:HMC"", ""price"")"),23.96)</f>
        <v>23.96</v>
      </c>
      <c r="C8" s="4">
        <f>IFERROR(__xludf.DUMMYFUNCTION("GOOGLEFINANCE(""NYSE:HMC"", ""marketcap"")"),4.3091459353E10)</f>
        <v>43091459353</v>
      </c>
      <c r="D8" s="9">
        <f>IFERROR(__xludf.DUMMYFUNCTION("4427625000*GOOGLEFINANCE(""Currency:JPYUSD"")*1000"),3.352102641525E10)</f>
        <v>33521026415</v>
      </c>
      <c r="E8" s="10">
        <f t="shared" si="1"/>
        <v>76612485768</v>
      </c>
      <c r="F8" s="11">
        <f>IFERROR(__xludf.DUMMYFUNCTION("15649772000*GOOGLEFINANCE(""Currency:JPYUSD"")*1000"),1.18482577138904E11)</f>
        <v>118482577139</v>
      </c>
      <c r="G8" s="12">
        <f>IFERROR(__xludf.DUMMYFUNCTION("1712091000*GOOGLEFINANCE(""Currency:JPYUSD"")*1000"),1.2962038934262E10)</f>
        <v>12962038934</v>
      </c>
      <c r="H8" s="11">
        <f>IFERROR(__xludf.DUMMYFUNCTION("1051714000*GOOGLEFINANCE(""Currency:JPYUSD"")*1000"),7.962402591748E9)</f>
        <v>7962402592</v>
      </c>
      <c r="I8" s="11">
        <f>IFERROR(__xludf.DUMMYFUNCTION("656372000*GOOGLEFINANCE(""Currency:JPYUSD"")*1000"),4.969314960104E9)</f>
        <v>4969314960</v>
      </c>
      <c r="J8" s="4">
        <f t="shared" si="2"/>
        <v>0.6466139378</v>
      </c>
      <c r="K8" s="4">
        <f t="shared" si="3"/>
        <v>5.91052736</v>
      </c>
      <c r="L8" s="4">
        <f t="shared" si="4"/>
        <v>9.62177997</v>
      </c>
      <c r="M8" s="4">
        <f t="shared" si="5"/>
        <v>8.67150899</v>
      </c>
    </row>
    <row r="9">
      <c r="A9" s="3" t="s">
        <v>20</v>
      </c>
      <c r="B9" s="4">
        <f>IFERROR(__xludf.DUMMYFUNCTION("GOOGLEFINANCE(""NASDAQ:TSLA"", ""price"")"),113.06)</f>
        <v>113.06</v>
      </c>
      <c r="C9" s="4">
        <f>IFERROR(__xludf.DUMMYFUNCTION("GOOGLEFINANCE(""NASDAQ:TSLA"", ""marketcap"")"),3.54270110549E11)</f>
        <v>354270110549</v>
      </c>
      <c r="D9" s="7">
        <v>8.873E9</v>
      </c>
      <c r="E9" s="10">
        <f t="shared" si="1"/>
        <v>363143110549</v>
      </c>
      <c r="F9" s="5">
        <v>7.4863E10</v>
      </c>
      <c r="G9" s="14">
        <v>1.6206E10</v>
      </c>
      <c r="H9" s="5">
        <v>1.26E10</v>
      </c>
      <c r="I9" s="5">
        <v>1.1182E10</v>
      </c>
      <c r="J9" s="4">
        <f t="shared" si="2"/>
        <v>4.850768878</v>
      </c>
      <c r="K9" s="4">
        <f t="shared" si="3"/>
        <v>22.40794215</v>
      </c>
      <c r="L9" s="4">
        <f t="shared" si="4"/>
        <v>28.82088179</v>
      </c>
      <c r="M9" s="4">
        <f t="shared" si="5"/>
        <v>31.68217766</v>
      </c>
    </row>
    <row r="10">
      <c r="H10" s="15"/>
      <c r="I10" s="15"/>
      <c r="J10" s="4">
        <f t="shared" ref="J10:M10" si="6">AVERAGE(J2:J9)</f>
        <v>1.377492686</v>
      </c>
      <c r="K10" s="4">
        <f t="shared" si="6"/>
        <v>8.264120009</v>
      </c>
      <c r="L10" s="4">
        <f t="shared" si="6"/>
        <v>12.49114705</v>
      </c>
      <c r="M10" s="4">
        <f t="shared" si="6"/>
        <v>9.930211586</v>
      </c>
    </row>
    <row r="11">
      <c r="J11" s="4">
        <f t="shared" ref="J11:M11" si="7">J9/J10</f>
        <v>3.521448011</v>
      </c>
      <c r="K11" s="4">
        <f t="shared" si="7"/>
        <v>2.71147347</v>
      </c>
      <c r="L11" s="4">
        <f t="shared" si="7"/>
        <v>2.307304659</v>
      </c>
      <c r="M11" s="4">
        <f t="shared" si="7"/>
        <v>3.190483645</v>
      </c>
    </row>
    <row r="12">
      <c r="H12" s="3" t="s">
        <v>21</v>
      </c>
      <c r="J12" s="4">
        <f t="shared" ref="J12:M12" si="8">$B$9/J11</f>
        <v>32.10611079</v>
      </c>
      <c r="K12" s="4">
        <f t="shared" si="8"/>
        <v>41.69688594</v>
      </c>
      <c r="L12" s="4">
        <f t="shared" si="8"/>
        <v>49.0008979</v>
      </c>
      <c r="M12" s="4">
        <f t="shared" si="8"/>
        <v>35.43663362</v>
      </c>
    </row>
    <row r="14">
      <c r="M14" s="4">
        <f>AVERAGE(J12:M12)</f>
        <v>39.56013206</v>
      </c>
      <c r="N14" s="4">
        <f>IFERROR(__xludf.DUMMYFUNCTION("M14*GOOGLEFINANCE(""NASDAQ:TSLA"",""shares"")"),1.2492108614249797E11)</f>
        <v>124921086142</v>
      </c>
    </row>
    <row r="15">
      <c r="A15" s="3" t="s">
        <v>22</v>
      </c>
      <c r="D15" s="3" t="s">
        <v>23</v>
      </c>
      <c r="L15" s="3" t="s">
        <v>24</v>
      </c>
      <c r="M15" s="4">
        <f>M14/B9-1</f>
        <v>-0.6500961254</v>
      </c>
      <c r="N15" s="3" t="s">
        <v>25</v>
      </c>
    </row>
    <row r="16">
      <c r="D16" s="3" t="s">
        <v>26</v>
      </c>
    </row>
  </sheetData>
  <drawing r:id="rId1"/>
</worksheet>
</file>