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1"/>
  <workbookPr/>
  <mc:AlternateContent xmlns:mc="http://schemas.openxmlformats.org/markup-compatibility/2006">
    <mc:Choice Requires="x15">
      <x15ac:absPath xmlns:x15ac="http://schemas.microsoft.com/office/spreadsheetml/2010/11/ac" url="G:\Shared drives\Website Content\Downloads\Excel\"/>
    </mc:Choice>
  </mc:AlternateContent>
  <xr:revisionPtr revIDLastSave="0" documentId="8_{2321659F-5E7B-4A11-A774-FEF9B0F1EE54}" xr6:coauthVersionLast="47" xr6:coauthVersionMax="47" xr10:uidLastSave="{00000000-0000-0000-0000-000000000000}"/>
  <bookViews>
    <workbookView xWindow="57480" yWindow="-120" windowWidth="29040" windowHeight="15840" tabRatio="685" xr2:uid="{00000000-000D-0000-FFFF-FFFF00000000}"/>
  </bookViews>
  <sheets>
    <sheet name="DCF_Model" sheetId="25" r:id="rId1"/>
    <sheet name="WACC_Calc" sheetId="26" r:id="rId2"/>
  </sheets>
  <definedNames>
    <definedName name="_xlchart.v1.0" hidden="1">DCF_Model!$L$15:$L$17</definedName>
    <definedName name="_xlchart.v1.1" hidden="1">DCF_Model!$N$15:$N$17</definedName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8" iterate="1" iterateCount="1000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6" l="1"/>
  <c r="C7" i="26"/>
  <c r="C4" i="26"/>
  <c r="I36" i="25"/>
  <c r="N15" i="25" s="1"/>
  <c r="C14" i="26" l="1"/>
  <c r="C13" i="26"/>
  <c r="C15" i="26" s="1"/>
  <c r="D5" i="25" s="1"/>
  <c r="F18" i="25"/>
  <c r="G18" i="25" s="1"/>
  <c r="G17" i="25" s="1"/>
  <c r="G16" i="25" s="1"/>
  <c r="E17" i="25"/>
  <c r="E16" i="25" s="1"/>
  <c r="F17" i="25" l="1"/>
  <c r="F16" i="25" s="1"/>
  <c r="H18" i="25"/>
  <c r="I18" i="25" s="1"/>
  <c r="I17" i="25" s="1"/>
  <c r="F23" i="25"/>
  <c r="G23" i="25"/>
  <c r="H23" i="25"/>
  <c r="I23" i="25"/>
  <c r="E23" i="25"/>
  <c r="I33" i="25"/>
  <c r="I32" i="25"/>
  <c r="D33" i="25"/>
  <c r="D32" i="25"/>
  <c r="G19" i="25" l="1"/>
  <c r="F19" i="25"/>
  <c r="I16" i="25"/>
  <c r="J17" i="25"/>
  <c r="H17" i="25"/>
  <c r="I19" i="25" s="1"/>
  <c r="I31" i="25"/>
  <c r="D17" i="25"/>
  <c r="E19" i="25" s="1"/>
  <c r="H16" i="25" l="1"/>
  <c r="H19" i="25"/>
  <c r="I34" i="25"/>
  <c r="D26" i="25" s="1"/>
  <c r="D28" i="25" s="1"/>
  <c r="E21" i="25" l="1"/>
  <c r="E25" i="25" l="1"/>
  <c r="E27" i="25" l="1"/>
  <c r="E28" i="25"/>
  <c r="F21" i="25"/>
  <c r="F25" i="25" l="1"/>
  <c r="G21" i="25"/>
  <c r="G25" i="25" s="1"/>
  <c r="G27" i="25" l="1"/>
  <c r="G28" i="25"/>
  <c r="F27" i="25"/>
  <c r="F28" i="25"/>
  <c r="H21" i="25"/>
  <c r="I21" i="25" l="1"/>
  <c r="H25" i="25" l="1"/>
  <c r="H27" i="25" l="1"/>
  <c r="H28" i="25"/>
  <c r="N5" i="25"/>
  <c r="I25" i="25"/>
  <c r="I28" i="25" s="1"/>
  <c r="N4" i="25" l="1"/>
  <c r="N6" i="25" s="1"/>
  <c r="I27" i="25"/>
  <c r="J26" i="25" l="1"/>
  <c r="J27" i="25" l="1"/>
  <c r="D31" i="25" s="1"/>
  <c r="D34" i="25" s="1"/>
  <c r="D36" i="25" s="1"/>
  <c r="J28" i="25"/>
  <c r="N11" i="25" s="1"/>
  <c r="N10" i="25" l="1"/>
  <c r="N16" i="25"/>
  <c r="N17" i="25" s="1"/>
</calcChain>
</file>

<file path=xl/sharedStrings.xml><?xml version="1.0" encoding="utf-8"?>
<sst xmlns="http://schemas.openxmlformats.org/spreadsheetml/2006/main" count="63" uniqueCount="58">
  <si>
    <t>DCF Model</t>
  </si>
  <si>
    <t>Assumptions</t>
  </si>
  <si>
    <t>Terminal Value</t>
  </si>
  <si>
    <t>Tax Rate</t>
  </si>
  <si>
    <t>Perpetural Growth</t>
  </si>
  <si>
    <t>Discount Rate (WACC)</t>
  </si>
  <si>
    <t>EV/EBITDA</t>
  </si>
  <si>
    <t>Perpetural Growth Rate</t>
  </si>
  <si>
    <t>Average</t>
  </si>
  <si>
    <t>EV/EBITDA Mulltiple</t>
  </si>
  <si>
    <t>Transaction Date</t>
  </si>
  <si>
    <t>Fiscal Year End</t>
  </si>
  <si>
    <t>Rate of Return</t>
  </si>
  <si>
    <t>Current Price</t>
  </si>
  <si>
    <t>Target Price Upside</t>
  </si>
  <si>
    <t>Shares Outstanding</t>
  </si>
  <si>
    <t>Internal Rate of Return (IRR)</t>
  </si>
  <si>
    <t>Debt</t>
  </si>
  <si>
    <t>Cash</t>
  </si>
  <si>
    <t>Capex</t>
  </si>
  <si>
    <t>Market Value vs Intrinsic Value</t>
  </si>
  <si>
    <t>Market Value</t>
  </si>
  <si>
    <t>Discounted Cash Flow</t>
  </si>
  <si>
    <t>Entry</t>
  </si>
  <si>
    <t>Exit</t>
  </si>
  <si>
    <t>Upside</t>
  </si>
  <si>
    <t>Date</t>
  </si>
  <si>
    <t>Intrinsic Value</t>
  </si>
  <si>
    <t>Time Periods</t>
  </si>
  <si>
    <t>Year Fraction</t>
  </si>
  <si>
    <t>EBIT</t>
  </si>
  <si>
    <t>Less: Cash Taxes</t>
  </si>
  <si>
    <t>Plus: D&amp;A</t>
  </si>
  <si>
    <t>Less: Capex</t>
  </si>
  <si>
    <t>Less: Changes in NWC</t>
  </si>
  <si>
    <t>FCF</t>
  </si>
  <si>
    <t>(Entry)/Exit</t>
  </si>
  <si>
    <t>Transaction CF</t>
  </si>
  <si>
    <t>Enterprise Value</t>
  </si>
  <si>
    <t>Market Cap</t>
  </si>
  <si>
    <t>Plus: Cash</t>
  </si>
  <si>
    <t>Plus: Debt</t>
  </si>
  <si>
    <t>Less: Debt</t>
  </si>
  <si>
    <t>Less: Cash</t>
  </si>
  <si>
    <t>Equity Value</t>
  </si>
  <si>
    <t>Equity Value/Share</t>
  </si>
  <si>
    <t>WACC Calculation</t>
  </si>
  <si>
    <t>Equity value</t>
  </si>
  <si>
    <t>Debt value</t>
  </si>
  <si>
    <t>Cost of Debt</t>
  </si>
  <si>
    <t>Tax rate</t>
  </si>
  <si>
    <t>10y Treasury</t>
  </si>
  <si>
    <t>Beta</t>
  </si>
  <si>
    <t>Market Return</t>
  </si>
  <si>
    <t>Cost of Equity</t>
  </si>
  <si>
    <t>E / D +E</t>
  </si>
  <si>
    <t>D / D+E</t>
  </si>
  <si>
    <t>WACC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</si>
</sst>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_-* #,##0_-;\(#,##0\)_-;_-* &quot;-&quot;_-;_-@_-"/>
    <numFmt numFmtId="166" formatCode="_-* #,##0_-;\-* #,##0_-;_-* &quot;-&quot;??_-;_-@_-"/>
    <numFmt numFmtId="167" formatCode="_(* #,##0_);_(* \(#,##0\);_(* &quot;-&quot;??_);_(@_)"/>
    <numFmt numFmtId="168" formatCode="0.0\x"/>
    <numFmt numFmtId="169" formatCode="_-* #,##0.00_-;\(#,##0.00\)_-;_-* &quot;-&quot;_-;_-@_-"/>
    <numFmt numFmtId="170" formatCode="0.0%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2"/>
      <color theme="1"/>
      <name val="Open Sans"/>
      <family val="2"/>
    </font>
    <font>
      <b/>
      <sz val="10"/>
      <color theme="0"/>
      <name val="Open Sans"/>
      <family val="2"/>
    </font>
    <font>
      <b/>
      <sz val="11"/>
      <color theme="0"/>
      <name val="Open Sans"/>
      <family val="2"/>
    </font>
    <font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0000FF"/>
      <name val="Calibri"/>
      <scheme val="minor"/>
    </font>
    <font>
      <b/>
      <sz val="10"/>
      <name val="Calibri"/>
      <scheme val="minor"/>
    </font>
    <font>
      <sz val="10"/>
      <name val="Calibri"/>
      <scheme val="minor"/>
    </font>
    <font>
      <sz val="12"/>
      <color theme="1"/>
      <name val="Calibri"/>
      <scheme val="minor"/>
    </font>
    <font>
      <i/>
      <sz val="10"/>
      <color theme="1"/>
      <name val="Calibri"/>
      <scheme val="minor"/>
    </font>
    <font>
      <i/>
      <sz val="10"/>
      <name val="Calibri"/>
      <scheme val="minor"/>
    </font>
    <font>
      <i/>
      <sz val="10"/>
      <color rgb="FF0000FF"/>
      <name val="Calibri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</font>
    <font>
      <sz val="12"/>
      <name val="Arial"/>
      <family val="2"/>
    </font>
    <font>
      <sz val="12"/>
      <color theme="1"/>
      <name val="Calibri"/>
      <family val="2"/>
    </font>
    <font>
      <sz val="12"/>
      <color rgb="FF0432FF"/>
      <name val="Calibri"/>
      <family val="2"/>
    </font>
    <font>
      <sz val="14"/>
      <color theme="0"/>
      <name val="Comic Sans MS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rgb="FFD9E2F3"/>
        <bgColor rgb="FFD9E2F3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/>
    <xf numFmtId="0" fontId="1" fillId="0" borderId="0"/>
  </cellStyleXfs>
  <cellXfs count="65">
    <xf numFmtId="0" fontId="0" fillId="0" borderId="0" xfId="0"/>
    <xf numFmtId="165" fontId="2" fillId="0" borderId="0" xfId="1" applyNumberFormat="1" applyFont="1"/>
    <xf numFmtId="165" fontId="2" fillId="0" borderId="0" xfId="1" applyNumberFormat="1" applyFont="1" applyAlignment="1">
      <alignment horizontal="center"/>
    </xf>
    <xf numFmtId="165" fontId="3" fillId="2" borderId="0" xfId="1" applyNumberFormat="1" applyFont="1" applyFill="1"/>
    <xf numFmtId="165" fontId="3" fillId="2" borderId="0" xfId="1" applyNumberFormat="1" applyFont="1" applyFill="1" applyAlignment="1">
      <alignment horizontal="center"/>
    </xf>
    <xf numFmtId="0" fontId="4" fillId="2" borderId="0" xfId="0" applyFont="1" applyFill="1" applyAlignment="1">
      <alignment vertical="center"/>
    </xf>
    <xf numFmtId="0" fontId="5" fillId="2" borderId="0" xfId="0" applyFont="1" applyFill="1"/>
    <xf numFmtId="165" fontId="6" fillId="0" borderId="0" xfId="1" applyNumberFormat="1" applyFont="1"/>
    <xf numFmtId="165" fontId="6" fillId="0" borderId="0" xfId="1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7" fillId="0" borderId="0" xfId="4" applyAlignment="1">
      <alignment horizontal="right"/>
    </xf>
    <xf numFmtId="165" fontId="10" fillId="0" borderId="0" xfId="1" applyNumberFormat="1" applyFont="1"/>
    <xf numFmtId="165" fontId="11" fillId="0" borderId="0" xfId="1" applyNumberFormat="1" applyFont="1"/>
    <xf numFmtId="165" fontId="11" fillId="0" borderId="0" xfId="1" applyNumberFormat="1" applyFont="1" applyAlignment="1">
      <alignment horizontal="center"/>
    </xf>
    <xf numFmtId="165" fontId="12" fillId="0" borderId="0" xfId="1" applyNumberFormat="1" applyFont="1"/>
    <xf numFmtId="165" fontId="13" fillId="3" borderId="0" xfId="1" applyNumberFormat="1" applyFont="1" applyFill="1" applyBorder="1"/>
    <xf numFmtId="165" fontId="12" fillId="3" borderId="0" xfId="1" applyNumberFormat="1" applyFont="1" applyFill="1" applyBorder="1"/>
    <xf numFmtId="165" fontId="14" fillId="0" borderId="0" xfId="1" applyNumberFormat="1" applyFont="1" applyBorder="1"/>
    <xf numFmtId="165" fontId="12" fillId="0" borderId="0" xfId="1" applyNumberFormat="1" applyFont="1" applyBorder="1"/>
    <xf numFmtId="9" fontId="12" fillId="0" borderId="0" xfId="2" applyFont="1" applyBorder="1" applyAlignment="1">
      <alignment horizontal="right"/>
    </xf>
    <xf numFmtId="165" fontId="14" fillId="0" borderId="0" xfId="1" applyNumberFormat="1" applyFont="1"/>
    <xf numFmtId="9" fontId="12" fillId="0" borderId="0" xfId="2" applyFont="1" applyAlignment="1">
      <alignment horizontal="right"/>
    </xf>
    <xf numFmtId="168" fontId="12" fillId="0" borderId="0" xfId="1" applyNumberFormat="1" applyFont="1" applyAlignment="1">
      <alignment horizontal="right"/>
    </xf>
    <xf numFmtId="14" fontId="12" fillId="0" borderId="0" xfId="1" applyNumberFormat="1" applyFont="1"/>
    <xf numFmtId="14" fontId="12" fillId="0" borderId="0" xfId="1" applyNumberFormat="1" applyFont="1" applyFill="1"/>
    <xf numFmtId="164" fontId="12" fillId="0" borderId="0" xfId="1" applyFont="1" applyAlignment="1">
      <alignment horizontal="right"/>
    </xf>
    <xf numFmtId="166" fontId="12" fillId="0" borderId="0" xfId="1" applyNumberFormat="1" applyFont="1" applyAlignment="1">
      <alignment horizontal="right"/>
    </xf>
    <xf numFmtId="165" fontId="15" fillId="0" borderId="0" xfId="1" applyNumberFormat="1" applyFont="1"/>
    <xf numFmtId="165" fontId="10" fillId="3" borderId="0" xfId="1" applyNumberFormat="1" applyFont="1" applyFill="1" applyBorder="1"/>
    <xf numFmtId="165" fontId="11" fillId="3" borderId="0" xfId="1" applyNumberFormat="1" applyFont="1" applyFill="1" applyBorder="1"/>
    <xf numFmtId="165" fontId="10" fillId="3" borderId="0" xfId="1" applyNumberFormat="1" applyFont="1" applyFill="1" applyBorder="1" applyAlignment="1">
      <alignment horizontal="right"/>
    </xf>
    <xf numFmtId="0" fontId="10" fillId="3" borderId="0" xfId="1" applyNumberFormat="1" applyFont="1" applyFill="1" applyBorder="1"/>
    <xf numFmtId="165" fontId="11" fillId="0" borderId="0" xfId="1" applyNumberFormat="1" applyFont="1" applyBorder="1"/>
    <xf numFmtId="14" fontId="16" fillId="0" borderId="0" xfId="1" applyNumberFormat="1" applyFont="1" applyBorder="1"/>
    <xf numFmtId="14" fontId="16" fillId="0" borderId="0" xfId="1" applyNumberFormat="1" applyFont="1" applyFill="1" applyBorder="1"/>
    <xf numFmtId="14" fontId="17" fillId="0" borderId="0" xfId="1" applyNumberFormat="1" applyFont="1" applyBorder="1"/>
    <xf numFmtId="165" fontId="16" fillId="0" borderId="0" xfId="1" applyNumberFormat="1" applyFont="1" applyBorder="1"/>
    <xf numFmtId="1" fontId="18" fillId="0" borderId="0" xfId="1" applyNumberFormat="1" applyFont="1"/>
    <xf numFmtId="1" fontId="16" fillId="0" borderId="0" xfId="1" applyNumberFormat="1" applyFont="1"/>
    <xf numFmtId="167" fontId="11" fillId="0" borderId="0" xfId="1" applyNumberFormat="1" applyFont="1"/>
    <xf numFmtId="165" fontId="16" fillId="0" borderId="0" xfId="1" applyNumberFormat="1" applyFont="1"/>
    <xf numFmtId="164" fontId="16" fillId="0" borderId="0" xfId="1" applyFont="1" applyBorder="1"/>
    <xf numFmtId="165" fontId="11" fillId="0" borderId="1" xfId="1" applyNumberFormat="1" applyFont="1" applyBorder="1"/>
    <xf numFmtId="167" fontId="12" fillId="0" borderId="0" xfId="1" applyNumberFormat="1" applyFont="1"/>
    <xf numFmtId="165" fontId="11" fillId="0" borderId="0" xfId="1" applyNumberFormat="1" applyFont="1" applyFill="1"/>
    <xf numFmtId="9" fontId="11" fillId="0" borderId="0" xfId="2" applyFont="1" applyBorder="1"/>
    <xf numFmtId="9" fontId="11" fillId="0" borderId="0" xfId="2" applyFont="1"/>
    <xf numFmtId="169" fontId="11" fillId="0" borderId="0" xfId="1" applyNumberFormat="1" applyFont="1"/>
    <xf numFmtId="0" fontId="19" fillId="0" borderId="0" xfId="0" applyFont="1" applyAlignment="1">
      <alignment horizontal="right"/>
    </xf>
    <xf numFmtId="0" fontId="15" fillId="0" borderId="0" xfId="0" applyFont="1"/>
    <xf numFmtId="165" fontId="11" fillId="0" borderId="0" xfId="1" applyNumberFormat="1" applyFont="1" applyAlignment="1">
      <alignment horizontal="left" indent="5"/>
    </xf>
    <xf numFmtId="0" fontId="22" fillId="0" borderId="0" xfId="0" applyFont="1"/>
    <xf numFmtId="0" fontId="23" fillId="0" borderId="0" xfId="0" applyFont="1"/>
    <xf numFmtId="9" fontId="23" fillId="0" borderId="0" xfId="0" applyNumberFormat="1" applyFont="1"/>
    <xf numFmtId="0" fontId="22" fillId="0" borderId="4" xfId="0" applyFont="1" applyBorder="1"/>
    <xf numFmtId="9" fontId="22" fillId="0" borderId="4" xfId="0" applyNumberFormat="1" applyFont="1" applyBorder="1"/>
    <xf numFmtId="9" fontId="22" fillId="0" borderId="0" xfId="0" applyNumberFormat="1" applyFont="1"/>
    <xf numFmtId="0" fontId="20" fillId="0" borderId="4" xfId="0" applyFont="1" applyBorder="1"/>
    <xf numFmtId="170" fontId="20" fillId="4" borderId="4" xfId="0" applyNumberFormat="1" applyFont="1" applyFill="1" applyBorder="1"/>
    <xf numFmtId="165" fontId="10" fillId="0" borderId="0" xfId="1" applyNumberFormat="1" applyFont="1" applyFill="1"/>
    <xf numFmtId="165" fontId="11" fillId="0" borderId="0" xfId="1" applyNumberFormat="1" applyFont="1" applyFill="1" applyAlignment="1">
      <alignment horizontal="center"/>
    </xf>
    <xf numFmtId="0" fontId="24" fillId="2" borderId="0" xfId="0" applyFont="1" applyFill="1" applyAlignment="1">
      <alignment vertical="center"/>
    </xf>
    <xf numFmtId="0" fontId="20" fillId="4" borderId="2" xfId="0" applyFont="1" applyFill="1" applyBorder="1" applyAlignment="1">
      <alignment horizontal="center"/>
    </xf>
    <xf numFmtId="0" fontId="21" fillId="0" borderId="3" xfId="0" applyFont="1" applyBorder="1" applyAlignment="1"/>
  </cellXfs>
  <cellStyles count="8">
    <cellStyle name="Comma" xfId="1" builtinId="3"/>
    <cellStyle name="Hyperlink" xfId="4" builtinId="8"/>
    <cellStyle name="Hyperlink 2" xfId="6" xr:uid="{00000000-0005-0000-0000-000002000000}"/>
    <cellStyle name="Hyperlink 3" xfId="3" xr:uid="{00000000-0005-0000-0000-000003000000}"/>
    <cellStyle name="Normal" xfId="0" builtinId="0"/>
    <cellStyle name="Normal 2" xfId="5" xr:uid="{00000000-0005-0000-0000-000005000000}"/>
    <cellStyle name="Normal 2 2 2" xfId="7" xr:uid="{65687AD3-88B9-461F-8736-3AEEF1815662}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Cash Flow</a:t>
            </a:r>
          </a:p>
        </c:rich>
      </c:tx>
      <c:layout>
        <c:manualLayout>
          <c:xMode val="edge"/>
          <c:yMode val="edge"/>
          <c:x val="0.39998084819200291"/>
          <c:y val="3.21949630897540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2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DCF_Model!$E$17:$I$17</c:f>
              <c:numCache>
                <c:formatCode>m/d/yyyy</c:formatCode>
                <c:ptCount val="5"/>
                <c:pt idx="0">
                  <c:v>45107</c:v>
                </c:pt>
                <c:pt idx="1">
                  <c:v>45473</c:v>
                </c:pt>
                <c:pt idx="2">
                  <c:v>45838</c:v>
                </c:pt>
                <c:pt idx="3">
                  <c:v>46203</c:v>
                </c:pt>
                <c:pt idx="4">
                  <c:v>46568</c:v>
                </c:pt>
              </c:numCache>
            </c:numRef>
          </c:cat>
          <c:val>
            <c:numRef>
              <c:f>DCF_Model!$E$27:$I$27</c:f>
              <c:numCache>
                <c:formatCode>_-* #,##0_-;\(#,##0\)_-;_-* "-"_-;_-@_-</c:formatCode>
                <c:ptCount val="5"/>
                <c:pt idx="0">
                  <c:v>17747.131000000001</c:v>
                </c:pt>
                <c:pt idx="1">
                  <c:v>37715.192064999996</c:v>
                </c:pt>
                <c:pt idx="2">
                  <c:v>41501.07372819999</c:v>
                </c:pt>
                <c:pt idx="3">
                  <c:v>43510.461665686991</c:v>
                </c:pt>
                <c:pt idx="4">
                  <c:v>47008.029943582238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A-4754-B867-94CF948CE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542849320"/>
        <c:axId val="542849648"/>
      </c:barChart>
      <c:dateAx>
        <c:axId val="542849320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42849648"/>
        <c:crosses val="autoZero"/>
        <c:auto val="1"/>
        <c:lblOffset val="100"/>
        <c:baseTimeUnit val="years"/>
        <c:majorUnit val="1"/>
        <c:majorTimeUnit val="years"/>
        <c:minorUnit val="1"/>
        <c:minorTimeUnit val="years"/>
      </c:dateAx>
      <c:valAx>
        <c:axId val="542849648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n-US"/>
          </a:p>
        </c:txPr>
        <c:crossAx val="54284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sz="12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 pitchFamily="34" charset="0"/>
                <a:ea typeface="Open Sans" panose="020B0606030504020204" pitchFamily="34" charset="0"/>
                <a:cs typeface="Calibri" panose="020F0502020204030204" pitchFamily="34" charset="0"/>
              </a:rPr>
              <a:t>Market Value vs Intrinsic Value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 pitchFamily="34" charset="0"/>
              <a:ea typeface="Open Sans" panose="020B0606030504020204" pitchFamily="34" charset="0"/>
              <a:cs typeface="Calibri" panose="020F0502020204030204" pitchFamily="34" charset="0"/>
            </a:endParaRPr>
          </a:p>
        </cx:rich>
      </cx:tx>
    </cx:title>
    <cx:plotArea>
      <cx:plotAreaRegion>
        <cx:plotSurface>
          <cx:spPr>
            <a:noFill/>
            <a:ln>
              <a:noFill/>
            </a:ln>
          </cx:spPr>
        </cx:plotSurface>
        <cx:series layoutId="waterfall" uniqueId="{8DE9D384-90CA-46AD-9838-15A56339DF8B}" formatIdx="1">
          <cx:spPr>
            <a:solidFill>
              <a:srgbClr val="3876D3"/>
            </a:solidFill>
          </cx:spPr>
          <cx:dataLabels pos="outEnd">
            <cx:numFmt formatCode="$#,##0.00" sourceLinked="0"/>
            <cx:spPr>
              <a:noFill/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2"/>
                    </a:solidFill>
                  </a:defRPr>
                </a:pPr>
                <a:endParaRPr lang="en-US" sz="900" b="0" i="0" u="none" strike="noStrike" baseline="0">
                  <a:solidFill>
                    <a:schemeClr val="bg2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subtotals>
              <cx:idx val="2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  <cx:numFmt formatCode="$#,##0.0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 pitchFamily="34" charset="0"/>
              <a:ea typeface="Open Sans" panose="020B0606030504020204" pitchFamily="34" charset="0"/>
              <a:cs typeface="Calibri" panose="020F050202020403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714376</xdr:colOff>
      <xdr:row>2</xdr:row>
      <xdr:rowOff>28575</xdr:rowOff>
    </xdr:from>
    <xdr:to>
      <xdr:col>9</xdr:col>
      <xdr:colOff>771525</xdr:colOff>
      <xdr:row>13</xdr:row>
      <xdr:rowOff>51063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1E59A-1A30-40A8-B4F9-0770A24C3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552449</xdr:colOff>
      <xdr:row>18</xdr:row>
      <xdr:rowOff>95251</xdr:rowOff>
    </xdr:from>
    <xdr:to>
      <xdr:col>14</xdr:col>
      <xdr:colOff>238124</xdr:colOff>
      <xdr:row>29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279C28A-B758-47E1-9CB3-ABF566CBF173}"/>
                </a:ext>
                <a:ext uri="{147F2762-F138-4A5C-976F-8EAC2B608ADB}">
                  <a16:predDERef xmlns:a16="http://schemas.microsoft.com/office/drawing/2014/main" pred="{5E31E59A-1A30-40A8-B4F9-0770A24C30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2</xdr:row>
      <xdr:rowOff>9525</xdr:rowOff>
    </xdr:from>
    <xdr:to>
      <xdr:col>13</xdr:col>
      <xdr:colOff>247650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58B40E-137E-470B-BCB7-4C485939121D}"/>
            </a:ext>
            <a:ext uri="{147F2762-F138-4A5C-976F-8EAC2B608ADB}">
              <a16:predDERef xmlns:a16="http://schemas.microsoft.com/office/drawing/2014/main" pre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14925" y="400050"/>
          <a:ext cx="437197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238125</xdr:colOff>
      <xdr:row>7</xdr:row>
      <xdr:rowOff>38100</xdr:rowOff>
    </xdr:from>
    <xdr:to>
      <xdr:col>13</xdr:col>
      <xdr:colOff>590550</xdr:colOff>
      <xdr:row>11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8EB0A0-C004-46A5-AED7-008B0308B95C}"/>
            </a:ext>
            <a:ext uri="{147F2762-F138-4A5C-976F-8EAC2B608ADB}">
              <a16:predDERef xmlns:a16="http://schemas.microsoft.com/office/drawing/2014/main" pred="{D258B40E-137E-470B-BCB7-4C485939121D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600575" y="1419225"/>
          <a:ext cx="5229225" cy="9048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1"/>
  <sheetViews>
    <sheetView showGridLines="0" tabSelected="1" zoomScaleNormal="100" workbookViewId="0">
      <selection activeCell="B1" sqref="B1"/>
    </sheetView>
  </sheetViews>
  <sheetFormatPr defaultColWidth="9.140625" defaultRowHeight="15.6"/>
  <cols>
    <col min="1" max="1" width="3.5703125" style="1" customWidth="1"/>
    <col min="2" max="2" width="12.5703125" style="1" customWidth="1"/>
    <col min="3" max="3" width="12.42578125" style="1" customWidth="1"/>
    <col min="4" max="4" width="11.42578125" style="2" customWidth="1"/>
    <col min="5" max="9" width="11.5703125" style="1" customWidth="1"/>
    <col min="10" max="14" width="12.5703125" style="1" customWidth="1"/>
    <col min="15" max="16384" width="9.140625" style="1"/>
  </cols>
  <sheetData>
    <row r="1" spans="1:15" ht="21">
      <c r="A1" s="3"/>
      <c r="B1" s="62" t="s">
        <v>0</v>
      </c>
      <c r="C1" s="6"/>
      <c r="D1" s="6"/>
      <c r="E1" s="6"/>
      <c r="F1" s="4"/>
      <c r="G1" s="4"/>
      <c r="H1" s="3"/>
      <c r="I1" s="5"/>
      <c r="J1" s="6"/>
      <c r="K1" s="6"/>
      <c r="L1" s="6"/>
      <c r="M1" s="4"/>
      <c r="N1" s="4"/>
    </row>
    <row r="2" spans="1:15" ht="16.5">
      <c r="A2" s="7"/>
      <c r="B2" s="12"/>
      <c r="C2" s="13"/>
      <c r="D2" s="14"/>
      <c r="E2" s="15"/>
      <c r="F2" s="15"/>
      <c r="G2" s="15"/>
      <c r="H2" s="15"/>
      <c r="I2" s="15"/>
      <c r="J2" s="13"/>
      <c r="K2" s="13"/>
      <c r="L2" s="13"/>
      <c r="M2" s="13"/>
      <c r="N2" s="13"/>
      <c r="O2" s="7"/>
    </row>
    <row r="3" spans="1:15" ht="16.5">
      <c r="A3" s="7"/>
      <c r="B3" s="16" t="s">
        <v>1</v>
      </c>
      <c r="C3" s="17"/>
      <c r="D3" s="17"/>
      <c r="E3" s="15"/>
      <c r="F3" s="13"/>
      <c r="G3" s="13"/>
      <c r="H3" s="13"/>
      <c r="I3" s="13"/>
      <c r="J3" s="13"/>
      <c r="K3" s="13"/>
      <c r="L3" s="29" t="s">
        <v>2</v>
      </c>
      <c r="M3" s="30"/>
      <c r="N3" s="30"/>
      <c r="O3" s="7"/>
    </row>
    <row r="4" spans="1:15" ht="16.5">
      <c r="A4" s="7"/>
      <c r="B4" s="18" t="s">
        <v>3</v>
      </c>
      <c r="C4" s="19"/>
      <c r="D4" s="20">
        <v>0.25</v>
      </c>
      <c r="E4" s="15"/>
      <c r="F4" s="13"/>
      <c r="G4" s="13"/>
      <c r="H4" s="13"/>
      <c r="I4" s="13"/>
      <c r="J4" s="13"/>
      <c r="K4" s="13"/>
      <c r="L4" s="33" t="s">
        <v>4</v>
      </c>
      <c r="M4" s="33"/>
      <c r="N4" s="33">
        <f>(I25*(1+D6))/(D5-D6)</f>
        <v>308642.36393236462</v>
      </c>
      <c r="O4" s="7"/>
    </row>
    <row r="5" spans="1:15" ht="16.5">
      <c r="A5" s="7"/>
      <c r="B5" s="21" t="s">
        <v>5</v>
      </c>
      <c r="C5" s="13"/>
      <c r="D5" s="22">
        <f>WACC_Calc!C15</f>
        <v>0.18687500000000004</v>
      </c>
      <c r="E5" s="13"/>
      <c r="F5" s="13"/>
      <c r="G5" s="13"/>
      <c r="H5" s="13"/>
      <c r="I5" s="13"/>
      <c r="J5" s="13"/>
      <c r="K5" s="13"/>
      <c r="L5" s="13" t="s">
        <v>6</v>
      </c>
      <c r="M5" s="13"/>
      <c r="N5" s="40">
        <f>D7*(I20+I22)</f>
        <v>546277.73326543428</v>
      </c>
      <c r="O5" s="7"/>
    </row>
    <row r="6" spans="1:15" ht="16.5">
      <c r="A6" s="7"/>
      <c r="B6" s="13" t="s">
        <v>7</v>
      </c>
      <c r="C6" s="13"/>
      <c r="D6" s="22">
        <v>0.03</v>
      </c>
      <c r="E6" s="13"/>
      <c r="F6" s="13"/>
      <c r="G6" s="13"/>
      <c r="H6" s="13"/>
      <c r="I6" s="13"/>
      <c r="J6" s="13"/>
      <c r="K6" s="13"/>
      <c r="L6" s="13" t="s">
        <v>8</v>
      </c>
      <c r="M6" s="13"/>
      <c r="N6" s="43">
        <f>AVERAGE(N4:N5)</f>
        <v>427460.04859889945</v>
      </c>
      <c r="O6" s="7"/>
    </row>
    <row r="7" spans="1:15" ht="16.5">
      <c r="A7" s="7"/>
      <c r="B7" s="13" t="s">
        <v>9</v>
      </c>
      <c r="C7" s="13"/>
      <c r="D7" s="23">
        <v>7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7"/>
    </row>
    <row r="8" spans="1:15" ht="16.5">
      <c r="A8" s="7"/>
      <c r="B8" s="13" t="s">
        <v>10</v>
      </c>
      <c r="C8" s="13"/>
      <c r="D8" s="24">
        <v>44926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7"/>
    </row>
    <row r="9" spans="1:15" ht="16.5">
      <c r="A9" s="7"/>
      <c r="B9" s="13" t="s">
        <v>11</v>
      </c>
      <c r="C9" s="13"/>
      <c r="D9" s="25">
        <v>45016</v>
      </c>
      <c r="E9" s="13"/>
      <c r="F9" s="13"/>
      <c r="G9" s="13"/>
      <c r="H9" s="13"/>
      <c r="I9" s="13"/>
      <c r="J9" s="13"/>
      <c r="K9" s="13"/>
      <c r="L9" s="29" t="s">
        <v>12</v>
      </c>
      <c r="M9" s="30"/>
      <c r="N9" s="30"/>
      <c r="O9" s="7"/>
    </row>
    <row r="10" spans="1:15" ht="16.5">
      <c r="A10" s="7"/>
      <c r="B10" s="13" t="s">
        <v>13</v>
      </c>
      <c r="C10" s="13"/>
      <c r="D10" s="26">
        <v>25</v>
      </c>
      <c r="E10" s="13"/>
      <c r="F10" s="13"/>
      <c r="G10" s="13"/>
      <c r="H10" s="13"/>
      <c r="I10" s="13"/>
      <c r="J10" s="13"/>
      <c r="K10" s="13"/>
      <c r="L10" s="33" t="s">
        <v>14</v>
      </c>
      <c r="M10" s="33"/>
      <c r="N10" s="46">
        <f>D36/I36-1</f>
        <v>0.51189034898772601</v>
      </c>
      <c r="O10" s="7"/>
    </row>
    <row r="11" spans="1:15" ht="16.5">
      <c r="A11" s="7"/>
      <c r="B11" s="13" t="s">
        <v>15</v>
      </c>
      <c r="C11" s="13"/>
      <c r="D11" s="27">
        <v>20000</v>
      </c>
      <c r="E11" s="13"/>
      <c r="F11" s="13"/>
      <c r="G11" s="13"/>
      <c r="H11" s="13"/>
      <c r="I11" s="13"/>
      <c r="J11" s="13"/>
      <c r="K11" s="13"/>
      <c r="L11" s="13" t="s">
        <v>16</v>
      </c>
      <c r="M11" s="13"/>
      <c r="N11" s="47">
        <f>XIRR(D28:J28,D17:J17)</f>
        <v>0.97593854665756252</v>
      </c>
      <c r="O11" s="7"/>
    </row>
    <row r="12" spans="1:15" ht="16.5">
      <c r="A12" s="7"/>
      <c r="B12" s="13" t="s">
        <v>17</v>
      </c>
      <c r="C12" s="13"/>
      <c r="D12" s="27">
        <v>60000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7"/>
    </row>
    <row r="13" spans="1:15" ht="16.5">
      <c r="A13" s="7"/>
      <c r="B13" s="13" t="s">
        <v>18</v>
      </c>
      <c r="C13" s="13"/>
      <c r="D13" s="27">
        <v>500000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7"/>
    </row>
    <row r="14" spans="1:15" ht="16.5">
      <c r="A14" s="7"/>
      <c r="B14" s="13" t="s">
        <v>19</v>
      </c>
      <c r="C14" s="13"/>
      <c r="D14" s="15">
        <v>15000</v>
      </c>
      <c r="E14" s="13"/>
      <c r="F14" s="13"/>
      <c r="G14" s="13"/>
      <c r="H14" s="13"/>
      <c r="I14" s="13"/>
      <c r="J14" s="13"/>
      <c r="K14" s="13"/>
      <c r="L14" s="29" t="s">
        <v>20</v>
      </c>
      <c r="M14" s="30"/>
      <c r="N14" s="30"/>
      <c r="O14" s="7"/>
    </row>
    <row r="15" spans="1:15" ht="16.5">
      <c r="A15" s="7"/>
      <c r="B15" s="13"/>
      <c r="C15" s="13"/>
      <c r="D15" s="24"/>
      <c r="E15" s="28"/>
      <c r="F15" s="28"/>
      <c r="G15" s="28"/>
      <c r="H15" s="28"/>
      <c r="I15" s="28"/>
      <c r="J15" s="13"/>
      <c r="K15" s="13"/>
      <c r="L15" s="13" t="s">
        <v>21</v>
      </c>
      <c r="M15" s="13"/>
      <c r="N15" s="48">
        <f>I36</f>
        <v>25</v>
      </c>
      <c r="O15" s="7"/>
    </row>
    <row r="16" spans="1:15" ht="16.5">
      <c r="A16" s="7"/>
      <c r="B16" s="29" t="s">
        <v>22</v>
      </c>
      <c r="C16" s="30"/>
      <c r="D16" s="31" t="s">
        <v>23</v>
      </c>
      <c r="E16" s="32">
        <f>YEAR(E17)</f>
        <v>2023</v>
      </c>
      <c r="F16" s="32">
        <f t="shared" ref="F16:I16" si="0">YEAR(F17)</f>
        <v>2024</v>
      </c>
      <c r="G16" s="32">
        <f t="shared" si="0"/>
        <v>2025</v>
      </c>
      <c r="H16" s="32">
        <f t="shared" si="0"/>
        <v>2026</v>
      </c>
      <c r="I16" s="32">
        <f t="shared" si="0"/>
        <v>2027</v>
      </c>
      <c r="J16" s="31" t="s">
        <v>24</v>
      </c>
      <c r="K16" s="13"/>
      <c r="L16" s="13" t="s">
        <v>25</v>
      </c>
      <c r="M16" s="13"/>
      <c r="N16" s="48">
        <f>D36-I36</f>
        <v>12.797258724693151</v>
      </c>
      <c r="O16" s="7"/>
    </row>
    <row r="17" spans="1:15" ht="16.5">
      <c r="A17" s="7"/>
      <c r="B17" s="33" t="s">
        <v>26</v>
      </c>
      <c r="C17" s="33"/>
      <c r="D17" s="34">
        <f>D8</f>
        <v>44926</v>
      </c>
      <c r="E17" s="35">
        <f>DATE(YEAR($D$9)+E18,6,30)</f>
        <v>45107</v>
      </c>
      <c r="F17" s="35">
        <f>DATE(YEAR($D$9)+F18,6,30)</f>
        <v>45473</v>
      </c>
      <c r="G17" s="35">
        <f>DATE(YEAR($D$9)+G18,6,30)</f>
        <v>45838</v>
      </c>
      <c r="H17" s="35">
        <f>DATE(YEAR($D$9)+H18,6,30)</f>
        <v>46203</v>
      </c>
      <c r="I17" s="35">
        <f>DATE(YEAR($D$9)+I18,6,30)</f>
        <v>46568</v>
      </c>
      <c r="J17" s="36">
        <f>I17</f>
        <v>46568</v>
      </c>
      <c r="K17" s="13"/>
      <c r="L17" s="13" t="s">
        <v>27</v>
      </c>
      <c r="M17" s="13"/>
      <c r="N17" s="48">
        <f>SUM(N15:N16)</f>
        <v>37.797258724693151</v>
      </c>
      <c r="O17" s="7"/>
    </row>
    <row r="18" spans="1:15" ht="16.5">
      <c r="A18" s="7"/>
      <c r="B18" s="37" t="s">
        <v>28</v>
      </c>
      <c r="C18" s="37"/>
      <c r="D18" s="34"/>
      <c r="E18" s="38">
        <v>0</v>
      </c>
      <c r="F18" s="39">
        <f>E18+1</f>
        <v>1</v>
      </c>
      <c r="G18" s="39">
        <f>F18+1</f>
        <v>2</v>
      </c>
      <c r="H18" s="39">
        <f t="shared" ref="H18:I18" si="1">G18+1</f>
        <v>3</v>
      </c>
      <c r="I18" s="39">
        <f t="shared" si="1"/>
        <v>4</v>
      </c>
      <c r="J18" s="34"/>
      <c r="K18" s="13"/>
      <c r="O18" s="7"/>
    </row>
    <row r="19" spans="1:15" ht="16.5">
      <c r="A19" s="7"/>
      <c r="B19" s="41" t="s">
        <v>29</v>
      </c>
      <c r="C19" s="13"/>
      <c r="D19" s="13"/>
      <c r="E19" s="42">
        <f>YEARFRAC(D17,E17)</f>
        <v>0.5</v>
      </c>
      <c r="F19" s="42">
        <f>YEARFRAC(E17,F17)</f>
        <v>1</v>
      </c>
      <c r="G19" s="42">
        <f>YEARFRAC(F17,G17)</f>
        <v>1</v>
      </c>
      <c r="H19" s="42">
        <f>YEARFRAC(G17,H17)</f>
        <v>1</v>
      </c>
      <c r="I19" s="42">
        <f>YEARFRAC(H17,I17)</f>
        <v>1</v>
      </c>
      <c r="J19" s="13"/>
      <c r="K19" s="13"/>
      <c r="O19" s="7"/>
    </row>
    <row r="20" spans="1:15" ht="16.5">
      <c r="A20" s="7"/>
      <c r="B20" s="13" t="s">
        <v>30</v>
      </c>
      <c r="C20" s="13"/>
      <c r="D20" s="13"/>
      <c r="E20" s="19">
        <v>47814.456000000006</v>
      </c>
      <c r="F20" s="19">
        <v>51094.853419999992</v>
      </c>
      <c r="G20" s="19">
        <v>55861.390037599995</v>
      </c>
      <c r="H20" s="19">
        <v>58692.857260915989</v>
      </c>
      <c r="I20" s="19">
        <v>63038.584948776319</v>
      </c>
      <c r="J20" s="13"/>
      <c r="K20" s="13"/>
      <c r="O20" s="7"/>
    </row>
    <row r="21" spans="1:15" ht="16.5">
      <c r="A21" s="7"/>
      <c r="B21" s="13" t="s">
        <v>31</v>
      </c>
      <c r="C21" s="13"/>
      <c r="D21" s="13"/>
      <c r="E21" s="40">
        <f>E20*$D$4</f>
        <v>11953.614000000001</v>
      </c>
      <c r="F21" s="40">
        <f>F20*$D$4</f>
        <v>12773.713354999998</v>
      </c>
      <c r="G21" s="40">
        <f>G20*$D$4</f>
        <v>13965.347509399999</v>
      </c>
      <c r="H21" s="40">
        <f>H20*$D$4</f>
        <v>14673.214315228997</v>
      </c>
      <c r="I21" s="40">
        <f>I20*$D$4</f>
        <v>15759.64623719408</v>
      </c>
      <c r="J21" s="13"/>
      <c r="K21" s="13"/>
      <c r="O21" s="7"/>
    </row>
    <row r="22" spans="1:15" ht="16.5">
      <c r="A22" s="7"/>
      <c r="B22" s="13" t="s">
        <v>32</v>
      </c>
      <c r="C22" s="13"/>
      <c r="D22" s="13"/>
      <c r="E22" s="44">
        <v>15008.420000000002</v>
      </c>
      <c r="F22" s="44">
        <v>15005.052000000003</v>
      </c>
      <c r="G22" s="44">
        <v>15003.031200000001</v>
      </c>
      <c r="H22" s="44">
        <v>15001.818719999999</v>
      </c>
      <c r="I22" s="44">
        <v>15001.091232000001</v>
      </c>
      <c r="J22" s="13"/>
      <c r="K22" s="13"/>
      <c r="O22" s="7"/>
    </row>
    <row r="23" spans="1:15" ht="16.5">
      <c r="A23" s="7"/>
      <c r="B23" s="13" t="s">
        <v>33</v>
      </c>
      <c r="C23" s="13"/>
      <c r="D23" s="13"/>
      <c r="E23" s="21">
        <f>$D$14</f>
        <v>15000</v>
      </c>
      <c r="F23" s="21">
        <f t="shared" ref="F23:I23" si="2">$D$14</f>
        <v>15000</v>
      </c>
      <c r="G23" s="21">
        <f t="shared" si="2"/>
        <v>15000</v>
      </c>
      <c r="H23" s="21">
        <f t="shared" si="2"/>
        <v>15000</v>
      </c>
      <c r="I23" s="21">
        <f t="shared" si="2"/>
        <v>15000</v>
      </c>
      <c r="J23" s="13"/>
      <c r="K23" s="13"/>
      <c r="O23" s="7"/>
    </row>
    <row r="24" spans="1:15" ht="16.5">
      <c r="A24" s="7"/>
      <c r="B24" s="13" t="s">
        <v>34</v>
      </c>
      <c r="C24" s="13"/>
      <c r="D24" s="13"/>
      <c r="E24" s="15">
        <v>375</v>
      </c>
      <c r="F24" s="15">
        <v>611</v>
      </c>
      <c r="G24" s="15">
        <v>398</v>
      </c>
      <c r="H24" s="15">
        <v>511</v>
      </c>
      <c r="I24" s="15">
        <v>272</v>
      </c>
      <c r="J24" s="13"/>
      <c r="K24" s="13"/>
      <c r="O24" s="7"/>
    </row>
    <row r="25" spans="1:15" ht="16.5">
      <c r="A25" s="7"/>
      <c r="B25" s="13" t="s">
        <v>35</v>
      </c>
      <c r="C25" s="13"/>
      <c r="D25" s="13"/>
      <c r="E25" s="43">
        <f>E20-E21+E22-E23-E24</f>
        <v>35494.262000000002</v>
      </c>
      <c r="F25" s="43">
        <f>F20-F21+F22-F23-F24</f>
        <v>37715.192064999996</v>
      </c>
      <c r="G25" s="43">
        <f>G20-G21+G22-G23-G24</f>
        <v>41501.07372819999</v>
      </c>
      <c r="H25" s="43">
        <f>H20-H21+H22-H23-H24</f>
        <v>43510.461665686991</v>
      </c>
      <c r="I25" s="43">
        <f>I20-I21+I22-I23-I24</f>
        <v>47008.029943582238</v>
      </c>
      <c r="J25" s="13"/>
      <c r="K25" s="13"/>
      <c r="O25" s="7"/>
    </row>
    <row r="26" spans="1:15" ht="16.5">
      <c r="A26" s="7"/>
      <c r="B26" s="13" t="s">
        <v>36</v>
      </c>
      <c r="C26" s="13"/>
      <c r="D26" s="45">
        <f>-I34</f>
        <v>-60000</v>
      </c>
      <c r="E26" s="13"/>
      <c r="F26" s="13"/>
      <c r="G26" s="13"/>
      <c r="H26" s="13"/>
      <c r="I26" s="13"/>
      <c r="J26" s="45">
        <f>N6</f>
        <v>427460.04859889945</v>
      </c>
      <c r="K26" s="13"/>
      <c r="O26" s="7"/>
    </row>
    <row r="27" spans="1:15" ht="16.5">
      <c r="A27" s="7"/>
      <c r="B27" s="13" t="s">
        <v>37</v>
      </c>
      <c r="C27" s="13"/>
      <c r="D27" s="43">
        <v>0</v>
      </c>
      <c r="E27" s="43">
        <f>(E26+E25)*E19</f>
        <v>17747.131000000001</v>
      </c>
      <c r="F27" s="43">
        <f t="shared" ref="F27:I28" si="3">(F26+F25)*F19</f>
        <v>37715.192064999996</v>
      </c>
      <c r="G27" s="43">
        <f t="shared" si="3"/>
        <v>41501.07372819999</v>
      </c>
      <c r="H27" s="43">
        <f t="shared" si="3"/>
        <v>43510.461665686991</v>
      </c>
      <c r="I27" s="43">
        <f t="shared" si="3"/>
        <v>47008.029943582238</v>
      </c>
      <c r="J27" s="43">
        <f t="shared" ref="J27:J28" si="4">J26+J25</f>
        <v>427460.04859889945</v>
      </c>
      <c r="K27" s="13"/>
      <c r="O27" s="7"/>
    </row>
    <row r="28" spans="1:15" ht="16.5">
      <c r="A28" s="7"/>
      <c r="B28" s="13" t="s">
        <v>37</v>
      </c>
      <c r="C28" s="13"/>
      <c r="D28" s="33">
        <f>D26+D25</f>
        <v>-60000</v>
      </c>
      <c r="E28" s="33">
        <f>(E26+E25)*E19</f>
        <v>17747.131000000001</v>
      </c>
      <c r="F28" s="33">
        <f t="shared" ref="F28:I28" si="5">(F26+F25)*F19</f>
        <v>37715.192064999996</v>
      </c>
      <c r="G28" s="33">
        <f t="shared" si="5"/>
        <v>41501.07372819999</v>
      </c>
      <c r="H28" s="33">
        <f t="shared" si="5"/>
        <v>43510.461665686991</v>
      </c>
      <c r="I28" s="33">
        <f t="shared" si="5"/>
        <v>47008.029943582238</v>
      </c>
      <c r="J28" s="33">
        <f>J26</f>
        <v>427460.04859889945</v>
      </c>
      <c r="K28" s="13"/>
      <c r="O28" s="7"/>
    </row>
    <row r="29" spans="1:15" ht="16.5">
      <c r="A29" s="7"/>
      <c r="B29" s="13"/>
      <c r="C29" s="13"/>
      <c r="D29" s="14"/>
      <c r="E29" s="13"/>
      <c r="F29" s="28"/>
      <c r="G29" s="13"/>
      <c r="H29" s="13"/>
      <c r="I29" s="13"/>
      <c r="J29" s="13"/>
      <c r="K29" s="28"/>
      <c r="O29" s="7"/>
    </row>
    <row r="30" spans="1:15" ht="16.5">
      <c r="A30" s="7"/>
      <c r="B30" s="29" t="s">
        <v>27</v>
      </c>
      <c r="C30" s="30"/>
      <c r="D30" s="30"/>
      <c r="E30" s="13"/>
      <c r="F30" s="28"/>
      <c r="G30" s="29" t="s">
        <v>21</v>
      </c>
      <c r="H30" s="30"/>
      <c r="I30" s="30"/>
      <c r="J30" s="13"/>
      <c r="K30" s="28"/>
      <c r="O30" s="7"/>
    </row>
    <row r="31" spans="1:15" ht="16.5">
      <c r="A31" s="7"/>
      <c r="B31" s="33" t="s">
        <v>38</v>
      </c>
      <c r="C31" s="33"/>
      <c r="D31" s="33">
        <f>XNPV(D5,D27:J27,D17:J17)</f>
        <v>315945.17449386296</v>
      </c>
      <c r="E31" s="13"/>
      <c r="F31" s="28"/>
      <c r="G31" s="33" t="s">
        <v>39</v>
      </c>
      <c r="H31" s="33"/>
      <c r="I31" s="33">
        <f>D11*D10</f>
        <v>500000</v>
      </c>
      <c r="J31" s="13"/>
      <c r="K31" s="28"/>
      <c r="O31" s="7"/>
    </row>
    <row r="32" spans="1:15" ht="16.5">
      <c r="A32" s="7"/>
      <c r="B32" s="13" t="s">
        <v>40</v>
      </c>
      <c r="C32" s="13"/>
      <c r="D32" s="13">
        <f>+D13</f>
        <v>500000</v>
      </c>
      <c r="E32" s="13"/>
      <c r="F32" s="28"/>
      <c r="G32" s="13" t="s">
        <v>41</v>
      </c>
      <c r="H32" s="13"/>
      <c r="I32" s="13">
        <f>D12</f>
        <v>60000</v>
      </c>
      <c r="J32" s="13"/>
      <c r="K32" s="28"/>
      <c r="O32" s="7"/>
    </row>
    <row r="33" spans="1:15" ht="16.5">
      <c r="A33" s="7"/>
      <c r="B33" s="13" t="s">
        <v>42</v>
      </c>
      <c r="C33" s="13"/>
      <c r="D33" s="13">
        <f>+D12</f>
        <v>60000</v>
      </c>
      <c r="E33" s="13"/>
      <c r="F33" s="28"/>
      <c r="G33" s="13" t="s">
        <v>43</v>
      </c>
      <c r="H33" s="13"/>
      <c r="I33" s="13">
        <f>+D13</f>
        <v>500000</v>
      </c>
      <c r="J33" s="13"/>
      <c r="K33" s="28"/>
      <c r="L33" s="13"/>
      <c r="M33" s="13"/>
      <c r="N33" s="13"/>
      <c r="O33" s="7"/>
    </row>
    <row r="34" spans="1:15" ht="16.5">
      <c r="A34" s="7"/>
      <c r="B34" s="13" t="s">
        <v>44</v>
      </c>
      <c r="C34" s="13"/>
      <c r="D34" s="43">
        <f>D31+D32-D33</f>
        <v>755945.17449386301</v>
      </c>
      <c r="E34" s="13"/>
      <c r="F34" s="28"/>
      <c r="G34" s="13" t="s">
        <v>38</v>
      </c>
      <c r="H34" s="13"/>
      <c r="I34" s="43">
        <f>I31+I32-I33</f>
        <v>60000</v>
      </c>
      <c r="J34" s="13"/>
      <c r="K34" s="28"/>
      <c r="O34" s="7"/>
    </row>
    <row r="35" spans="1:15" ht="16.5">
      <c r="A35" s="7"/>
      <c r="B35" s="13"/>
      <c r="C35" s="13"/>
      <c r="D35" s="13"/>
      <c r="E35" s="13"/>
      <c r="F35" s="28"/>
      <c r="G35" s="13"/>
      <c r="H35" s="13"/>
      <c r="I35" s="48"/>
      <c r="J35" s="13"/>
      <c r="K35" s="28"/>
      <c r="O35" s="7"/>
    </row>
    <row r="36" spans="1:15" ht="16.5">
      <c r="A36" s="7"/>
      <c r="B36" s="13" t="s">
        <v>45</v>
      </c>
      <c r="C36" s="13"/>
      <c r="D36" s="48">
        <f>D34/D11</f>
        <v>37.797258724693151</v>
      </c>
      <c r="E36" s="13"/>
      <c r="F36" s="28"/>
      <c r="G36" s="13" t="s">
        <v>45</v>
      </c>
      <c r="H36" s="13"/>
      <c r="I36" s="48">
        <f>D10</f>
        <v>25</v>
      </c>
      <c r="J36" s="13"/>
      <c r="K36" s="28"/>
      <c r="O36" s="7"/>
    </row>
    <row r="37" spans="1:15" ht="16.5">
      <c r="A37" s="7"/>
      <c r="B37" s="13"/>
      <c r="C37" s="13"/>
      <c r="D37" s="13"/>
      <c r="E37" s="13"/>
      <c r="F37" s="28"/>
      <c r="G37" s="13"/>
      <c r="H37" s="13"/>
      <c r="I37" s="13"/>
      <c r="J37" s="13"/>
      <c r="K37" s="28"/>
      <c r="O37" s="7"/>
    </row>
    <row r="38" spans="1:15" ht="16.5">
      <c r="A38" s="7"/>
      <c r="B38" s="28"/>
      <c r="C38" s="13"/>
      <c r="D38" s="14"/>
      <c r="E38" s="13"/>
      <c r="F38" s="28"/>
      <c r="G38" s="13"/>
      <c r="H38" s="13"/>
      <c r="I38" s="12"/>
      <c r="J38" s="13"/>
      <c r="K38" s="28"/>
      <c r="L38" s="13"/>
      <c r="M38" s="13"/>
      <c r="N38" s="13"/>
      <c r="O38" s="7"/>
    </row>
    <row r="39" spans="1:15" ht="16.5">
      <c r="A39" s="7"/>
      <c r="B39" s="28"/>
      <c r="C39" s="13"/>
      <c r="D39" s="14"/>
      <c r="E39" s="13"/>
      <c r="F39" s="13"/>
      <c r="G39" s="13"/>
      <c r="H39" s="12"/>
      <c r="I39" s="13"/>
      <c r="J39" s="28"/>
      <c r="K39" s="13"/>
      <c r="L39" s="13"/>
      <c r="M39" s="13"/>
      <c r="N39" s="13"/>
      <c r="O39" s="7"/>
    </row>
    <row r="40" spans="1:15" ht="16.5">
      <c r="A40" s="7"/>
      <c r="B40" s="60"/>
      <c r="C40" s="45"/>
      <c r="D40" s="61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7"/>
    </row>
    <row r="41" spans="1:15" ht="16.5">
      <c r="A41" s="7"/>
      <c r="B41" s="13"/>
      <c r="C41" s="13"/>
      <c r="D41" s="14"/>
      <c r="E41" s="13"/>
      <c r="F41" s="13"/>
      <c r="G41" s="13"/>
      <c r="H41" s="13"/>
      <c r="I41" s="28"/>
      <c r="J41" s="28"/>
      <c r="K41" s="28"/>
      <c r="L41" s="28"/>
      <c r="M41" s="28"/>
      <c r="N41" s="49"/>
      <c r="O41" s="7"/>
    </row>
    <row r="42" spans="1:15" ht="16.5">
      <c r="A42" s="7"/>
      <c r="B42" s="13"/>
      <c r="C42" s="13"/>
      <c r="D42" s="14"/>
      <c r="E42" s="13"/>
      <c r="F42" s="13"/>
      <c r="G42" s="13"/>
      <c r="H42" s="13"/>
      <c r="I42" s="28"/>
      <c r="J42" s="28"/>
      <c r="K42" s="28"/>
      <c r="L42" s="28"/>
      <c r="M42" s="28"/>
      <c r="N42" s="50"/>
      <c r="O42" s="7"/>
    </row>
    <row r="43" spans="1:15" ht="16.5">
      <c r="A43" s="7"/>
      <c r="B43" s="51"/>
      <c r="C43" s="13"/>
      <c r="D43" s="14"/>
      <c r="E43" s="13"/>
      <c r="F43" s="13"/>
      <c r="G43" s="13"/>
      <c r="H43" s="13"/>
      <c r="I43" s="28"/>
      <c r="J43" s="28"/>
      <c r="K43" s="28"/>
      <c r="L43" s="28"/>
      <c r="M43" s="28"/>
      <c r="N43" s="50"/>
      <c r="O43" s="7"/>
    </row>
    <row r="44" spans="1:15" ht="16.5">
      <c r="A44" s="7"/>
      <c r="B44" s="51"/>
      <c r="C44" s="13"/>
      <c r="D44" s="14"/>
      <c r="E44" s="13"/>
      <c r="F44" s="13"/>
      <c r="G44" s="13"/>
      <c r="H44" s="13"/>
      <c r="I44" s="28"/>
      <c r="J44" s="28"/>
      <c r="K44" s="28"/>
      <c r="L44" s="28"/>
      <c r="M44" s="28"/>
      <c r="N44" s="50"/>
      <c r="O44" s="7"/>
    </row>
    <row r="45" spans="1:15" ht="16.5">
      <c r="A45" s="7"/>
      <c r="B45" s="51"/>
      <c r="C45" s="13"/>
      <c r="D45" s="14"/>
      <c r="E45" s="13"/>
      <c r="F45" s="13"/>
      <c r="G45" s="13"/>
      <c r="H45" s="13"/>
      <c r="I45" s="28"/>
      <c r="J45" s="28"/>
      <c r="K45" s="28"/>
      <c r="L45" s="28"/>
      <c r="M45" s="28"/>
      <c r="N45" s="50"/>
      <c r="O45" s="7"/>
    </row>
    <row r="46" spans="1:15" ht="15.95">
      <c r="A46" s="7"/>
      <c r="B46" s="7"/>
      <c r="C46" s="7"/>
      <c r="D46" s="8"/>
      <c r="E46" s="7"/>
      <c r="F46" s="7"/>
      <c r="G46" s="7"/>
      <c r="H46" s="7"/>
      <c r="N46" s="9"/>
      <c r="O46" s="7"/>
    </row>
    <row r="47" spans="1:15" ht="15.95">
      <c r="A47" s="7"/>
      <c r="B47" s="7"/>
      <c r="C47" s="7"/>
      <c r="D47" s="8"/>
      <c r="E47" s="7"/>
      <c r="F47" s="7"/>
      <c r="G47" s="7"/>
      <c r="H47" s="7"/>
      <c r="N47" s="10"/>
      <c r="O47" s="7"/>
    </row>
    <row r="48" spans="1:15" ht="15.95">
      <c r="A48" s="7"/>
      <c r="B48" s="7"/>
      <c r="C48" s="7"/>
      <c r="D48" s="8"/>
      <c r="E48" s="7"/>
      <c r="F48" s="7"/>
      <c r="G48" s="7"/>
      <c r="H48" s="7"/>
      <c r="N48" s="11"/>
      <c r="O48" s="7"/>
    </row>
    <row r="49" spans="1:15" ht="15.95">
      <c r="A49" s="7"/>
      <c r="B49" s="7"/>
      <c r="C49" s="7"/>
      <c r="D49" s="8"/>
      <c r="E49" s="7"/>
      <c r="F49" s="7"/>
      <c r="G49" s="7"/>
      <c r="H49" s="7"/>
      <c r="O49" s="7"/>
    </row>
    <row r="50" spans="1:15" ht="15.95">
      <c r="A50" s="7"/>
      <c r="B50" s="7"/>
      <c r="C50" s="7"/>
      <c r="D50" s="8"/>
      <c r="E50" s="7"/>
      <c r="F50" s="7"/>
      <c r="G50" s="7"/>
      <c r="H50" s="7"/>
      <c r="M50" s="7"/>
      <c r="O50" s="7"/>
    </row>
    <row r="51" spans="1:15" ht="15.95">
      <c r="A51" s="7"/>
      <c r="B51" s="7"/>
      <c r="C51" s="7"/>
      <c r="D51" s="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ht="15.95">
      <c r="A52" s="7"/>
      <c r="B52" s="7"/>
      <c r="C52" s="7"/>
      <c r="D52" s="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ht="15.95">
      <c r="A53" s="7"/>
      <c r="B53" s="7"/>
      <c r="C53" s="7"/>
      <c r="D53" s="8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ht="15.95">
      <c r="A54" s="7"/>
      <c r="B54" s="7"/>
      <c r="C54" s="7"/>
      <c r="D54" s="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ht="15.95">
      <c r="A55" s="7"/>
      <c r="B55" s="7"/>
      <c r="C55" s="7"/>
      <c r="D55" s="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ht="15.95">
      <c r="A56" s="7"/>
      <c r="B56" s="7"/>
      <c r="C56" s="7"/>
      <c r="D56" s="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ht="15.95">
      <c r="A57" s="7"/>
      <c r="B57" s="7"/>
      <c r="C57" s="7"/>
      <c r="D57" s="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ht="15.95">
      <c r="A58" s="7"/>
      <c r="B58" s="7"/>
      <c r="C58" s="7"/>
      <c r="D58" s="8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ht="15.95">
      <c r="A59" s="7"/>
      <c r="B59" s="7"/>
      <c r="C59" s="7"/>
      <c r="D59" s="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ht="15.95">
      <c r="B60" s="7"/>
      <c r="C60" s="7"/>
      <c r="D60" s="8"/>
      <c r="E60" s="7"/>
      <c r="F60" s="7"/>
      <c r="G60" s="7"/>
      <c r="H60" s="7"/>
      <c r="I60" s="7"/>
      <c r="J60" s="7"/>
      <c r="K60" s="7"/>
      <c r="L60" s="7"/>
    </row>
    <row r="61" spans="1:15" ht="15.75"/>
  </sheetData>
  <pageMargins left="0.70866141732283472" right="0.70866141732283472" top="0.74803149606299213" bottom="0.74803149606299213" header="0.31496062992125984" footer="0.31496062992125984"/>
  <pageSetup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00350-9759-4B82-BE34-8976C5A4867B}">
  <dimension ref="B2:C15"/>
  <sheetViews>
    <sheetView workbookViewId="0">
      <selection activeCell="C15" sqref="C15"/>
    </sheetView>
  </sheetViews>
  <sheetFormatPr defaultRowHeight="15"/>
  <cols>
    <col min="2" max="2" width="16.7109375" customWidth="1"/>
    <col min="3" max="3" width="21.28515625" customWidth="1"/>
  </cols>
  <sheetData>
    <row r="2" spans="2:3" ht="15.75">
      <c r="B2" s="63" t="s">
        <v>46</v>
      </c>
      <c r="C2" s="64"/>
    </row>
    <row r="4" spans="2:3" ht="15.75">
      <c r="B4" s="52" t="s">
        <v>47</v>
      </c>
      <c r="C4" s="53">
        <f>DCF_Model!D10*DCF_Model!D11</f>
        <v>500000</v>
      </c>
    </row>
    <row r="5" spans="2:3" ht="15.75">
      <c r="B5" s="52" t="s">
        <v>48</v>
      </c>
      <c r="C5" s="53">
        <v>300000</v>
      </c>
    </row>
    <row r="6" spans="2:3" ht="15.75">
      <c r="B6" s="52" t="s">
        <v>49</v>
      </c>
      <c r="C6" s="54">
        <v>0.1</v>
      </c>
    </row>
    <row r="7" spans="2:3" ht="15.75">
      <c r="B7" s="52" t="s">
        <v>50</v>
      </c>
      <c r="C7" s="54">
        <f>DCF_Model!D4</f>
        <v>0.25</v>
      </c>
    </row>
    <row r="8" spans="2:3" ht="15.75">
      <c r="B8" s="52" t="s">
        <v>51</v>
      </c>
      <c r="C8" s="54">
        <v>0.02</v>
      </c>
    </row>
    <row r="9" spans="2:3" ht="15.75">
      <c r="B9" s="52" t="s">
        <v>52</v>
      </c>
      <c r="C9" s="53">
        <v>1.3</v>
      </c>
    </row>
    <row r="10" spans="2:3" ht="15.75">
      <c r="B10" s="52" t="s">
        <v>53</v>
      </c>
      <c r="C10" s="54">
        <v>0.2</v>
      </c>
    </row>
    <row r="11" spans="2:3" ht="15.75">
      <c r="B11" s="55" t="s">
        <v>54</v>
      </c>
      <c r="C11" s="56">
        <f>C8+C9*(C10-C8)</f>
        <v>0.25400000000000006</v>
      </c>
    </row>
    <row r="13" spans="2:3" ht="15.75">
      <c r="B13" s="52" t="s">
        <v>55</v>
      </c>
      <c r="C13" s="57">
        <f>C4/(C4+C5)</f>
        <v>0.625</v>
      </c>
    </row>
    <row r="14" spans="2:3" ht="15.75">
      <c r="B14" s="52" t="s">
        <v>56</v>
      </c>
      <c r="C14" s="57">
        <f>C5/(C4+C5)</f>
        <v>0.375</v>
      </c>
    </row>
    <row r="15" spans="2:3" ht="15.75">
      <c r="B15" s="58" t="s">
        <v>57</v>
      </c>
      <c r="C15" s="59">
        <f>C13*C11+C14*C6*(1-C7)</f>
        <v>0.18687500000000004</v>
      </c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Vipond</dc:creator>
  <cp:keywords/>
  <dc:description/>
  <cp:lastModifiedBy/>
  <cp:revision/>
  <dcterms:created xsi:type="dcterms:W3CDTF">2014-11-08T22:00:02Z</dcterms:created>
  <dcterms:modified xsi:type="dcterms:W3CDTF">2023-08-30T10:07:21Z</dcterms:modified>
  <cp:category/>
  <cp:contentStatus/>
</cp:coreProperties>
</file>