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shu Tiwari\Desktop\"/>
    </mc:Choice>
  </mc:AlternateContent>
  <xr:revisionPtr revIDLastSave="0" documentId="8_{E7DCB88A-6907-477F-A7CF-BF217C776505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FINANCIALS" sheetId="9" r:id="rId6"/>
    <sheet name="HISTORICALFS" sheetId="8" r:id="rId7"/>
    <sheet name="DATA&gt;" sheetId="7" r:id="rId8"/>
    <sheet name="CASH FLOW DATA" sheetId="10" r:id="rId9"/>
    <sheet name="Data Sheet" sheetId="6" r:id="rId10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7" i="7" l="1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L75" i="7"/>
  <c r="K75" i="7"/>
  <c r="J75" i="7"/>
  <c r="I75" i="7"/>
  <c r="H75" i="7"/>
  <c r="G75" i="7"/>
  <c r="F75" i="7"/>
  <c r="E75" i="7"/>
  <c r="D75" i="7"/>
  <c r="C75" i="7"/>
  <c r="L74" i="7"/>
  <c r="K74" i="7"/>
  <c r="K78" i="7" s="1"/>
  <c r="K105" i="7" s="1"/>
  <c r="J74" i="7"/>
  <c r="I74" i="7"/>
  <c r="H74" i="7"/>
  <c r="G74" i="7"/>
  <c r="F74" i="7"/>
  <c r="E74" i="7"/>
  <c r="D74" i="7"/>
  <c r="C74" i="7"/>
  <c r="L73" i="7"/>
  <c r="K73" i="7"/>
  <c r="J73" i="7"/>
  <c r="I73" i="7"/>
  <c r="H73" i="7"/>
  <c r="G73" i="7"/>
  <c r="F73" i="7"/>
  <c r="E73" i="7"/>
  <c r="E78" i="7" s="1"/>
  <c r="E105" i="7" s="1"/>
  <c r="D73" i="7"/>
  <c r="C73" i="7"/>
  <c r="L72" i="7"/>
  <c r="K72" i="7"/>
  <c r="J72" i="7"/>
  <c r="I72" i="7"/>
  <c r="H72" i="7"/>
  <c r="G72" i="7"/>
  <c r="F72" i="7"/>
  <c r="F78" i="7" s="1"/>
  <c r="F105" i="7" s="1"/>
  <c r="E72" i="7"/>
  <c r="D72" i="7"/>
  <c r="C72" i="7"/>
  <c r="L71" i="7"/>
  <c r="K71" i="7"/>
  <c r="J71" i="7"/>
  <c r="J78" i="7" s="1"/>
  <c r="J105" i="7" s="1"/>
  <c r="I71" i="7"/>
  <c r="H71" i="7"/>
  <c r="G71" i="7"/>
  <c r="F71" i="7"/>
  <c r="E71" i="7"/>
  <c r="D71" i="7"/>
  <c r="C71" i="7"/>
  <c r="L70" i="7"/>
  <c r="K70" i="7"/>
  <c r="J70" i="7"/>
  <c r="I70" i="7"/>
  <c r="I78" i="7" s="1"/>
  <c r="I105" i="7" s="1"/>
  <c r="H70" i="7"/>
  <c r="G70" i="7"/>
  <c r="G78" i="7" s="1"/>
  <c r="G105" i="7" s="1"/>
  <c r="F70" i="7"/>
  <c r="E70" i="7"/>
  <c r="D70" i="7"/>
  <c r="C70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L97" i="7"/>
  <c r="K97" i="7"/>
  <c r="J97" i="7"/>
  <c r="I97" i="7"/>
  <c r="H97" i="7"/>
  <c r="G97" i="7"/>
  <c r="F97" i="7"/>
  <c r="E97" i="7"/>
  <c r="D97" i="7"/>
  <c r="C97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L86" i="7"/>
  <c r="K86" i="7"/>
  <c r="J86" i="7"/>
  <c r="I86" i="7"/>
  <c r="H86" i="7"/>
  <c r="G86" i="7"/>
  <c r="F86" i="7"/>
  <c r="E86" i="7"/>
  <c r="D86" i="7"/>
  <c r="C86" i="7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L81" i="7"/>
  <c r="K81" i="7"/>
  <c r="J81" i="7"/>
  <c r="I81" i="7"/>
  <c r="H81" i="7"/>
  <c r="G81" i="7"/>
  <c r="F81" i="7"/>
  <c r="E81" i="7"/>
  <c r="D81" i="7"/>
  <c r="C81" i="7"/>
  <c r="L78" i="7"/>
  <c r="L105" i="7" s="1"/>
  <c r="H78" i="7"/>
  <c r="H105" i="7" s="1"/>
  <c r="D78" i="7"/>
  <c r="D105" i="7" s="1"/>
  <c r="C78" i="7"/>
  <c r="C105" i="7" s="1"/>
  <c r="L65" i="7"/>
  <c r="K65" i="7"/>
  <c r="J65" i="7"/>
  <c r="I65" i="7"/>
  <c r="H65" i="7"/>
  <c r="G65" i="7"/>
  <c r="F65" i="7"/>
  <c r="E65" i="7"/>
  <c r="D65" i="7"/>
  <c r="C65" i="7"/>
  <c r="L56" i="7"/>
  <c r="K56" i="7"/>
  <c r="J56" i="7"/>
  <c r="I56" i="7"/>
  <c r="H56" i="7"/>
  <c r="H63" i="7" s="1"/>
  <c r="G56" i="7"/>
  <c r="G63" i="7" s="1"/>
  <c r="F56" i="7"/>
  <c r="F63" i="7" s="1"/>
  <c r="E56" i="7"/>
  <c r="E63" i="7" s="1"/>
  <c r="D56" i="7"/>
  <c r="C56" i="7"/>
  <c r="C63" i="7" s="1"/>
  <c r="L55" i="7"/>
  <c r="K55" i="7"/>
  <c r="J55" i="7"/>
  <c r="I55" i="7"/>
  <c r="H55" i="7"/>
  <c r="G55" i="7"/>
  <c r="F55" i="7"/>
  <c r="E55" i="7"/>
  <c r="D55" i="7"/>
  <c r="C55" i="7"/>
  <c r="L63" i="7"/>
  <c r="K63" i="7"/>
  <c r="J63" i="7"/>
  <c r="I63" i="7"/>
  <c r="D63" i="7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M34" i="7"/>
  <c r="M39" i="7" s="1"/>
  <c r="L34" i="7"/>
  <c r="L39" i="7" s="1"/>
  <c r="K34" i="7"/>
  <c r="K39" i="7" s="1"/>
  <c r="J34" i="7"/>
  <c r="J39" i="7" s="1"/>
  <c r="I34" i="7"/>
  <c r="I39" i="7" s="1"/>
  <c r="H34" i="7"/>
  <c r="H39" i="7" s="1"/>
  <c r="G34" i="7"/>
  <c r="G39" i="7" s="1"/>
  <c r="F34" i="7"/>
  <c r="F39" i="7" s="1"/>
  <c r="E34" i="7"/>
  <c r="E39" i="7" s="1"/>
  <c r="D34" i="7"/>
  <c r="D39" i="7" s="1"/>
  <c r="C34" i="7"/>
  <c r="C39" i="7" s="1"/>
  <c r="M28" i="7"/>
  <c r="L28" i="7"/>
  <c r="K28" i="7"/>
  <c r="J28" i="7"/>
  <c r="I28" i="7"/>
  <c r="H28" i="7"/>
  <c r="G28" i="7"/>
  <c r="F28" i="7"/>
  <c r="E28" i="7"/>
  <c r="D28" i="7"/>
  <c r="C28" i="7"/>
  <c r="M22" i="7"/>
  <c r="L22" i="7"/>
  <c r="L23" i="7" s="1"/>
  <c r="K22" i="7"/>
  <c r="J22" i="7"/>
  <c r="I22" i="7"/>
  <c r="H22" i="7"/>
  <c r="G22" i="7"/>
  <c r="F22" i="7"/>
  <c r="E22" i="7"/>
  <c r="D22" i="7"/>
  <c r="D23" i="7" s="1"/>
  <c r="C22" i="7"/>
  <c r="M19" i="7"/>
  <c r="L19" i="7"/>
  <c r="K19" i="7"/>
  <c r="J19" i="7"/>
  <c r="I19" i="7"/>
  <c r="H19" i="7"/>
  <c r="H20" i="7" s="1"/>
  <c r="G19" i="7"/>
  <c r="G20" i="7" s="1"/>
  <c r="F19" i="7"/>
  <c r="E19" i="7"/>
  <c r="D19" i="7"/>
  <c r="C19" i="7"/>
  <c r="M13" i="7"/>
  <c r="L13" i="7"/>
  <c r="K13" i="7"/>
  <c r="K14" i="7" s="1"/>
  <c r="J13" i="7"/>
  <c r="I13" i="7"/>
  <c r="H13" i="7"/>
  <c r="G13" i="7"/>
  <c r="F13" i="7"/>
  <c r="E13" i="7"/>
  <c r="D13" i="7"/>
  <c r="M9" i="7"/>
  <c r="C13" i="7"/>
  <c r="M8" i="7"/>
  <c r="L8" i="7"/>
  <c r="K8" i="7"/>
  <c r="J8" i="7"/>
  <c r="I8" i="7"/>
  <c r="H8" i="7"/>
  <c r="G8" i="7"/>
  <c r="F8" i="7"/>
  <c r="E8" i="7"/>
  <c r="D8" i="7"/>
  <c r="C8" i="7"/>
  <c r="M5" i="7"/>
  <c r="L5" i="7"/>
  <c r="L6" i="7" s="1"/>
  <c r="K5" i="7"/>
  <c r="K20" i="7" s="1"/>
  <c r="J5" i="7"/>
  <c r="I5" i="7"/>
  <c r="I11" i="7" s="1"/>
  <c r="H5" i="7"/>
  <c r="H11" i="7" s="1"/>
  <c r="G5" i="7"/>
  <c r="F5" i="7"/>
  <c r="E5" i="7"/>
  <c r="D5" i="7"/>
  <c r="D6" i="7" s="1"/>
  <c r="C5" i="7"/>
  <c r="C20" i="7" s="1"/>
  <c r="K3" i="7"/>
  <c r="L3" i="7"/>
  <c r="I3" i="7"/>
  <c r="J3" i="7"/>
  <c r="G3" i="7"/>
  <c r="H3" i="7"/>
  <c r="E3" i="7"/>
  <c r="F3" i="7"/>
  <c r="D3" i="7"/>
  <c r="C3" i="7"/>
  <c r="B2" i="7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F24" i="2" s="1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H23" i="2" s="1"/>
  <c r="K5" i="2"/>
  <c r="K23" i="2" s="1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H16" i="2" s="1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D16" i="2" s="1"/>
  <c r="E13" i="2"/>
  <c r="F13" i="2"/>
  <c r="G13" i="2"/>
  <c r="H13" i="2"/>
  <c r="I13" i="2"/>
  <c r="J13" i="2"/>
  <c r="J16" i="2" s="1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L4" i="1" s="1"/>
  <c r="L23" i="1" s="1"/>
  <c r="K4" i="3"/>
  <c r="K14" i="3" s="1"/>
  <c r="C5" i="3"/>
  <c r="D5" i="3"/>
  <c r="E5" i="3"/>
  <c r="F5" i="3"/>
  <c r="G5" i="3"/>
  <c r="H5" i="3"/>
  <c r="I5" i="3"/>
  <c r="L5" i="1" s="1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L10" i="1" s="1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21" i="2" s="1"/>
  <c r="F4" i="1"/>
  <c r="F20" i="2" s="1"/>
  <c r="G4" i="1"/>
  <c r="G6" i="1" s="1"/>
  <c r="G19" i="1" s="1"/>
  <c r="H4" i="1"/>
  <c r="H21" i="2" s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F14" i="1" s="1"/>
  <c r="G12" i="1"/>
  <c r="G13" i="1" s="1"/>
  <c r="H12" i="1"/>
  <c r="I12" i="1"/>
  <c r="I13" i="1" s="1"/>
  <c r="J12" i="1"/>
  <c r="J13" i="1" s="1"/>
  <c r="J14" i="1" s="1"/>
  <c r="K12" i="1"/>
  <c r="K13" i="1" s="1"/>
  <c r="K14" i="1" s="1"/>
  <c r="C15" i="1"/>
  <c r="D15" i="1"/>
  <c r="E15" i="1"/>
  <c r="F15" i="1"/>
  <c r="G15" i="1"/>
  <c r="G14" i="1" s="1"/>
  <c r="H15" i="1"/>
  <c r="I15" i="1"/>
  <c r="J15" i="1"/>
  <c r="K15" i="1"/>
  <c r="B15" i="1"/>
  <c r="H13" i="1"/>
  <c r="B7" i="1"/>
  <c r="B4" i="1"/>
  <c r="B20" i="2" s="1"/>
  <c r="A1" i="1"/>
  <c r="A1" i="3" s="1"/>
  <c r="E1" i="6"/>
  <c r="H1" i="1" s="1"/>
  <c r="F23" i="2"/>
  <c r="C23" i="2"/>
  <c r="C16" i="2"/>
  <c r="G23" i="2"/>
  <c r="F16" i="2"/>
  <c r="D23" i="2"/>
  <c r="I6" i="1"/>
  <c r="I19" i="1" s="1"/>
  <c r="J6" i="1"/>
  <c r="J19" i="1" s="1"/>
  <c r="K6" i="1"/>
  <c r="K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G21" i="2"/>
  <c r="F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K20" i="2"/>
  <c r="D20" i="2"/>
  <c r="J20" i="2"/>
  <c r="C20" i="2"/>
  <c r="E20" i="2"/>
  <c r="L12" i="1"/>
  <c r="L13" i="1" s="1"/>
  <c r="L14" i="1" s="1"/>
  <c r="L25" i="1" s="1"/>
  <c r="L11" i="1"/>
  <c r="L6" i="1"/>
  <c r="A1" i="2"/>
  <c r="A1" i="4"/>
  <c r="H23" i="1"/>
  <c r="I23" i="1"/>
  <c r="J23" i="1"/>
  <c r="H9" i="7" l="1"/>
  <c r="E6" i="7"/>
  <c r="M6" i="7"/>
  <c r="J9" i="7"/>
  <c r="C9" i="7"/>
  <c r="G11" i="7"/>
  <c r="D9" i="7"/>
  <c r="E9" i="7"/>
  <c r="K9" i="7"/>
  <c r="I20" i="7"/>
  <c r="E23" i="7"/>
  <c r="M23" i="7"/>
  <c r="L9" i="7"/>
  <c r="E14" i="7"/>
  <c r="M14" i="7"/>
  <c r="J20" i="7"/>
  <c r="F23" i="7"/>
  <c r="J11" i="7"/>
  <c r="G23" i="7"/>
  <c r="F9" i="7"/>
  <c r="C14" i="7"/>
  <c r="D20" i="7"/>
  <c r="L20" i="7"/>
  <c r="H23" i="7"/>
  <c r="G9" i="7"/>
  <c r="E20" i="7"/>
  <c r="M20" i="7"/>
  <c r="I23" i="7"/>
  <c r="F20" i="7"/>
  <c r="J23" i="7"/>
  <c r="H6" i="7"/>
  <c r="F6" i="7"/>
  <c r="G6" i="7"/>
  <c r="I9" i="7"/>
  <c r="J14" i="7"/>
  <c r="C23" i="7"/>
  <c r="K23" i="7"/>
  <c r="G12" i="7"/>
  <c r="G16" i="7"/>
  <c r="H12" i="7"/>
  <c r="H16" i="7"/>
  <c r="I16" i="7"/>
  <c r="I12" i="7"/>
  <c r="J12" i="7"/>
  <c r="J16" i="7"/>
  <c r="D14" i="7"/>
  <c r="I6" i="7"/>
  <c r="C11" i="7"/>
  <c r="K11" i="7"/>
  <c r="I14" i="7"/>
  <c r="D11" i="7"/>
  <c r="L11" i="7"/>
  <c r="K6" i="7"/>
  <c r="E11" i="7"/>
  <c r="M11" i="7"/>
  <c r="F11" i="7"/>
  <c r="L14" i="7"/>
  <c r="J6" i="7"/>
  <c r="H14" i="7"/>
  <c r="F14" i="7"/>
  <c r="G14" i="7"/>
  <c r="N11" i="1"/>
  <c r="M11" i="1"/>
  <c r="G16" i="2"/>
  <c r="E24" i="2"/>
  <c r="E1" i="2"/>
  <c r="J24" i="2"/>
  <c r="D24" i="2"/>
  <c r="E1" i="3"/>
  <c r="I23" i="2"/>
  <c r="G20" i="2"/>
  <c r="J14" i="3"/>
  <c r="D14" i="1"/>
  <c r="I24" i="2"/>
  <c r="B14" i="1"/>
  <c r="E6" i="1"/>
  <c r="E19" i="1" s="1"/>
  <c r="H24" i="1" s="1"/>
  <c r="I14" i="1"/>
  <c r="K25" i="1" s="1"/>
  <c r="M25" i="1" s="1"/>
  <c r="M14" i="1" s="1"/>
  <c r="C24" i="2"/>
  <c r="H24" i="2"/>
  <c r="L19" i="1"/>
  <c r="L24" i="1" s="1"/>
  <c r="B23" i="2"/>
  <c r="H14" i="1"/>
  <c r="G24" i="2"/>
  <c r="D13" i="1"/>
  <c r="E13" i="1" s="1"/>
  <c r="E14" i="1" s="1"/>
  <c r="K24" i="1"/>
  <c r="M24" i="1" s="1"/>
  <c r="L9" i="1"/>
  <c r="L8" i="1"/>
  <c r="L7" i="1"/>
  <c r="E16" i="2"/>
  <c r="J23" i="2"/>
  <c r="E23" i="2"/>
  <c r="K24" i="2"/>
  <c r="J25" i="1"/>
  <c r="M9" i="1"/>
  <c r="N9" i="1"/>
  <c r="N8" i="1"/>
  <c r="M8" i="1"/>
  <c r="I20" i="2"/>
  <c r="H20" i="2"/>
  <c r="K23" i="1"/>
  <c r="M23" i="1" s="1"/>
  <c r="M4" i="1" s="1"/>
  <c r="H6" i="1"/>
  <c r="H19" i="1" s="1"/>
  <c r="J24" i="1" s="1"/>
  <c r="N24" i="1" s="1"/>
  <c r="F6" i="1"/>
  <c r="F19" i="1" s="1"/>
  <c r="I24" i="1" s="1"/>
  <c r="E1" i="4"/>
  <c r="H25" i="7" l="1"/>
  <c r="H17" i="7"/>
  <c r="D12" i="7"/>
  <c r="D16" i="7"/>
  <c r="C16" i="7"/>
  <c r="C12" i="7"/>
  <c r="E12" i="7"/>
  <c r="E16" i="7"/>
  <c r="K12" i="7"/>
  <c r="K16" i="7"/>
  <c r="F12" i="7"/>
  <c r="F16" i="7"/>
  <c r="M12" i="7"/>
  <c r="M16" i="7"/>
  <c r="I25" i="7"/>
  <c r="I17" i="7"/>
  <c r="G25" i="7"/>
  <c r="G17" i="7"/>
  <c r="L12" i="7"/>
  <c r="L16" i="7"/>
  <c r="J25" i="7"/>
  <c r="J17" i="7"/>
  <c r="H25" i="1"/>
  <c r="N25" i="1" s="1"/>
  <c r="N14" i="1" s="1"/>
  <c r="I25" i="1"/>
  <c r="N23" i="1"/>
  <c r="N4" i="1" s="1"/>
  <c r="M6" i="1"/>
  <c r="M10" i="1" s="1"/>
  <c r="M12" i="1" s="1"/>
  <c r="M13" i="1" s="1"/>
  <c r="M15" i="1" s="1"/>
  <c r="J26" i="7" l="1"/>
  <c r="J31" i="7"/>
  <c r="J29" i="7"/>
  <c r="L17" i="7"/>
  <c r="L25" i="7"/>
  <c r="F17" i="7"/>
  <c r="F25" i="7"/>
  <c r="K17" i="7"/>
  <c r="K25" i="7"/>
  <c r="E17" i="7"/>
  <c r="E25" i="7"/>
  <c r="I31" i="7"/>
  <c r="I26" i="7"/>
  <c r="I29" i="7"/>
  <c r="M25" i="7"/>
  <c r="M17" i="7"/>
  <c r="C25" i="7"/>
  <c r="C17" i="7"/>
  <c r="D17" i="7"/>
  <c r="D25" i="7"/>
  <c r="G31" i="7"/>
  <c r="G26" i="7"/>
  <c r="G29" i="7"/>
  <c r="H31" i="7"/>
  <c r="H29" i="7"/>
  <c r="H26" i="7"/>
  <c r="N5" i="1"/>
  <c r="N6" i="1"/>
  <c r="N10" i="1" s="1"/>
  <c r="N12" i="1" s="1"/>
  <c r="N13" i="1" s="1"/>
  <c r="N15" i="1" s="1"/>
  <c r="M5" i="1"/>
  <c r="H36" i="7" l="1"/>
  <c r="H32" i="7"/>
  <c r="F26" i="7"/>
  <c r="F31" i="7"/>
  <c r="F29" i="7"/>
  <c r="M31" i="7"/>
  <c r="M26" i="7"/>
  <c r="M29" i="7"/>
  <c r="G36" i="7"/>
  <c r="G32" i="7"/>
  <c r="L29" i="7"/>
  <c r="L26" i="7"/>
  <c r="L31" i="7"/>
  <c r="D29" i="7"/>
  <c r="D31" i="7"/>
  <c r="D26" i="7"/>
  <c r="I32" i="7"/>
  <c r="I36" i="7"/>
  <c r="E31" i="7"/>
  <c r="E26" i="7"/>
  <c r="E29" i="7"/>
  <c r="J32" i="7"/>
  <c r="J36" i="7"/>
  <c r="C26" i="7"/>
  <c r="C31" i="7"/>
  <c r="C29" i="7"/>
  <c r="K26" i="7"/>
  <c r="K31" i="7"/>
  <c r="K29" i="7"/>
  <c r="D32" i="7" l="1"/>
  <c r="D36" i="7"/>
  <c r="L32" i="7"/>
  <c r="L36" i="7"/>
  <c r="J37" i="7"/>
  <c r="J40" i="7"/>
  <c r="J42" i="7" s="1"/>
  <c r="K32" i="7"/>
  <c r="K36" i="7"/>
  <c r="I37" i="7"/>
  <c r="I40" i="7"/>
  <c r="I42" i="7" s="1"/>
  <c r="M32" i="7"/>
  <c r="M36" i="7"/>
  <c r="F32" i="7"/>
  <c r="F36" i="7"/>
  <c r="E32" i="7"/>
  <c r="E36" i="7"/>
  <c r="C32" i="7"/>
  <c r="C36" i="7"/>
  <c r="C40" i="7" s="1"/>
  <c r="C42" i="7" s="1"/>
  <c r="G40" i="7"/>
  <c r="G42" i="7" s="1"/>
  <c r="H37" i="7"/>
  <c r="H40" i="7"/>
  <c r="H42" i="7" s="1"/>
  <c r="E37" i="7" l="1"/>
  <c r="E40" i="7"/>
  <c r="E42" i="7" s="1"/>
  <c r="F37" i="7"/>
  <c r="F40" i="7"/>
  <c r="F42" i="7" s="1"/>
  <c r="M37" i="7"/>
  <c r="M40" i="7"/>
  <c r="M42" i="7" s="1"/>
  <c r="D37" i="7"/>
  <c r="D40" i="7"/>
  <c r="D42" i="7" s="1"/>
  <c r="K37" i="7"/>
  <c r="K40" i="7"/>
  <c r="K42" i="7" s="1"/>
  <c r="L37" i="7"/>
  <c r="L40" i="7"/>
  <c r="L42" i="7" s="1"/>
  <c r="G37" i="7"/>
</calcChain>
</file>

<file path=xl/sharedStrings.xml><?xml version="1.0" encoding="utf-8"?>
<sst xmlns="http://schemas.openxmlformats.org/spreadsheetml/2006/main" count="260" uniqueCount="163">
  <si>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</si>
  <si>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</si>
  <si>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</si>
  <si>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</si>
  <si>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</si>
  <si>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</si>
  <si>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</si>
  <si>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</si>
  <si>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</si>
  <si>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</si>
  <si>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</si>
  <si>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</si>
  <si>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</si>
  <si>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</si>
  <si>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</si>
  <si>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</si>
  <si>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</si>
  <si>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</si>
  <si>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</si>
  <si>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</si>
  <si>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</si>
  <si>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</si>
  <si>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</si>
  <si>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</si>
  <si>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</si>
  <si>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</si>
  <si>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</si>
  <si>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</si>
  <si>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</si>
  <si>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</si>
  <si>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</si>
  <si>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</si>
  <si>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</si>
  <si>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</si>
  <si>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</si>
  <si>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</si>
  <si>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</si>
  <si>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</si>
  <si>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</si>
  <si>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</si>
  <si>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</si>
  <si>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</si>
  <si>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</si>
  <si>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</si>
  <si>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</si>
  <si>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</si>
  <si>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</si>
  <si>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</si>
  <si>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</si>
  <si>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</si>
  <si>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</si>
  <si>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</si>
  <si>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</si>
  <si>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</si>
  <si>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</si>
  <si>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</si>
  <si>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</si>
  <si>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</si>
  <si>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</si>
  <si>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</si>
  <si>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</si>
  <si>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</si>
  <si>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</si>
  <si>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</si>
  <si>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</si>
  <si>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</si>
  <si>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</si>
  <si>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</si>
  <si>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</si>
  <si>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</si>
  <si>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</si>
  <si>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</si>
  <si>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</si>
  <si>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</si>
  <si>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</si>
  <si>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</si>
  <si>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</si>
  <si>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</si>
  <si>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</si>
  <si>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</si>
  <si>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</si>
  <si>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</si>
  <si>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</si>
  <si>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</si>
  <si>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</si>
  <si>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</si>
  <si>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</si>
  <si>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</si>
  <si>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</si>
  <si>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</si>
  <si>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</si>
  <si>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</si>
  <si>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</si>
  <si>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YEARS</t>
  </si>
  <si>
    <t>LTM</t>
  </si>
  <si>
    <t>#</t>
  </si>
  <si>
    <t>INCOME STATEMENT</t>
  </si>
  <si>
    <t>SALES</t>
  </si>
  <si>
    <t>SALES GROWTH</t>
  </si>
  <si>
    <t>COGS</t>
  </si>
  <si>
    <t>COGS % SALES</t>
  </si>
  <si>
    <t>GROSS PROFIT</t>
  </si>
  <si>
    <t>SELLING&amp; GENERAL EXP</t>
  </si>
  <si>
    <t>S&amp;G % SALES</t>
  </si>
  <si>
    <t>EBITDA</t>
  </si>
  <si>
    <t>EBITDA % SALES</t>
  </si>
  <si>
    <t>INTEREST</t>
  </si>
  <si>
    <t>INTEREST % SALES</t>
  </si>
  <si>
    <t>DEPRECIATION</t>
  </si>
  <si>
    <t>DEPRECIATION % SALES</t>
  </si>
  <si>
    <t>EARNING BEFORE TAX</t>
  </si>
  <si>
    <t>EBT%SALES</t>
  </si>
  <si>
    <t>TAX</t>
  </si>
  <si>
    <t>EFFECTIVE TAX RATE</t>
  </si>
  <si>
    <t>NET PROFIT</t>
  </si>
  <si>
    <t>NET MARGINS</t>
  </si>
  <si>
    <t>NO. OF EQUITY SHARE</t>
  </si>
  <si>
    <t>EPS GROWTH%</t>
  </si>
  <si>
    <t>DIDVIDEND PER SHARE</t>
  </si>
  <si>
    <t>DIVIDEND PAYOUT RATIO</t>
  </si>
  <si>
    <t>RETAINED EARNING</t>
  </si>
  <si>
    <t>TOTAL LIABILITIES</t>
  </si>
  <si>
    <t>FIXED ASSET NET BLOCK</t>
  </si>
  <si>
    <t>TOTAL NON CURRENT ASSETS</t>
  </si>
  <si>
    <t>TOTAL CURRENT ASSETS</t>
  </si>
  <si>
    <t>TOTAL ASSETS</t>
  </si>
  <si>
    <t>CHECK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</si>
  <si>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</si>
  <si>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</si>
  <si>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</si>
  <si>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</si>
  <si>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</si>
  <si>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</si>
  <si>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</si>
  <si>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</si>
  <si>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</si>
  <si>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</si>
  <si>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</si>
  <si>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</si>
  <si>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</si>
  <si>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</si>
  <si>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</si>
  <si>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</si>
  <si>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</si>
  <si>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</si>
  <si>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</si>
  <si>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</si>
  <si>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</si>
  <si>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</si>
  <si>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</si>
  <si>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</si>
  <si>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</si>
  <si>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</si>
  <si>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</si>
  <si>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</si>
  <si>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FLOW STATEMENTS</t>
  </si>
  <si>
    <t>CASH FROM OPERATING ACTIVITY</t>
  </si>
  <si>
    <t>OPERATING ACTICVITY</t>
  </si>
  <si>
    <t>INVESTING ACTIVITY</t>
  </si>
  <si>
    <t>CASH FROM INVESTING ACTIVITY</t>
  </si>
  <si>
    <t>FINANCING ACTIVITY</t>
  </si>
  <si>
    <t>CASH FROM FINANCING ACTIVITY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</si>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</sst>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8" formatCode="&quot;₹&quot;\ #,##0"/>
    <numFmt numFmtId="173" formatCode="&quot;₹&quot;\ #,##0;&quot;₹&quot;\ \(#,##0\)"/>
    <numFmt numFmtId="175" formatCode="&quot;₹&quot;\ #,##0.00;&quot;₹&quot;\ \(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43" fontId="1" fillId="0" borderId="0" xfId="1" applyFont="1" applyBorder="1"/>
    <xf numFmtId="0" fontId="1" fillId="0" borderId="0" xfId="0" applyFont="1"/>
    <xf numFmtId="0" fontId="8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0" fontId="0" fillId="0" borderId="0" xfId="0" applyFont="1"/>
    <xf numFmtId="17" fontId="0" fillId="0" borderId="0" xfId="0" applyNumberFormat="1"/>
    <xf numFmtId="0" fontId="2" fillId="6" borderId="0" xfId="0" applyFont="1" applyFill="1"/>
    <xf numFmtId="17" fontId="2" fillId="6" borderId="0" xfId="0" applyNumberFormat="1" applyFont="1" applyFill="1"/>
    <xf numFmtId="0" fontId="2" fillId="6" borderId="0" xfId="0" applyFont="1" applyFill="1" applyAlignment="1">
      <alignment horizontal="center"/>
    </xf>
    <xf numFmtId="168" fontId="0" fillId="0" borderId="0" xfId="0" applyNumberFormat="1"/>
    <xf numFmtId="0" fontId="10" fillId="0" borderId="0" xfId="0" applyFont="1"/>
    <xf numFmtId="10" fontId="10" fillId="0" borderId="0" xfId="6" applyNumberFormat="1" applyFont="1"/>
    <xf numFmtId="10" fontId="1" fillId="0" borderId="0" xfId="6" applyNumberFormat="1" applyFont="1"/>
    <xf numFmtId="173" fontId="0" fillId="0" borderId="0" xfId="0" applyNumberFormat="1"/>
    <xf numFmtId="9" fontId="10" fillId="0" borderId="0" xfId="6" applyFont="1"/>
    <xf numFmtId="175" fontId="0" fillId="0" borderId="0" xfId="0" applyNumberFormat="1"/>
    <xf numFmtId="3" fontId="0" fillId="0" borderId="0" xfId="0" applyNumberFormat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173" fontId="1" fillId="0" borderId="0" xfId="0" applyNumberFormat="1" applyFont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TATA MOTORS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273045.59999999998</v>
      </c>
      <c r="C4" s="1">
        <f>'Data Sheet'!C17</f>
        <v>269692.51</v>
      </c>
      <c r="D4" s="1">
        <f>'Data Sheet'!D17</f>
        <v>291550.48</v>
      </c>
      <c r="E4" s="1">
        <f>'Data Sheet'!E17</f>
        <v>301938.40000000002</v>
      </c>
      <c r="F4" s="1">
        <f>'Data Sheet'!F17</f>
        <v>261067.97</v>
      </c>
      <c r="G4" s="1">
        <f>'Data Sheet'!G17</f>
        <v>249794.75</v>
      </c>
      <c r="H4" s="1">
        <f>'Data Sheet'!H17</f>
        <v>278453.62</v>
      </c>
      <c r="I4" s="1">
        <f>'Data Sheet'!I17</f>
        <v>345966.97</v>
      </c>
      <c r="J4" s="1">
        <f>'Data Sheet'!J17</f>
        <v>434016</v>
      </c>
      <c r="K4" s="1">
        <f>'Data Sheet'!K17</f>
        <v>439695</v>
      </c>
      <c r="L4" s="1">
        <f>SUM(Quarters!H4:K4)</f>
        <v>437968</v>
      </c>
      <c r="M4" s="1">
        <f>$K4+M23*K4</f>
        <v>512017.03850373905</v>
      </c>
      <c r="N4" s="1">
        <f>$K4+N23*L4</f>
        <v>445425.71101526212</v>
      </c>
    </row>
    <row r="5" spans="1:14" x14ac:dyDescent="0.3">
      <c r="A5" t="s">
        <v>7</v>
      </c>
      <c r="B5" s="6">
        <f>SUM('Data Sheet'!B18,'Data Sheet'!B20:B24, -1*'Data Sheet'!B19)</f>
        <v>234650.35</v>
      </c>
      <c r="C5" s="6">
        <f>SUM('Data Sheet'!C18,'Data Sheet'!C20:C24, -1*'Data Sheet'!C19)</f>
        <v>240103.81999999998</v>
      </c>
      <c r="D5" s="6">
        <f>SUM('Data Sheet'!D18,'Data Sheet'!D20:D24, -1*'Data Sheet'!D19)</f>
        <v>260092.80000000002</v>
      </c>
      <c r="E5" s="6">
        <f>SUM('Data Sheet'!E18,'Data Sheet'!E20:E24, -1*'Data Sheet'!E19)</f>
        <v>277274.07</v>
      </c>
      <c r="F5" s="6">
        <f>SUM('Data Sheet'!F18,'Data Sheet'!F20:F24, -1*'Data Sheet'!F19)</f>
        <v>243080.90000000005</v>
      </c>
      <c r="G5" s="6">
        <f>SUM('Data Sheet'!G18,'Data Sheet'!G20:G24, -1*'Data Sheet'!G19)</f>
        <v>217507.32</v>
      </c>
      <c r="H5" s="6">
        <f>SUM('Data Sheet'!H18,'Data Sheet'!H20:H24, -1*'Data Sheet'!H19)</f>
        <v>253733.52999999997</v>
      </c>
      <c r="I5" s="6">
        <f>SUM('Data Sheet'!I18,'Data Sheet'!I20:I24, -1*'Data Sheet'!I19)</f>
        <v>314151.17000000004</v>
      </c>
      <c r="J5" s="6">
        <f>SUM('Data Sheet'!J18,'Data Sheet'!J20:J24, -1*'Data Sheet'!J19)</f>
        <v>376192</v>
      </c>
      <c r="K5" s="6">
        <f>SUM('Data Sheet'!K18,'Data Sheet'!K20:K24, -1*'Data Sheet'!K19)</f>
        <v>384479</v>
      </c>
      <c r="L5" s="6">
        <f>SUM(Quarters!H5:K5)</f>
        <v>386344</v>
      </c>
      <c r="M5" s="6">
        <f t="shared" ref="M5:N5" si="0">M4-M6</f>
        <v>451207.02180228964</v>
      </c>
      <c r="N5" s="6">
        <f t="shared" si="0"/>
        <v>398296.19376951864</v>
      </c>
    </row>
    <row r="6" spans="1:14" s="2" customFormat="1" x14ac:dyDescent="0.3">
      <c r="A6" s="2" t="s">
        <v>8</v>
      </c>
      <c r="B6" s="1">
        <f>B4-B5</f>
        <v>38395.249999999971</v>
      </c>
      <c r="C6" s="1">
        <f t="shared" ref="C6:K6" si="1">C4-C5</f>
        <v>29588.690000000031</v>
      </c>
      <c r="D6" s="1">
        <f t="shared" si="1"/>
        <v>31457.679999999964</v>
      </c>
      <c r="E6" s="1">
        <f t="shared" si="1"/>
        <v>24664.330000000016</v>
      </c>
      <c r="F6" s="1">
        <f t="shared" si="1"/>
        <v>17987.069999999949</v>
      </c>
      <c r="G6" s="1">
        <f t="shared" si="1"/>
        <v>32287.429999999993</v>
      </c>
      <c r="H6" s="1">
        <f t="shared" si="1"/>
        <v>24720.090000000026</v>
      </c>
      <c r="I6" s="1">
        <f t="shared" si="1"/>
        <v>31815.79999999993</v>
      </c>
      <c r="J6" s="1">
        <f t="shared" si="1"/>
        <v>57824</v>
      </c>
      <c r="K6" s="1">
        <f t="shared" si="1"/>
        <v>55216</v>
      </c>
      <c r="L6" s="1">
        <f>SUM(Quarters!H6:K6)</f>
        <v>51624</v>
      </c>
      <c r="M6" s="1">
        <f>M4*M24</f>
        <v>60810.016701449393</v>
      </c>
      <c r="N6" s="1">
        <f>N4*N24</f>
        <v>47129.517245743475</v>
      </c>
    </row>
    <row r="7" spans="1:14" x14ac:dyDescent="0.3">
      <c r="A7" t="s">
        <v>9</v>
      </c>
      <c r="B7" s="6">
        <f>'Data Sheet'!B25</f>
        <v>-2669.62</v>
      </c>
      <c r="C7" s="6">
        <f>'Data Sheet'!C25</f>
        <v>1869.1</v>
      </c>
      <c r="D7" s="6">
        <f>'Data Sheet'!D25</f>
        <v>5932.73</v>
      </c>
      <c r="E7" s="6">
        <f>'Data Sheet'!E25</f>
        <v>-26686.25</v>
      </c>
      <c r="F7" s="6">
        <f>'Data Sheet'!F25</f>
        <v>101.71</v>
      </c>
      <c r="G7" s="6">
        <f>'Data Sheet'!G25</f>
        <v>-11117.83</v>
      </c>
      <c r="H7" s="6">
        <f>'Data Sheet'!H25</f>
        <v>2424.0500000000002</v>
      </c>
      <c r="I7" s="6">
        <f>'Data Sheet'!I25</f>
        <v>6663.97</v>
      </c>
      <c r="J7" s="6">
        <f>'Data Sheet'!J25</f>
        <v>4792</v>
      </c>
      <c r="K7" s="6">
        <f>'Data Sheet'!K25</f>
        <v>11774</v>
      </c>
      <c r="L7" s="6">
        <f>SUM(Quarters!H7:K7)</f>
        <v>5999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16710.78</v>
      </c>
      <c r="C8" s="6">
        <f>'Data Sheet'!C26</f>
        <v>17904.990000000002</v>
      </c>
      <c r="D8" s="6">
        <f>'Data Sheet'!D26</f>
        <v>21553.59</v>
      </c>
      <c r="E8" s="6">
        <f>'Data Sheet'!E26</f>
        <v>23590.63</v>
      </c>
      <c r="F8" s="6">
        <f>'Data Sheet'!F26</f>
        <v>21425.43</v>
      </c>
      <c r="G8" s="6">
        <f>'Data Sheet'!G26</f>
        <v>23546.71</v>
      </c>
      <c r="H8" s="6">
        <f>'Data Sheet'!H26</f>
        <v>24835.69</v>
      </c>
      <c r="I8" s="6">
        <f>'Data Sheet'!I26</f>
        <v>24860.36</v>
      </c>
      <c r="J8" s="6">
        <f>'Data Sheet'!J26</f>
        <v>27239</v>
      </c>
      <c r="K8" s="6">
        <f>'Data Sheet'!K26</f>
        <v>23256</v>
      </c>
      <c r="L8" s="6">
        <f>SUM(Quarters!H8:K8)</f>
        <v>22019</v>
      </c>
      <c r="M8" s="6">
        <f>+$L8</f>
        <v>22019</v>
      </c>
      <c r="N8" s="6">
        <f>+$L8</f>
        <v>22019</v>
      </c>
    </row>
    <row r="9" spans="1:14" x14ac:dyDescent="0.3">
      <c r="A9" t="s">
        <v>11</v>
      </c>
      <c r="B9" s="6">
        <f>'Data Sheet'!B27</f>
        <v>4889.08</v>
      </c>
      <c r="C9" s="6">
        <f>'Data Sheet'!C27</f>
        <v>4238.01</v>
      </c>
      <c r="D9" s="6">
        <f>'Data Sheet'!D27</f>
        <v>4681.79</v>
      </c>
      <c r="E9" s="6">
        <f>'Data Sheet'!E27</f>
        <v>5758.6</v>
      </c>
      <c r="F9" s="6">
        <f>'Data Sheet'!F27</f>
        <v>7243.33</v>
      </c>
      <c r="G9" s="6">
        <f>'Data Sheet'!G27</f>
        <v>8097.17</v>
      </c>
      <c r="H9" s="6">
        <f>'Data Sheet'!H27</f>
        <v>9311.86</v>
      </c>
      <c r="I9" s="6">
        <f>'Data Sheet'!I27</f>
        <v>10225.48</v>
      </c>
      <c r="J9" s="6">
        <f>'Data Sheet'!J27</f>
        <v>7594</v>
      </c>
      <c r="K9" s="6">
        <f>'Data Sheet'!K27</f>
        <v>5083</v>
      </c>
      <c r="L9" s="6">
        <f>SUM(Quarters!H9:K9)</f>
        <v>5167</v>
      </c>
      <c r="M9" s="6">
        <f>+$L9</f>
        <v>5167</v>
      </c>
      <c r="N9" s="6">
        <f>+$L9</f>
        <v>5167</v>
      </c>
    </row>
    <row r="10" spans="1:14" x14ac:dyDescent="0.3">
      <c r="A10" t="s">
        <v>12</v>
      </c>
      <c r="B10" s="6">
        <f>'Data Sheet'!B28</f>
        <v>14125.77</v>
      </c>
      <c r="C10" s="6">
        <f>'Data Sheet'!C28</f>
        <v>9314.7900000000009</v>
      </c>
      <c r="D10" s="6">
        <f>'Data Sheet'!D28</f>
        <v>11155.03</v>
      </c>
      <c r="E10" s="6">
        <f>'Data Sheet'!E28</f>
        <v>-31371.15</v>
      </c>
      <c r="F10" s="6">
        <f>'Data Sheet'!F28</f>
        <v>-10579.98</v>
      </c>
      <c r="G10" s="6">
        <f>'Data Sheet'!G28</f>
        <v>-10474.280000000001</v>
      </c>
      <c r="H10" s="6">
        <f>'Data Sheet'!H28</f>
        <v>-7003.41</v>
      </c>
      <c r="I10" s="6">
        <f>'Data Sheet'!I28</f>
        <v>3393.93</v>
      </c>
      <c r="J10" s="6">
        <f>'Data Sheet'!J28</f>
        <v>27783</v>
      </c>
      <c r="K10" s="6">
        <f>'Data Sheet'!K28</f>
        <v>38651</v>
      </c>
      <c r="L10" s="6">
        <f>SUM(Quarters!H10:K10)</f>
        <v>30437</v>
      </c>
      <c r="M10" s="6">
        <f>M6+M7-SUM(M8:M9)</f>
        <v>33624.016701449393</v>
      </c>
      <c r="N10" s="6">
        <f>N6+N7-SUM(N8:N9)</f>
        <v>19943.517245743475</v>
      </c>
    </row>
    <row r="11" spans="1:14" x14ac:dyDescent="0.3">
      <c r="A11" t="s">
        <v>13</v>
      </c>
      <c r="B11" s="6">
        <f>'Data Sheet'!B29</f>
        <v>3025.05</v>
      </c>
      <c r="C11" s="6">
        <f>'Data Sheet'!C29</f>
        <v>3251.23</v>
      </c>
      <c r="D11" s="6">
        <f>'Data Sheet'!D29</f>
        <v>4341.93</v>
      </c>
      <c r="E11" s="6">
        <f>'Data Sheet'!E29</f>
        <v>-2437.4499999999998</v>
      </c>
      <c r="F11" s="6">
        <f>'Data Sheet'!F29</f>
        <v>395.25</v>
      </c>
      <c r="G11" s="6">
        <f>'Data Sheet'!G29</f>
        <v>2541.86</v>
      </c>
      <c r="H11" s="6">
        <f>'Data Sheet'!H29</f>
        <v>4231.29</v>
      </c>
      <c r="I11" s="6">
        <f>'Data Sheet'!I29</f>
        <v>704.06</v>
      </c>
      <c r="J11" s="6">
        <f>'Data Sheet'!J29</f>
        <v>-4024</v>
      </c>
      <c r="K11" s="6">
        <f>'Data Sheet'!K29</f>
        <v>10502</v>
      </c>
      <c r="L11" s="6">
        <f>SUM(Quarters!H11:K11)</f>
        <v>8943</v>
      </c>
      <c r="M11" s="7">
        <f>IF($L10&gt;0,$L11/$L10,0)</f>
        <v>0.29382002168413446</v>
      </c>
      <c r="N11" s="7">
        <f>IF($L10&gt;0,$L11/$L10,0)</f>
        <v>0.29382002168413446</v>
      </c>
    </row>
    <row r="12" spans="1:14" s="2" customFormat="1" x14ac:dyDescent="0.3">
      <c r="A12" s="2" t="s">
        <v>14</v>
      </c>
      <c r="B12" s="1">
        <f>'Data Sheet'!B30</f>
        <v>11579.31</v>
      </c>
      <c r="C12" s="1">
        <f>'Data Sheet'!C30</f>
        <v>7454.36</v>
      </c>
      <c r="D12" s="1">
        <f>'Data Sheet'!D30</f>
        <v>8988.91</v>
      </c>
      <c r="E12" s="1">
        <f>'Data Sheet'!E30</f>
        <v>-28826.23</v>
      </c>
      <c r="F12" s="1">
        <f>'Data Sheet'!F30</f>
        <v>-12070.85</v>
      </c>
      <c r="G12" s="1">
        <f>'Data Sheet'!G30</f>
        <v>-13451.39</v>
      </c>
      <c r="H12" s="1">
        <f>'Data Sheet'!H30</f>
        <v>-11441.47</v>
      </c>
      <c r="I12" s="1">
        <f>'Data Sheet'!I30</f>
        <v>2414.29</v>
      </c>
      <c r="J12" s="1">
        <f>'Data Sheet'!J30</f>
        <v>31399</v>
      </c>
      <c r="K12" s="1">
        <f>'Data Sheet'!K30</f>
        <v>27830</v>
      </c>
      <c r="L12" s="1">
        <f>SUM(Quarters!H12:K12)</f>
        <v>21143</v>
      </c>
      <c r="M12" s="1">
        <f>M10-M11*M10</f>
        <v>23744.607385121832</v>
      </c>
      <c r="N12" s="1">
        <f>N10-N11*N10</f>
        <v>14083.712576141217</v>
      </c>
    </row>
    <row r="13" spans="1:14" x14ac:dyDescent="0.3">
      <c r="A13" t="s">
        <v>57</v>
      </c>
      <c r="B13" s="6">
        <f>IF('Data Sheet'!B93&gt;0,B12/'Data Sheet'!B93,0)</f>
        <v>40.105673316708227</v>
      </c>
      <c r="C13" s="6">
        <f>IF('Data Sheet'!C93&gt;0,C12/'Data Sheet'!C93,0)</f>
        <v>25.817753610639695</v>
      </c>
      <c r="D13" s="6">
        <f>IF('Data Sheet'!D93&gt;0,D12/'Data Sheet'!D93,0)</f>
        <v>31.132580611644094</v>
      </c>
      <c r="E13" s="6">
        <f>IF('Data Sheet'!E93&gt;0,E12/'Data Sheet'!E93,0)</f>
        <v>-99.838014754268684</v>
      </c>
      <c r="F13" s="6">
        <f>IF('Data Sheet'!F93&gt;0,F12/'Data Sheet'!F93,0)</f>
        <v>-39.076885723535128</v>
      </c>
      <c r="G13" s="6">
        <f>IF('Data Sheet'!G93&gt;0,G12/'Data Sheet'!G93,0)</f>
        <v>-40.512574164985097</v>
      </c>
      <c r="H13" s="6">
        <f>IF('Data Sheet'!H93&gt;0,H12/'Data Sheet'!H93,0)</f>
        <v>-34.454994428885477</v>
      </c>
      <c r="I13" s="6">
        <f>IF('Data Sheet'!I93&gt;0,I12/'Data Sheet'!I93,0)</f>
        <v>7.2691114924878812</v>
      </c>
      <c r="J13" s="6">
        <f>IF('Data Sheet'!J93&gt;0,J12/'Data Sheet'!J93,0)</f>
        <v>94.470018353040288</v>
      </c>
      <c r="K13" s="6">
        <f>IF('Data Sheet'!K93&gt;0,K12/'Data Sheet'!K93,0)</f>
        <v>75.598294080895343</v>
      </c>
      <c r="L13" s="6">
        <f>IF('Data Sheet'!$B6&gt;0,'Profit &amp; Loss'!L12/'Data Sheet'!$B6,0)</f>
        <v>57.422340267836439</v>
      </c>
      <c r="M13" s="6">
        <f>IF('Data Sheet'!$B6&gt;0,'Profit &amp; Loss'!M12/'Data Sheet'!$B6,0)</f>
        <v>64.488053956139041</v>
      </c>
      <c r="N13" s="6">
        <f>IF('Data Sheet'!$B6&gt;0,'Profit &amp; Loss'!N12/'Data Sheet'!$B6,0)</f>
        <v>38.2499993275121</v>
      </c>
    </row>
    <row r="14" spans="1:14" x14ac:dyDescent="0.3">
      <c r="A14" t="s">
        <v>16</v>
      </c>
      <c r="B14" s="6">
        <f>IF(B15&gt;0,B15/B13,"")</f>
        <v>9.6395339618681959</v>
      </c>
      <c r="C14" s="6">
        <f t="shared" ref="C14:K14" si="2">IF(C15&gt;0,C15/C13,"")</f>
        <v>18.043785180753279</v>
      </c>
      <c r="D14" s="6">
        <f t="shared" si="2"/>
        <v>10.4986478338308</v>
      </c>
      <c r="E14" s="6">
        <f t="shared" si="2"/>
        <v>-1.7453271725092045</v>
      </c>
      <c r="F14" s="6">
        <f t="shared" si="2"/>
        <v>-1.8182103994333454</v>
      </c>
      <c r="G14" s="6">
        <f t="shared" si="2"/>
        <v>-7.4495389695786081</v>
      </c>
      <c r="H14" s="6">
        <f t="shared" si="2"/>
        <v>-12.588886087189845</v>
      </c>
      <c r="I14" s="6">
        <f t="shared" si="2"/>
        <v>57.88878055246056</v>
      </c>
      <c r="J14" s="6">
        <f t="shared" si="2"/>
        <v>10.509154304277205</v>
      </c>
      <c r="K14" s="6">
        <f t="shared" si="2"/>
        <v>8.9214976104922741</v>
      </c>
      <c r="L14" s="6">
        <f t="shared" ref="L14" si="3">IF(L13&gt;0,L15/L13,0)</f>
        <v>12.405450503712812</v>
      </c>
      <c r="M14" s="6">
        <f>M25</f>
        <v>22.431220742735711</v>
      </c>
      <c r="N14" s="6">
        <f>N25</f>
        <v>12.405450503712812</v>
      </c>
    </row>
    <row r="15" spans="1:14" s="2" customFormat="1" x14ac:dyDescent="0.3">
      <c r="A15" s="2" t="s">
        <v>58</v>
      </c>
      <c r="B15" s="1">
        <f>'Data Sheet'!B90</f>
        <v>386.6</v>
      </c>
      <c r="C15" s="1">
        <f>'Data Sheet'!C90</f>
        <v>465.85</v>
      </c>
      <c r="D15" s="1">
        <f>'Data Sheet'!D90</f>
        <v>326.85000000000002</v>
      </c>
      <c r="E15" s="1">
        <f>'Data Sheet'!E90</f>
        <v>174.25</v>
      </c>
      <c r="F15" s="1">
        <f>'Data Sheet'!F90</f>
        <v>71.05</v>
      </c>
      <c r="G15" s="1">
        <f>'Data Sheet'!G90</f>
        <v>301.8</v>
      </c>
      <c r="H15" s="1">
        <f>'Data Sheet'!H90</f>
        <v>433.75</v>
      </c>
      <c r="I15" s="1">
        <f>'Data Sheet'!I90</f>
        <v>420.8</v>
      </c>
      <c r="J15" s="1">
        <f>'Data Sheet'!J90</f>
        <v>992.8</v>
      </c>
      <c r="K15" s="1">
        <f>'Data Sheet'!K90</f>
        <v>674.45</v>
      </c>
      <c r="L15" s="1">
        <f>'Data Sheet'!B8</f>
        <v>712.35</v>
      </c>
      <c r="M15" s="8">
        <f>M13*M14</f>
        <v>1446.5457735596058</v>
      </c>
      <c r="N15" s="9">
        <f>N13*N14</f>
        <v>474.5084734244997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5.8656344808110331E-3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0.31728582730326516</v>
      </c>
      <c r="J18" s="5">
        <f>IF('Data Sheet'!J30&gt;0, 'Data Sheet'!J31/'Data Sheet'!J30, 0)</f>
        <v>7.3282588617471889E-2</v>
      </c>
      <c r="K18" s="5">
        <f>IF('Data Sheet'!K30&gt;0, 'Data Sheet'!K31/'Data Sheet'!K30, 0)</f>
        <v>7.9338842975206617E-2</v>
      </c>
    </row>
    <row r="19" spans="1:14" x14ac:dyDescent="0.3">
      <c r="A19" t="s">
        <v>18</v>
      </c>
      <c r="B19" s="5">
        <f t="shared" ref="B19:L19" si="4">IF(B6&gt;0,B6/B4,0)</f>
        <v>0.14061845347443788</v>
      </c>
      <c r="C19" s="5">
        <f t="shared" ref="C19:K19" si="5">IF(C6&gt;0,C6/C4,0)</f>
        <v>0.10971268723777323</v>
      </c>
      <c r="D19" s="5">
        <f t="shared" si="5"/>
        <v>0.10789788444182964</v>
      </c>
      <c r="E19" s="5">
        <f t="shared" si="5"/>
        <v>8.1686628795807403E-2</v>
      </c>
      <c r="F19" s="5">
        <f t="shared" si="5"/>
        <v>6.8898034485042142E-2</v>
      </c>
      <c r="G19" s="5">
        <f t="shared" si="5"/>
        <v>0.12925583904385499</v>
      </c>
      <c r="H19" s="5">
        <f t="shared" si="5"/>
        <v>8.8776328352276501E-2</v>
      </c>
      <c r="I19" s="5">
        <f t="shared" si="5"/>
        <v>9.1961958102531965E-2</v>
      </c>
      <c r="J19" s="5">
        <f t="shared" si="5"/>
        <v>0.13323011133230112</v>
      </c>
      <c r="K19" s="5">
        <f t="shared" si="5"/>
        <v>0.12557795744777631</v>
      </c>
      <c r="L19" s="5">
        <f t="shared" si="4"/>
        <v>0.1178716253242246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5.4364329974180503E-2</v>
      </c>
      <c r="I23" s="5">
        <f>IF(D4=0,"",POWER($K4/D4,1/7)-1)</f>
        <v>6.0452229419457382E-2</v>
      </c>
      <c r="J23" s="5">
        <f>IF(F4=0,"",POWER($K4/F4,1/5)-1)</f>
        <v>0.10988910171869626</v>
      </c>
      <c r="K23" s="5">
        <f>IF(H4=0,"",POWER($K4/H4, 1/3)-1)</f>
        <v>0.164482285456371</v>
      </c>
      <c r="L23" s="5">
        <f>IF(ISERROR(MAX(IF(J4=0,"",(K4-J4)/J4),IF(K4=0,"",(L4-K4)/K4))),"",MAX(IF(J4=0,"",(K4-J4)/J4),IF(K4=0,"",(L4-K4)/K4)))</f>
        <v>1.3084771068347711E-2</v>
      </c>
      <c r="M23" s="16">
        <f>MAX(K23:L23)</f>
        <v>0.164482285456371</v>
      </c>
      <c r="N23" s="16">
        <f>MIN(H23:L23)</f>
        <v>1.3084771068347711E-2</v>
      </c>
    </row>
    <row r="24" spans="1:14" x14ac:dyDescent="0.3">
      <c r="G24" t="s">
        <v>18</v>
      </c>
      <c r="H24" s="5">
        <f>IF(SUM(B4:$K$4)=0,"",SUMPRODUCT(B19:$K$19,B4:$K$4)/SUM(B4:$K$4))</f>
        <v>0.1093583907752373</v>
      </c>
      <c r="I24" s="5">
        <f>IF(SUM(E4:$K$4)=0,"",SUMPRODUCT(E19:$K$19,E4:$K$4)/SUM(E4:$K$4))</f>
        <v>0.10580780606112929</v>
      </c>
      <c r="J24" s="5">
        <f>IF(SUM(G4:$K$4)=0,"",SUMPRODUCT(G19:$K$19,G4:$K$4)/SUM(G4:$K$4))</f>
        <v>0.11548731510047498</v>
      </c>
      <c r="K24" s="5">
        <f>IF(SUM(I4:$K$4)=0, "", SUMPRODUCT(I19:$K$19,I4:$K$4)/SUM(I4:$K$4))</f>
        <v>0.11876561154908778</v>
      </c>
      <c r="L24" s="5">
        <f>L19</f>
        <v>0.1178716253242246</v>
      </c>
      <c r="M24" s="16">
        <f>MAX(K24:L24)</f>
        <v>0.11876561154908778</v>
      </c>
      <c r="N24" s="16">
        <f>MIN(H24:L24)</f>
        <v>0.10580780606112929</v>
      </c>
    </row>
    <row r="25" spans="1:14" x14ac:dyDescent="0.3">
      <c r="G25" t="s">
        <v>23</v>
      </c>
      <c r="H25" s="6">
        <f>IF(ISERROR(AVERAGEIF(B14:$L14,"&gt;0")),"",AVERAGEIF(B14:$L14,"&gt;0"))</f>
        <v>18.27240713534216</v>
      </c>
      <c r="I25" s="6">
        <f>IF(ISERROR(AVERAGEIF(E14:$L14,"&gt;0")),"",AVERAGEIF(E14:$L14,"&gt;0"))</f>
        <v>22.431220742735711</v>
      </c>
      <c r="J25" s="6">
        <f>IF(ISERROR(AVERAGEIF(G14:$L14,"&gt;0")),"",AVERAGEIF(G14:$L14,"&gt;0"))</f>
        <v>22.431220742735711</v>
      </c>
      <c r="K25" s="6">
        <f>IF(ISERROR(AVERAGEIF(I14:$L14,"&gt;0")),"",AVERAGEIF(I14:$L14,"&gt;0"))</f>
        <v>22.431220742735711</v>
      </c>
      <c r="L25" s="6">
        <f>L14</f>
        <v>12.405450503712812</v>
      </c>
      <c r="M25" s="1">
        <f>MAX(K25:L25)</f>
        <v>22.431220742735711</v>
      </c>
      <c r="N25" s="1">
        <f>MIN(H25:L25)</f>
        <v>12.405450503712812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55" activePane="bottomRight" state="frozen"/>
      <selection activeCell="C4" sqref="C4"/>
      <selection pane="topRight" activeCell="C4" sqref="C4"/>
      <selection pane="bottomLeft" activeCell="C4" sqref="C4"/>
      <selection pane="bottomRight" activeCell="B67" sqref="B67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368.20164245104229</v>
      </c>
    </row>
    <row r="7" spans="1:11" x14ac:dyDescent="0.3">
      <c r="A7" s="4" t="s">
        <v>31</v>
      </c>
      <c r="B7">
        <v>2</v>
      </c>
    </row>
    <row r="8" spans="1:11" x14ac:dyDescent="0.3">
      <c r="A8" s="4" t="s">
        <v>43</v>
      </c>
      <c r="B8">
        <v>712.35</v>
      </c>
    </row>
    <row r="9" spans="1:11" x14ac:dyDescent="0.3">
      <c r="A9" s="4" t="s">
        <v>79</v>
      </c>
      <c r="B9">
        <v>262288.44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273045.59999999998</v>
      </c>
      <c r="C17">
        <v>269692.51</v>
      </c>
      <c r="D17">
        <v>291550.48</v>
      </c>
      <c r="E17">
        <v>301938.40000000002</v>
      </c>
      <c r="F17">
        <v>261067.97</v>
      </c>
      <c r="G17">
        <v>249794.75</v>
      </c>
      <c r="H17">
        <v>278453.62</v>
      </c>
      <c r="I17">
        <v>345966.97</v>
      </c>
      <c r="J17">
        <v>434016</v>
      </c>
      <c r="K17">
        <v>439695</v>
      </c>
    </row>
    <row r="18" spans="1:11" s="6" customFormat="1" x14ac:dyDescent="0.3">
      <c r="A18" s="4" t="s">
        <v>80</v>
      </c>
      <c r="B18">
        <v>166134.01</v>
      </c>
      <c r="C18">
        <v>173294.07999999999</v>
      </c>
      <c r="D18">
        <v>187896.58</v>
      </c>
      <c r="E18">
        <v>194267.91</v>
      </c>
      <c r="F18">
        <v>164899.82</v>
      </c>
      <c r="G18">
        <v>153607.35999999999</v>
      </c>
      <c r="H18">
        <v>179295.33</v>
      </c>
      <c r="I18">
        <v>231251.26</v>
      </c>
      <c r="J18">
        <v>274321</v>
      </c>
      <c r="K18">
        <v>268950</v>
      </c>
    </row>
    <row r="19" spans="1:11" s="6" customFormat="1" x14ac:dyDescent="0.3">
      <c r="A19" s="4" t="s">
        <v>81</v>
      </c>
      <c r="B19">
        <v>2750.99</v>
      </c>
      <c r="C19">
        <v>7399.92</v>
      </c>
      <c r="D19">
        <v>2046.58</v>
      </c>
      <c r="E19">
        <v>-2053.2800000000002</v>
      </c>
      <c r="F19">
        <v>-2231.19</v>
      </c>
      <c r="G19">
        <v>-4684.16</v>
      </c>
      <c r="H19">
        <v>-1590.49</v>
      </c>
      <c r="I19">
        <v>4781.62</v>
      </c>
      <c r="J19">
        <v>1566</v>
      </c>
      <c r="K19">
        <v>-2836</v>
      </c>
    </row>
    <row r="20" spans="1:11" s="6" customFormat="1" x14ac:dyDescent="0.3">
      <c r="A20" s="4" t="s">
        <v>82</v>
      </c>
      <c r="B20">
        <v>1143.6300000000001</v>
      </c>
      <c r="C20">
        <v>1159.82</v>
      </c>
      <c r="D20">
        <v>1308.08</v>
      </c>
      <c r="E20">
        <v>1585.93</v>
      </c>
      <c r="F20">
        <v>1264.95</v>
      </c>
      <c r="G20">
        <v>1112.8699999999999</v>
      </c>
      <c r="H20">
        <v>2178.29</v>
      </c>
      <c r="I20">
        <v>2513.33</v>
      </c>
      <c r="J20">
        <v>2189</v>
      </c>
      <c r="K20">
        <v>2443</v>
      </c>
    </row>
    <row r="21" spans="1:11" s="6" customFormat="1" x14ac:dyDescent="0.3">
      <c r="A21" s="4" t="s">
        <v>83</v>
      </c>
      <c r="B21">
        <v>12101.53</v>
      </c>
      <c r="C21">
        <v>10067.370000000001</v>
      </c>
      <c r="D21">
        <v>10971.66</v>
      </c>
      <c r="E21">
        <v>11694.54</v>
      </c>
      <c r="F21">
        <v>11541.51</v>
      </c>
      <c r="G21">
        <v>8273.17</v>
      </c>
      <c r="H21">
        <v>9427.3799999999992</v>
      </c>
      <c r="I21">
        <v>11765.97</v>
      </c>
      <c r="J21">
        <v>17446</v>
      </c>
      <c r="K21">
        <v>18813</v>
      </c>
    </row>
    <row r="22" spans="1:11" s="6" customFormat="1" x14ac:dyDescent="0.3">
      <c r="A22" s="4" t="s">
        <v>84</v>
      </c>
      <c r="B22">
        <v>28880.89</v>
      </c>
      <c r="C22">
        <v>28332.89</v>
      </c>
      <c r="D22">
        <v>30300.09</v>
      </c>
      <c r="E22">
        <v>33243.870000000003</v>
      </c>
      <c r="F22">
        <v>30438.6</v>
      </c>
      <c r="G22">
        <v>27648.48</v>
      </c>
      <c r="H22">
        <v>30808.52</v>
      </c>
      <c r="I22">
        <v>33654.699999999997</v>
      </c>
      <c r="J22">
        <v>41990</v>
      </c>
      <c r="K22">
        <v>47767</v>
      </c>
    </row>
    <row r="23" spans="1:11" s="6" customFormat="1" x14ac:dyDescent="0.3">
      <c r="A23" s="4" t="s">
        <v>85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</v>
      </c>
      <c r="K23">
        <v>47099</v>
      </c>
    </row>
    <row r="24" spans="1:11" s="6" customFormat="1" x14ac:dyDescent="0.3">
      <c r="A24" s="4" t="s">
        <v>86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1228.1199999999999</v>
      </c>
      <c r="I24">
        <v>4908.34</v>
      </c>
      <c r="J24">
        <v>-953</v>
      </c>
      <c r="K24">
        <v>-3429</v>
      </c>
    </row>
    <row r="25" spans="1:11" s="6" customFormat="1" x14ac:dyDescent="0.3">
      <c r="A25" s="6" t="s">
        <v>9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2424.0500000000002</v>
      </c>
      <c r="I25">
        <v>6663.97</v>
      </c>
      <c r="J25">
        <v>4792</v>
      </c>
      <c r="K25">
        <v>11774</v>
      </c>
    </row>
    <row r="26" spans="1:11" s="6" customFormat="1" x14ac:dyDescent="0.3">
      <c r="A26" s="6" t="s">
        <v>10</v>
      </c>
      <c r="B26">
        <v>16710.78</v>
      </c>
      <c r="C26">
        <v>17904.990000000002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</v>
      </c>
      <c r="K26">
        <v>23256</v>
      </c>
    </row>
    <row r="27" spans="1:11" s="6" customFormat="1" x14ac:dyDescent="0.3">
      <c r="A27" s="6" t="s">
        <v>11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</v>
      </c>
      <c r="K27">
        <v>5083</v>
      </c>
    </row>
    <row r="28" spans="1:11" s="6" customFormat="1" x14ac:dyDescent="0.3">
      <c r="A28" s="6" t="s">
        <v>12</v>
      </c>
      <c r="B28">
        <v>14125.77</v>
      </c>
      <c r="C28">
        <v>9314.7900000000009</v>
      </c>
      <c r="D28">
        <v>11155.03</v>
      </c>
      <c r="E28">
        <v>-31371.15</v>
      </c>
      <c r="F28">
        <v>-10579.98</v>
      </c>
      <c r="G28">
        <v>-10474.280000000001</v>
      </c>
      <c r="H28">
        <v>-7003.41</v>
      </c>
      <c r="I28">
        <v>3393.93</v>
      </c>
      <c r="J28">
        <v>27783</v>
      </c>
      <c r="K28">
        <v>38651</v>
      </c>
    </row>
    <row r="29" spans="1:11" s="6" customFormat="1" x14ac:dyDescent="0.3">
      <c r="A29" s="6" t="s">
        <v>13</v>
      </c>
      <c r="B29">
        <v>3025.05</v>
      </c>
      <c r="C29">
        <v>3251.23</v>
      </c>
      <c r="D29">
        <v>4341.93</v>
      </c>
      <c r="E29">
        <v>-2437.4499999999998</v>
      </c>
      <c r="F29">
        <v>395.25</v>
      </c>
      <c r="G29">
        <v>2541.86</v>
      </c>
      <c r="H29">
        <v>4231.29</v>
      </c>
      <c r="I29">
        <v>704.06</v>
      </c>
      <c r="J29">
        <v>-4024</v>
      </c>
      <c r="K29">
        <v>10502</v>
      </c>
    </row>
    <row r="30" spans="1:11" s="6" customFormat="1" x14ac:dyDescent="0.3">
      <c r="A30" s="6" t="s">
        <v>14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</v>
      </c>
      <c r="K30">
        <v>27830</v>
      </c>
    </row>
    <row r="31" spans="1:11" s="6" customFormat="1" x14ac:dyDescent="0.3">
      <c r="A31" s="6" t="s">
        <v>70</v>
      </c>
      <c r="B31">
        <v>67.92</v>
      </c>
      <c r="I31">
        <v>766.02</v>
      </c>
      <c r="J31">
        <v>2301</v>
      </c>
      <c r="K31">
        <v>2208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105932.35</v>
      </c>
      <c r="C42">
        <v>102236</v>
      </c>
      <c r="D42">
        <v>105129</v>
      </c>
      <c r="E42">
        <v>110577</v>
      </c>
      <c r="F42">
        <v>119033</v>
      </c>
      <c r="G42">
        <v>107102</v>
      </c>
      <c r="H42">
        <v>101450</v>
      </c>
      <c r="I42">
        <v>112608</v>
      </c>
      <c r="J42">
        <v>119503</v>
      </c>
      <c r="K42">
        <v>104407</v>
      </c>
    </row>
    <row r="43" spans="1:11" s="6" customFormat="1" x14ac:dyDescent="0.3">
      <c r="A43" s="6" t="s">
        <v>7</v>
      </c>
      <c r="B43">
        <v>92817.95</v>
      </c>
      <c r="C43">
        <v>89019</v>
      </c>
      <c r="D43">
        <v>91362</v>
      </c>
      <c r="E43">
        <v>95159</v>
      </c>
      <c r="F43">
        <v>102348</v>
      </c>
      <c r="G43">
        <v>91854</v>
      </c>
      <c r="H43">
        <v>89291</v>
      </c>
      <c r="I43">
        <v>100185</v>
      </c>
      <c r="J43">
        <v>102685</v>
      </c>
      <c r="K43">
        <v>94183</v>
      </c>
    </row>
    <row r="44" spans="1:11" s="6" customFormat="1" x14ac:dyDescent="0.3">
      <c r="A44" s="6" t="s">
        <v>9</v>
      </c>
      <c r="B44">
        <v>1452.86</v>
      </c>
      <c r="C44">
        <v>895</v>
      </c>
      <c r="D44">
        <v>1557</v>
      </c>
      <c r="E44">
        <v>1604</v>
      </c>
      <c r="F44">
        <v>1412</v>
      </c>
      <c r="G44">
        <v>6553</v>
      </c>
      <c r="H44">
        <v>1647</v>
      </c>
      <c r="I44">
        <v>1700</v>
      </c>
      <c r="J44">
        <v>1057</v>
      </c>
      <c r="K44">
        <v>1595</v>
      </c>
    </row>
    <row r="45" spans="1:11" s="6" customFormat="1" x14ac:dyDescent="0.3">
      <c r="A45" s="6" t="s">
        <v>10</v>
      </c>
      <c r="B45">
        <v>7050.2</v>
      </c>
      <c r="C45">
        <v>6633</v>
      </c>
      <c r="D45">
        <v>6637</v>
      </c>
      <c r="E45">
        <v>6850</v>
      </c>
      <c r="F45">
        <v>7143</v>
      </c>
      <c r="G45">
        <v>6565</v>
      </c>
      <c r="H45">
        <v>6005</v>
      </c>
      <c r="I45">
        <v>5399</v>
      </c>
      <c r="J45">
        <v>5295</v>
      </c>
      <c r="K45">
        <v>5320</v>
      </c>
    </row>
    <row r="46" spans="1:11" s="6" customFormat="1" x14ac:dyDescent="0.3">
      <c r="A46" s="6" t="s">
        <v>11</v>
      </c>
      <c r="B46">
        <v>2641.67</v>
      </c>
      <c r="C46">
        <v>2615</v>
      </c>
      <c r="D46">
        <v>2652</v>
      </c>
      <c r="E46">
        <v>2485</v>
      </c>
      <c r="F46">
        <v>1645</v>
      </c>
      <c r="G46">
        <v>1471</v>
      </c>
      <c r="H46">
        <v>2034</v>
      </c>
      <c r="I46">
        <v>1119</v>
      </c>
      <c r="J46">
        <v>1076</v>
      </c>
      <c r="K46">
        <v>938</v>
      </c>
    </row>
    <row r="47" spans="1:11" s="6" customFormat="1" x14ac:dyDescent="0.3">
      <c r="A47" s="6" t="s">
        <v>12</v>
      </c>
      <c r="B47">
        <v>4875.3900000000003</v>
      </c>
      <c r="C47">
        <v>4864</v>
      </c>
      <c r="D47">
        <v>6035</v>
      </c>
      <c r="E47">
        <v>7687</v>
      </c>
      <c r="F47">
        <v>9309</v>
      </c>
      <c r="G47">
        <v>13765</v>
      </c>
      <c r="H47">
        <v>5767</v>
      </c>
      <c r="I47">
        <v>7605</v>
      </c>
      <c r="J47">
        <v>11504</v>
      </c>
      <c r="K47">
        <v>5561</v>
      </c>
    </row>
    <row r="48" spans="1:11" s="6" customFormat="1" x14ac:dyDescent="0.3">
      <c r="A48" s="6" t="s">
        <v>13</v>
      </c>
      <c r="B48">
        <v>-620.65</v>
      </c>
      <c r="C48">
        <v>1563</v>
      </c>
      <c r="D48">
        <v>2203</v>
      </c>
      <c r="E48">
        <v>542</v>
      </c>
      <c r="F48">
        <v>-8219</v>
      </c>
      <c r="G48">
        <v>3178</v>
      </c>
      <c r="H48">
        <v>2317</v>
      </c>
      <c r="I48">
        <v>2120</v>
      </c>
      <c r="J48">
        <v>2948</v>
      </c>
      <c r="K48">
        <v>1558</v>
      </c>
    </row>
    <row r="49" spans="1:11" s="6" customFormat="1" x14ac:dyDescent="0.3">
      <c r="A49" s="6" t="s">
        <v>14</v>
      </c>
      <c r="B49">
        <v>5407.79</v>
      </c>
      <c r="C49">
        <v>3203</v>
      </c>
      <c r="D49">
        <v>3764</v>
      </c>
      <c r="E49">
        <v>7025</v>
      </c>
      <c r="F49">
        <v>17407</v>
      </c>
      <c r="G49">
        <v>10514</v>
      </c>
      <c r="H49">
        <v>3343</v>
      </c>
      <c r="I49">
        <v>5406</v>
      </c>
      <c r="J49">
        <v>8470</v>
      </c>
      <c r="K49">
        <v>3924</v>
      </c>
    </row>
    <row r="50" spans="1:11" x14ac:dyDescent="0.3">
      <c r="A50" s="6" t="s">
        <v>8</v>
      </c>
      <c r="B50">
        <v>13114.4</v>
      </c>
      <c r="C50">
        <v>13217</v>
      </c>
      <c r="D50">
        <v>13767</v>
      </c>
      <c r="E50">
        <v>15418</v>
      </c>
      <c r="F50">
        <v>16685</v>
      </c>
      <c r="G50">
        <v>15248</v>
      </c>
      <c r="H50">
        <v>12159</v>
      </c>
      <c r="I50">
        <v>12423</v>
      </c>
      <c r="J50">
        <v>16818</v>
      </c>
      <c r="K50">
        <v>10224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</v>
      </c>
      <c r="K57">
        <v>736</v>
      </c>
    </row>
    <row r="58" spans="1:11" x14ac:dyDescent="0.3">
      <c r="A58" s="6" t="s">
        <v>25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43795.360000000001</v>
      </c>
      <c r="I58">
        <v>44555.77</v>
      </c>
      <c r="J58">
        <v>84151</v>
      </c>
      <c r="K58">
        <v>115408</v>
      </c>
    </row>
    <row r="59" spans="1:11" x14ac:dyDescent="0.3">
      <c r="A59" s="6" t="s">
        <v>71</v>
      </c>
      <c r="B59">
        <v>69359.960000000006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</v>
      </c>
      <c r="K59">
        <v>71540</v>
      </c>
    </row>
    <row r="60" spans="1:11" x14ac:dyDescent="0.3">
      <c r="A60" s="6" t="s">
        <v>72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155239.20000000001</v>
      </c>
      <c r="J60">
        <v>177339</v>
      </c>
      <c r="K60">
        <v>189289</v>
      </c>
    </row>
    <row r="61" spans="1:11" s="1" customFormat="1" x14ac:dyDescent="0.3">
      <c r="A61" s="1" t="s">
        <v>26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</v>
      </c>
      <c r="K61">
        <v>376973</v>
      </c>
    </row>
    <row r="62" spans="1:11" x14ac:dyDescent="0.3">
      <c r="A62" s="6" t="s">
        <v>27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138707.60999999999</v>
      </c>
      <c r="H62">
        <v>138855.45000000001</v>
      </c>
      <c r="I62">
        <v>132079.76</v>
      </c>
      <c r="J62">
        <v>121285</v>
      </c>
      <c r="K62">
        <v>115697</v>
      </c>
    </row>
    <row r="63" spans="1:11" x14ac:dyDescent="0.3">
      <c r="A63" s="6" t="s">
        <v>28</v>
      </c>
      <c r="B63">
        <v>25918.94</v>
      </c>
      <c r="C63">
        <v>33698.839999999997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</v>
      </c>
      <c r="K63">
        <v>65806</v>
      </c>
    </row>
    <row r="64" spans="1:11" x14ac:dyDescent="0.3">
      <c r="A64" s="6" t="s">
        <v>29</v>
      </c>
      <c r="B64">
        <v>23767.02</v>
      </c>
      <c r="C64">
        <v>20337.919999999998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</v>
      </c>
      <c r="K64">
        <v>35656</v>
      </c>
    </row>
    <row r="65" spans="1:11" x14ac:dyDescent="0.3">
      <c r="A65" s="6" t="s">
        <v>73</v>
      </c>
      <c r="B65">
        <v>106266.4</v>
      </c>
      <c r="C65">
        <v>122599.52</v>
      </c>
      <c r="D65">
        <v>144931.70000000001</v>
      </c>
      <c r="E65">
        <v>146814.46</v>
      </c>
      <c r="F65">
        <v>141141.48000000001</v>
      </c>
      <c r="G65">
        <v>157278.09</v>
      </c>
      <c r="H65">
        <v>150575.42000000001</v>
      </c>
      <c r="I65">
        <v>161941.01</v>
      </c>
      <c r="J65">
        <v>189567</v>
      </c>
      <c r="K65">
        <v>159814</v>
      </c>
    </row>
    <row r="66" spans="1:11" s="1" customFormat="1" x14ac:dyDescent="0.3">
      <c r="A66" s="1" t="s">
        <v>26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</v>
      </c>
      <c r="K66">
        <v>376973</v>
      </c>
    </row>
    <row r="67" spans="1:11" s="6" customFormat="1" x14ac:dyDescent="0.3">
      <c r="A67" s="6" t="s">
        <v>78</v>
      </c>
      <c r="B67">
        <v>13570.91</v>
      </c>
      <c r="C67">
        <v>14075.55</v>
      </c>
      <c r="D67">
        <v>19893.3</v>
      </c>
      <c r="E67">
        <v>18996.169999999998</v>
      </c>
      <c r="F67">
        <v>11172.69</v>
      </c>
      <c r="G67">
        <v>12679.08</v>
      </c>
      <c r="H67">
        <v>12442.12</v>
      </c>
      <c r="I67">
        <v>15737.97</v>
      </c>
      <c r="J67">
        <v>16952</v>
      </c>
      <c r="K67">
        <v>13248</v>
      </c>
    </row>
    <row r="68" spans="1:11" x14ac:dyDescent="0.3">
      <c r="A68" s="6" t="s">
        <v>45</v>
      </c>
      <c r="B68">
        <v>32655.73</v>
      </c>
      <c r="C68">
        <v>35085.31</v>
      </c>
      <c r="D68">
        <v>42137.63</v>
      </c>
      <c r="E68">
        <v>39013.730000000003</v>
      </c>
      <c r="F68">
        <v>37456.879999999997</v>
      </c>
      <c r="G68">
        <v>36088.589999999997</v>
      </c>
      <c r="H68">
        <v>35240.339999999997</v>
      </c>
      <c r="I68">
        <v>40755.39</v>
      </c>
      <c r="J68">
        <v>47788</v>
      </c>
      <c r="K68">
        <v>47269</v>
      </c>
    </row>
    <row r="69" spans="1:11" x14ac:dyDescent="0.3">
      <c r="A69" s="4" t="s">
        <v>87</v>
      </c>
      <c r="B69">
        <v>30460.400000000001</v>
      </c>
      <c r="C69">
        <v>36077.879999999997</v>
      </c>
      <c r="D69">
        <v>34613.910000000003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</v>
      </c>
      <c r="K69">
        <v>40834</v>
      </c>
    </row>
    <row r="70" spans="1:11" x14ac:dyDescent="0.3">
      <c r="A70" s="4" t="s">
        <v>74</v>
      </c>
      <c r="B70">
        <v>3395930306</v>
      </c>
      <c r="C70">
        <v>3396100719</v>
      </c>
      <c r="D70">
        <v>3396100719</v>
      </c>
      <c r="E70">
        <v>3396100719</v>
      </c>
      <c r="F70">
        <v>3597726185</v>
      </c>
      <c r="G70">
        <v>3829060661</v>
      </c>
      <c r="H70">
        <v>3829414903</v>
      </c>
      <c r="I70">
        <v>3830097221</v>
      </c>
      <c r="J70">
        <v>3832491897</v>
      </c>
      <c r="K70">
        <v>3681348742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</v>
      </c>
      <c r="K82">
        <v>63102</v>
      </c>
    </row>
    <row r="83" spans="1:11" s="6" customFormat="1" x14ac:dyDescent="0.3">
      <c r="A83" s="6" t="s">
        <v>33</v>
      </c>
      <c r="B83">
        <v>-36693.9</v>
      </c>
      <c r="C83">
        <v>-39571.4</v>
      </c>
      <c r="D83">
        <v>-25139.14</v>
      </c>
      <c r="E83">
        <v>-20878.07</v>
      </c>
      <c r="F83">
        <v>-33114.550000000003</v>
      </c>
      <c r="G83">
        <v>-25672.5</v>
      </c>
      <c r="H83">
        <v>-4443.66</v>
      </c>
      <c r="I83">
        <v>-15417.17</v>
      </c>
      <c r="J83">
        <v>-22781</v>
      </c>
      <c r="K83">
        <v>-49982</v>
      </c>
    </row>
    <row r="84" spans="1:11" s="6" customFormat="1" x14ac:dyDescent="0.3">
      <c r="A84" s="6" t="s">
        <v>34</v>
      </c>
      <c r="B84">
        <v>-3795.12</v>
      </c>
      <c r="C84">
        <v>6205.3</v>
      </c>
      <c r="D84">
        <v>2011.71</v>
      </c>
      <c r="E84">
        <v>8830.3700000000008</v>
      </c>
      <c r="F84">
        <v>3389.61</v>
      </c>
      <c r="G84">
        <v>9904.2000000000007</v>
      </c>
      <c r="H84">
        <v>-3380.17</v>
      </c>
      <c r="I84">
        <v>-26242.9</v>
      </c>
      <c r="J84">
        <v>-37006</v>
      </c>
      <c r="K84">
        <v>-18786</v>
      </c>
    </row>
    <row r="85" spans="1:11" s="1" customFormat="1" x14ac:dyDescent="0.3">
      <c r="A85" s="6" t="s">
        <v>35</v>
      </c>
      <c r="B85">
        <v>-2589.48</v>
      </c>
      <c r="C85">
        <v>-3166.85</v>
      </c>
      <c r="D85">
        <v>729.99</v>
      </c>
      <c r="E85">
        <v>6843.05</v>
      </c>
      <c r="F85">
        <v>-3092</v>
      </c>
      <c r="G85">
        <v>13232.21</v>
      </c>
      <c r="H85">
        <v>6459</v>
      </c>
      <c r="I85">
        <v>-6272.06</v>
      </c>
      <c r="J85">
        <v>8128</v>
      </c>
      <c r="K85">
        <v>-5666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386.6</v>
      </c>
      <c r="C90">
        <v>465.85</v>
      </c>
      <c r="D90">
        <v>326.85000000000002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288.72000000000003</v>
      </c>
      <c r="C93" s="24">
        <v>288.73</v>
      </c>
      <c r="D93" s="24">
        <v>288.73</v>
      </c>
      <c r="E93" s="24">
        <v>288.73</v>
      </c>
      <c r="F93" s="24">
        <v>308.89999999999998</v>
      </c>
      <c r="G93" s="24">
        <v>332.03</v>
      </c>
      <c r="H93" s="24">
        <v>332.07</v>
      </c>
      <c r="I93" s="24">
        <v>332.13</v>
      </c>
      <c r="J93" s="24">
        <v>332.37</v>
      </c>
      <c r="K93" s="24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TATA MOTORS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105932.35</v>
      </c>
      <c r="C4" s="1">
        <f>'Data Sheet'!C42</f>
        <v>102236</v>
      </c>
      <c r="D4" s="1">
        <f>'Data Sheet'!D42</f>
        <v>105129</v>
      </c>
      <c r="E4" s="1">
        <f>'Data Sheet'!E42</f>
        <v>110577</v>
      </c>
      <c r="F4" s="1">
        <f>'Data Sheet'!F42</f>
        <v>119033</v>
      </c>
      <c r="G4" s="1">
        <f>'Data Sheet'!G42</f>
        <v>107102</v>
      </c>
      <c r="H4" s="1">
        <f>'Data Sheet'!H42</f>
        <v>101450</v>
      </c>
      <c r="I4" s="1">
        <f>'Data Sheet'!I42</f>
        <v>112608</v>
      </c>
      <c r="J4" s="1">
        <f>'Data Sheet'!J42</f>
        <v>119503</v>
      </c>
      <c r="K4" s="1">
        <f>'Data Sheet'!K42</f>
        <v>104407</v>
      </c>
    </row>
    <row r="5" spans="1:11" x14ac:dyDescent="0.3">
      <c r="A5" t="s">
        <v>7</v>
      </c>
      <c r="B5" s="6">
        <f>'Data Sheet'!B43</f>
        <v>92817.95</v>
      </c>
      <c r="C5" s="6">
        <f>'Data Sheet'!C43</f>
        <v>89019</v>
      </c>
      <c r="D5" s="6">
        <f>'Data Sheet'!D43</f>
        <v>91362</v>
      </c>
      <c r="E5" s="6">
        <f>'Data Sheet'!E43</f>
        <v>95159</v>
      </c>
      <c r="F5" s="6">
        <f>'Data Sheet'!F43</f>
        <v>102348</v>
      </c>
      <c r="G5" s="6">
        <f>'Data Sheet'!G43</f>
        <v>91854</v>
      </c>
      <c r="H5" s="6">
        <f>'Data Sheet'!H43</f>
        <v>89291</v>
      </c>
      <c r="I5" s="6">
        <f>'Data Sheet'!I43</f>
        <v>100185</v>
      </c>
      <c r="J5" s="6">
        <f>'Data Sheet'!J43</f>
        <v>102685</v>
      </c>
      <c r="K5" s="6">
        <f>'Data Sheet'!K43</f>
        <v>94183</v>
      </c>
    </row>
    <row r="6" spans="1:11" s="2" customFormat="1" x14ac:dyDescent="0.3">
      <c r="A6" s="2" t="s">
        <v>8</v>
      </c>
      <c r="B6" s="1">
        <f>'Data Sheet'!B50</f>
        <v>13114.4</v>
      </c>
      <c r="C6" s="1">
        <f>'Data Sheet'!C50</f>
        <v>13217</v>
      </c>
      <c r="D6" s="1">
        <f>'Data Sheet'!D50</f>
        <v>13767</v>
      </c>
      <c r="E6" s="1">
        <f>'Data Sheet'!E50</f>
        <v>15418</v>
      </c>
      <c r="F6" s="1">
        <f>'Data Sheet'!F50</f>
        <v>16685</v>
      </c>
      <c r="G6" s="1">
        <f>'Data Sheet'!G50</f>
        <v>15248</v>
      </c>
      <c r="H6" s="1">
        <f>'Data Sheet'!H50</f>
        <v>12159</v>
      </c>
      <c r="I6" s="1">
        <f>'Data Sheet'!I50</f>
        <v>12423</v>
      </c>
      <c r="J6" s="1">
        <f>'Data Sheet'!J50</f>
        <v>16818</v>
      </c>
      <c r="K6" s="1">
        <f>'Data Sheet'!K50</f>
        <v>10224</v>
      </c>
    </row>
    <row r="7" spans="1:11" x14ac:dyDescent="0.3">
      <c r="A7" t="s">
        <v>9</v>
      </c>
      <c r="B7" s="6">
        <f>'Data Sheet'!B44</f>
        <v>1452.86</v>
      </c>
      <c r="C7" s="6">
        <f>'Data Sheet'!C44</f>
        <v>895</v>
      </c>
      <c r="D7" s="6">
        <f>'Data Sheet'!D44</f>
        <v>1557</v>
      </c>
      <c r="E7" s="6">
        <f>'Data Sheet'!E44</f>
        <v>1604</v>
      </c>
      <c r="F7" s="6">
        <f>'Data Sheet'!F44</f>
        <v>1412</v>
      </c>
      <c r="G7" s="6">
        <f>'Data Sheet'!G44</f>
        <v>6553</v>
      </c>
      <c r="H7" s="6">
        <f>'Data Sheet'!H44</f>
        <v>1647</v>
      </c>
      <c r="I7" s="6">
        <f>'Data Sheet'!I44</f>
        <v>1700</v>
      </c>
      <c r="J7" s="6">
        <f>'Data Sheet'!J44</f>
        <v>1057</v>
      </c>
      <c r="K7" s="6">
        <f>'Data Sheet'!K44</f>
        <v>1595</v>
      </c>
    </row>
    <row r="8" spans="1:11" x14ac:dyDescent="0.3">
      <c r="A8" t="s">
        <v>10</v>
      </c>
      <c r="B8" s="6">
        <f>'Data Sheet'!B45</f>
        <v>7050.2</v>
      </c>
      <c r="C8" s="6">
        <f>'Data Sheet'!C45</f>
        <v>6633</v>
      </c>
      <c r="D8" s="6">
        <f>'Data Sheet'!D45</f>
        <v>6637</v>
      </c>
      <c r="E8" s="6">
        <f>'Data Sheet'!E45</f>
        <v>6850</v>
      </c>
      <c r="F8" s="6">
        <f>'Data Sheet'!F45</f>
        <v>7143</v>
      </c>
      <c r="G8" s="6">
        <f>'Data Sheet'!G45</f>
        <v>6565</v>
      </c>
      <c r="H8" s="6">
        <f>'Data Sheet'!H45</f>
        <v>6005</v>
      </c>
      <c r="I8" s="6">
        <f>'Data Sheet'!I45</f>
        <v>5399</v>
      </c>
      <c r="J8" s="6">
        <f>'Data Sheet'!J45</f>
        <v>5295</v>
      </c>
      <c r="K8" s="6">
        <f>'Data Sheet'!K45</f>
        <v>5320</v>
      </c>
    </row>
    <row r="9" spans="1:11" x14ac:dyDescent="0.3">
      <c r="A9" t="s">
        <v>11</v>
      </c>
      <c r="B9" s="6">
        <f>'Data Sheet'!B46</f>
        <v>2641.67</v>
      </c>
      <c r="C9" s="6">
        <f>'Data Sheet'!C46</f>
        <v>2615</v>
      </c>
      <c r="D9" s="6">
        <f>'Data Sheet'!D46</f>
        <v>2652</v>
      </c>
      <c r="E9" s="6">
        <f>'Data Sheet'!E46</f>
        <v>2485</v>
      </c>
      <c r="F9" s="6">
        <f>'Data Sheet'!F46</f>
        <v>1645</v>
      </c>
      <c r="G9" s="6">
        <f>'Data Sheet'!G46</f>
        <v>1471</v>
      </c>
      <c r="H9" s="6">
        <f>'Data Sheet'!H46</f>
        <v>2034</v>
      </c>
      <c r="I9" s="6">
        <f>'Data Sheet'!I46</f>
        <v>1119</v>
      </c>
      <c r="J9" s="6">
        <f>'Data Sheet'!J46</f>
        <v>1076</v>
      </c>
      <c r="K9" s="6">
        <f>'Data Sheet'!K46</f>
        <v>938</v>
      </c>
    </row>
    <row r="10" spans="1:11" x14ac:dyDescent="0.3">
      <c r="A10" t="s">
        <v>12</v>
      </c>
      <c r="B10" s="6">
        <f>'Data Sheet'!B47</f>
        <v>4875.3900000000003</v>
      </c>
      <c r="C10" s="6">
        <f>'Data Sheet'!C47</f>
        <v>4864</v>
      </c>
      <c r="D10" s="6">
        <f>'Data Sheet'!D47</f>
        <v>6035</v>
      </c>
      <c r="E10" s="6">
        <f>'Data Sheet'!E47</f>
        <v>7687</v>
      </c>
      <c r="F10" s="6">
        <f>'Data Sheet'!F47</f>
        <v>9309</v>
      </c>
      <c r="G10" s="6">
        <f>'Data Sheet'!G47</f>
        <v>13765</v>
      </c>
      <c r="H10" s="6">
        <f>'Data Sheet'!H47</f>
        <v>5767</v>
      </c>
      <c r="I10" s="6">
        <f>'Data Sheet'!I47</f>
        <v>7605</v>
      </c>
      <c r="J10" s="6">
        <f>'Data Sheet'!J47</f>
        <v>11504</v>
      </c>
      <c r="K10" s="6">
        <f>'Data Sheet'!K47</f>
        <v>5561</v>
      </c>
    </row>
    <row r="11" spans="1:11" x14ac:dyDescent="0.3">
      <c r="A11" t="s">
        <v>13</v>
      </c>
      <c r="B11" s="6">
        <f>'Data Sheet'!B48</f>
        <v>-620.65</v>
      </c>
      <c r="C11" s="6">
        <f>'Data Sheet'!C48</f>
        <v>1563</v>
      </c>
      <c r="D11" s="6">
        <f>'Data Sheet'!D48</f>
        <v>2203</v>
      </c>
      <c r="E11" s="6">
        <f>'Data Sheet'!E48</f>
        <v>542</v>
      </c>
      <c r="F11" s="6">
        <f>'Data Sheet'!F48</f>
        <v>-8219</v>
      </c>
      <c r="G11" s="6">
        <f>'Data Sheet'!G48</f>
        <v>3178</v>
      </c>
      <c r="H11" s="6">
        <f>'Data Sheet'!H48</f>
        <v>2317</v>
      </c>
      <c r="I11" s="6">
        <f>'Data Sheet'!I48</f>
        <v>2120</v>
      </c>
      <c r="J11" s="6">
        <f>'Data Sheet'!J48</f>
        <v>2948</v>
      </c>
      <c r="K11" s="6">
        <f>'Data Sheet'!K48</f>
        <v>1558</v>
      </c>
    </row>
    <row r="12" spans="1:11" s="2" customFormat="1" x14ac:dyDescent="0.3">
      <c r="A12" s="2" t="s">
        <v>14</v>
      </c>
      <c r="B12" s="1">
        <f>'Data Sheet'!B49</f>
        <v>5407.79</v>
      </c>
      <c r="C12" s="1">
        <f>'Data Sheet'!C49</f>
        <v>3203</v>
      </c>
      <c r="D12" s="1">
        <f>'Data Sheet'!D49</f>
        <v>3764</v>
      </c>
      <c r="E12" s="1">
        <f>'Data Sheet'!E49</f>
        <v>7025</v>
      </c>
      <c r="F12" s="1">
        <f>'Data Sheet'!F49</f>
        <v>17407</v>
      </c>
      <c r="G12" s="1">
        <f>'Data Sheet'!G49</f>
        <v>10514</v>
      </c>
      <c r="H12" s="1">
        <f>'Data Sheet'!H49</f>
        <v>3343</v>
      </c>
      <c r="I12" s="1">
        <f>'Data Sheet'!I49</f>
        <v>5406</v>
      </c>
      <c r="J12" s="1">
        <f>'Data Sheet'!J49</f>
        <v>8470</v>
      </c>
      <c r="K12" s="1">
        <f>'Data Sheet'!K49</f>
        <v>3924</v>
      </c>
    </row>
    <row r="14" spans="1:11" s="2" customFormat="1" x14ac:dyDescent="0.3">
      <c r="A14" s="2" t="s">
        <v>18</v>
      </c>
      <c r="B14" s="10">
        <f>IF(B4&gt;0,B6/B4,"")</f>
        <v>0.1237997646611257</v>
      </c>
      <c r="C14" s="10">
        <f t="shared" ref="C14:K14" si="0">IF(C4&gt;0,C6/C4,"")</f>
        <v>0.12927931452717242</v>
      </c>
      <c r="D14" s="10">
        <f t="shared" si="0"/>
        <v>0.1309534001084382</v>
      </c>
      <c r="E14" s="10">
        <f t="shared" si="0"/>
        <v>0.13943225082973856</v>
      </c>
      <c r="F14" s="10">
        <f t="shared" si="0"/>
        <v>0.14017121302495947</v>
      </c>
      <c r="G14" s="10">
        <f t="shared" si="0"/>
        <v>0.14236895669548655</v>
      </c>
      <c r="H14" s="10">
        <f t="shared" si="0"/>
        <v>0.11985214391325777</v>
      </c>
      <c r="I14" s="10">
        <f t="shared" si="0"/>
        <v>0.11032075873827792</v>
      </c>
      <c r="J14" s="10">
        <f t="shared" si="0"/>
        <v>0.14073286863091303</v>
      </c>
      <c r="K14" s="10">
        <f t="shared" si="0"/>
        <v>9.7924468665894049E-2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D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TATA MOTORS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679.18</v>
      </c>
      <c r="C4" s="14">
        <f>'Data Sheet'!C57</f>
        <v>679.22</v>
      </c>
      <c r="D4" s="14">
        <f>'Data Sheet'!D57</f>
        <v>679.22</v>
      </c>
      <c r="E4" s="14">
        <f>'Data Sheet'!E57</f>
        <v>679.22</v>
      </c>
      <c r="F4" s="14">
        <f>'Data Sheet'!F57</f>
        <v>719.54</v>
      </c>
      <c r="G4" s="14">
        <f>'Data Sheet'!G57</f>
        <v>765.81</v>
      </c>
      <c r="H4" s="14">
        <f>'Data Sheet'!H57</f>
        <v>765.88</v>
      </c>
      <c r="I4" s="14">
        <f>'Data Sheet'!I57</f>
        <v>766.02</v>
      </c>
      <c r="J4" s="14">
        <f>'Data Sheet'!J57</f>
        <v>767</v>
      </c>
      <c r="K4" s="14">
        <f>'Data Sheet'!K57</f>
        <v>736</v>
      </c>
    </row>
    <row r="5" spans="1:11" x14ac:dyDescent="0.3">
      <c r="A5" t="s">
        <v>25</v>
      </c>
      <c r="B5" s="14">
        <f>'Data Sheet'!B58</f>
        <v>78273.23</v>
      </c>
      <c r="C5" s="14">
        <f>'Data Sheet'!C58</f>
        <v>57382.67</v>
      </c>
      <c r="D5" s="14">
        <f>'Data Sheet'!D58</f>
        <v>94748.69</v>
      </c>
      <c r="E5" s="14">
        <f>'Data Sheet'!E58</f>
        <v>59500.34</v>
      </c>
      <c r="F5" s="14">
        <f>'Data Sheet'!F58</f>
        <v>62358.99</v>
      </c>
      <c r="G5" s="14">
        <f>'Data Sheet'!G58</f>
        <v>54480.91</v>
      </c>
      <c r="H5" s="14">
        <f>'Data Sheet'!H58</f>
        <v>43795.360000000001</v>
      </c>
      <c r="I5" s="14">
        <f>'Data Sheet'!I58</f>
        <v>44555.77</v>
      </c>
      <c r="J5" s="14">
        <f>'Data Sheet'!J58</f>
        <v>84151</v>
      </c>
      <c r="K5" s="14">
        <f>'Data Sheet'!K58</f>
        <v>115408</v>
      </c>
    </row>
    <row r="6" spans="1:11" x14ac:dyDescent="0.3">
      <c r="A6" t="s">
        <v>71</v>
      </c>
      <c r="B6" s="14">
        <f>'Data Sheet'!B59</f>
        <v>69359.960000000006</v>
      </c>
      <c r="C6" s="14">
        <f>'Data Sheet'!C59</f>
        <v>78603.98</v>
      </c>
      <c r="D6" s="14">
        <f>'Data Sheet'!D59</f>
        <v>88950.47</v>
      </c>
      <c r="E6" s="14">
        <f>'Data Sheet'!E59</f>
        <v>106175.34</v>
      </c>
      <c r="F6" s="14">
        <f>'Data Sheet'!F59</f>
        <v>124787.64</v>
      </c>
      <c r="G6" s="14">
        <f>'Data Sheet'!G59</f>
        <v>142130.57</v>
      </c>
      <c r="H6" s="14">
        <f>'Data Sheet'!H59</f>
        <v>146449.03</v>
      </c>
      <c r="I6" s="14">
        <f>'Data Sheet'!I59</f>
        <v>134113.44</v>
      </c>
      <c r="J6" s="14">
        <f>'Data Sheet'!J59</f>
        <v>107264</v>
      </c>
      <c r="K6" s="14">
        <f>'Data Sheet'!K59</f>
        <v>71540</v>
      </c>
    </row>
    <row r="7" spans="1:11" x14ac:dyDescent="0.3">
      <c r="A7" t="s">
        <v>72</v>
      </c>
      <c r="B7" s="14">
        <f>'Data Sheet'!B60</f>
        <v>114871.75</v>
      </c>
      <c r="C7" s="14">
        <f>'Data Sheet'!C60</f>
        <v>135914.49</v>
      </c>
      <c r="D7" s="14">
        <f>'Data Sheet'!D60</f>
        <v>142813.43</v>
      </c>
      <c r="E7" s="14">
        <f>'Data Sheet'!E60</f>
        <v>139348.59</v>
      </c>
      <c r="F7" s="14">
        <f>'Data Sheet'!F60</f>
        <v>132313.22</v>
      </c>
      <c r="G7" s="14">
        <f>'Data Sheet'!G60</f>
        <v>144192.62</v>
      </c>
      <c r="H7" s="14">
        <f>'Data Sheet'!H60</f>
        <v>138051.22</v>
      </c>
      <c r="I7" s="14">
        <f>'Data Sheet'!I60</f>
        <v>155239.20000000001</v>
      </c>
      <c r="J7" s="14">
        <f>'Data Sheet'!J60</f>
        <v>177339</v>
      </c>
      <c r="K7" s="14">
        <f>'Data Sheet'!K60</f>
        <v>189289</v>
      </c>
    </row>
    <row r="8" spans="1:11" s="2" customFormat="1" x14ac:dyDescent="0.3">
      <c r="A8" s="2" t="s">
        <v>26</v>
      </c>
      <c r="B8" s="15">
        <f>'Data Sheet'!B61</f>
        <v>263184.12</v>
      </c>
      <c r="C8" s="15">
        <f>'Data Sheet'!C61</f>
        <v>272580.36</v>
      </c>
      <c r="D8" s="15">
        <f>'Data Sheet'!D61</f>
        <v>327191.81</v>
      </c>
      <c r="E8" s="15">
        <f>'Data Sheet'!E61</f>
        <v>305703.49</v>
      </c>
      <c r="F8" s="15">
        <f>'Data Sheet'!F61</f>
        <v>320179.39</v>
      </c>
      <c r="G8" s="15">
        <f>'Data Sheet'!G61</f>
        <v>341569.91</v>
      </c>
      <c r="H8" s="15">
        <f>'Data Sheet'!H61</f>
        <v>329061.49</v>
      </c>
      <c r="I8" s="15">
        <f>'Data Sheet'!I61</f>
        <v>334674.43</v>
      </c>
      <c r="J8" s="15">
        <f>'Data Sheet'!J61</f>
        <v>369521</v>
      </c>
      <c r="K8" s="15">
        <f>'Data Sheet'!K61</f>
        <v>376973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107231.76</v>
      </c>
      <c r="C10" s="14">
        <f>'Data Sheet'!C62</f>
        <v>95944.08</v>
      </c>
      <c r="D10" s="14">
        <f>'Data Sheet'!D62</f>
        <v>121413.86</v>
      </c>
      <c r="E10" s="14">
        <f>'Data Sheet'!E62</f>
        <v>111234.47</v>
      </c>
      <c r="F10" s="14">
        <f>'Data Sheet'!F62</f>
        <v>127107.14</v>
      </c>
      <c r="G10" s="14">
        <f>'Data Sheet'!G62</f>
        <v>138707.60999999999</v>
      </c>
      <c r="H10" s="14">
        <f>'Data Sheet'!H62</f>
        <v>138855.45000000001</v>
      </c>
      <c r="I10" s="14">
        <f>'Data Sheet'!I62</f>
        <v>132079.76</v>
      </c>
      <c r="J10" s="14">
        <f>'Data Sheet'!J62</f>
        <v>121285</v>
      </c>
      <c r="K10" s="14">
        <f>'Data Sheet'!K62</f>
        <v>115697</v>
      </c>
    </row>
    <row r="11" spans="1:11" x14ac:dyDescent="0.3">
      <c r="A11" t="s">
        <v>28</v>
      </c>
      <c r="B11" s="14">
        <f>'Data Sheet'!B63</f>
        <v>25918.94</v>
      </c>
      <c r="C11" s="14">
        <f>'Data Sheet'!C63</f>
        <v>33698.839999999997</v>
      </c>
      <c r="D11" s="14">
        <f>'Data Sheet'!D63</f>
        <v>40033.5</v>
      </c>
      <c r="E11" s="14">
        <f>'Data Sheet'!E63</f>
        <v>31883.84</v>
      </c>
      <c r="F11" s="14">
        <f>'Data Sheet'!F63</f>
        <v>35622.29</v>
      </c>
      <c r="G11" s="14">
        <f>'Data Sheet'!G63</f>
        <v>20963.93</v>
      </c>
      <c r="H11" s="14">
        <f>'Data Sheet'!H63</f>
        <v>10251.09</v>
      </c>
      <c r="I11" s="14">
        <f>'Data Sheet'!I63</f>
        <v>14274.5</v>
      </c>
      <c r="J11" s="14">
        <f>'Data Sheet'!J63</f>
        <v>35698</v>
      </c>
      <c r="K11" s="14">
        <f>'Data Sheet'!K63</f>
        <v>65806</v>
      </c>
    </row>
    <row r="12" spans="1:11" x14ac:dyDescent="0.3">
      <c r="A12" t="s">
        <v>29</v>
      </c>
      <c r="B12" s="14">
        <f>'Data Sheet'!B64</f>
        <v>23767.02</v>
      </c>
      <c r="C12" s="14">
        <f>'Data Sheet'!C64</f>
        <v>20337.919999999998</v>
      </c>
      <c r="D12" s="14">
        <f>'Data Sheet'!D64</f>
        <v>20812.75</v>
      </c>
      <c r="E12" s="14">
        <f>'Data Sheet'!E64</f>
        <v>15770.72</v>
      </c>
      <c r="F12" s="14">
        <f>'Data Sheet'!F64</f>
        <v>16308.48</v>
      </c>
      <c r="G12" s="14">
        <f>'Data Sheet'!G64</f>
        <v>24620.28</v>
      </c>
      <c r="H12" s="14">
        <f>'Data Sheet'!H64</f>
        <v>29379.53</v>
      </c>
      <c r="I12" s="14">
        <f>'Data Sheet'!I64</f>
        <v>26379.16</v>
      </c>
      <c r="J12" s="14">
        <f>'Data Sheet'!J64</f>
        <v>22971</v>
      </c>
      <c r="K12" s="14">
        <f>'Data Sheet'!K64</f>
        <v>35656</v>
      </c>
    </row>
    <row r="13" spans="1:11" x14ac:dyDescent="0.3">
      <c r="A13" t="s">
        <v>73</v>
      </c>
      <c r="B13" s="14">
        <f>'Data Sheet'!B65</f>
        <v>106266.4</v>
      </c>
      <c r="C13" s="14">
        <f>'Data Sheet'!C65</f>
        <v>122599.52</v>
      </c>
      <c r="D13" s="14">
        <f>'Data Sheet'!D65</f>
        <v>144931.70000000001</v>
      </c>
      <c r="E13" s="14">
        <f>'Data Sheet'!E65</f>
        <v>146814.46</v>
      </c>
      <c r="F13" s="14">
        <f>'Data Sheet'!F65</f>
        <v>141141.48000000001</v>
      </c>
      <c r="G13" s="14">
        <f>'Data Sheet'!G65</f>
        <v>157278.09</v>
      </c>
      <c r="H13" s="14">
        <f>'Data Sheet'!H65</f>
        <v>150575.42000000001</v>
      </c>
      <c r="I13" s="14">
        <f>'Data Sheet'!I65</f>
        <v>161941.01</v>
      </c>
      <c r="J13" s="14">
        <f>'Data Sheet'!J65</f>
        <v>189567</v>
      </c>
      <c r="K13" s="14">
        <f>'Data Sheet'!K65</f>
        <v>159814</v>
      </c>
    </row>
    <row r="14" spans="1:11" s="2" customFormat="1" x14ac:dyDescent="0.3">
      <c r="A14" s="2" t="s">
        <v>26</v>
      </c>
      <c r="B14" s="14">
        <f>'Data Sheet'!B66</f>
        <v>263184.12</v>
      </c>
      <c r="C14" s="14">
        <f>'Data Sheet'!C66</f>
        <v>272580.36</v>
      </c>
      <c r="D14" s="14">
        <f>'Data Sheet'!D66</f>
        <v>327191.81</v>
      </c>
      <c r="E14" s="14">
        <f>'Data Sheet'!E66</f>
        <v>305703.49</v>
      </c>
      <c r="F14" s="14">
        <f>'Data Sheet'!F66</f>
        <v>320179.39</v>
      </c>
      <c r="G14" s="14">
        <f>'Data Sheet'!G66</f>
        <v>341569.91</v>
      </c>
      <c r="H14" s="14">
        <f>'Data Sheet'!H66</f>
        <v>329061.49</v>
      </c>
      <c r="I14" s="14">
        <f>'Data Sheet'!I66</f>
        <v>334674.43</v>
      </c>
      <c r="J14" s="14">
        <f>'Data Sheet'!J66</f>
        <v>369521</v>
      </c>
      <c r="K14" s="14">
        <f>'Data Sheet'!K66</f>
        <v>376973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-8605.3500000000058</v>
      </c>
      <c r="C16" s="4">
        <f t="shared" ref="C16:K16" si="0">C13-C7</f>
        <v>-13314.969999999987</v>
      </c>
      <c r="D16" s="4">
        <f t="shared" si="0"/>
        <v>2118.2700000000186</v>
      </c>
      <c r="E16" s="4">
        <f t="shared" si="0"/>
        <v>7465.8699999999953</v>
      </c>
      <c r="F16" s="4">
        <f t="shared" si="0"/>
        <v>8828.2600000000093</v>
      </c>
      <c r="G16" s="4">
        <f t="shared" si="0"/>
        <v>13085.470000000001</v>
      </c>
      <c r="H16" s="4">
        <f t="shared" si="0"/>
        <v>12524.200000000012</v>
      </c>
      <c r="I16" s="4">
        <f t="shared" si="0"/>
        <v>6701.8099999999977</v>
      </c>
      <c r="J16" s="4">
        <f t="shared" si="0"/>
        <v>12228</v>
      </c>
      <c r="K16" s="4">
        <f t="shared" si="0"/>
        <v>-29475</v>
      </c>
    </row>
    <row r="17" spans="1:11" x14ac:dyDescent="0.3">
      <c r="A17" t="s">
        <v>44</v>
      </c>
      <c r="B17" s="4">
        <f>'Data Sheet'!B67</f>
        <v>13570.91</v>
      </c>
      <c r="C17" s="4">
        <f>'Data Sheet'!C67</f>
        <v>14075.55</v>
      </c>
      <c r="D17" s="4">
        <f>'Data Sheet'!D67</f>
        <v>19893.3</v>
      </c>
      <c r="E17" s="4">
        <f>'Data Sheet'!E67</f>
        <v>18996.169999999998</v>
      </c>
      <c r="F17" s="4">
        <f>'Data Sheet'!F67</f>
        <v>11172.69</v>
      </c>
      <c r="G17" s="4">
        <f>'Data Sheet'!G67</f>
        <v>12679.08</v>
      </c>
      <c r="H17" s="4">
        <f>'Data Sheet'!H67</f>
        <v>12442.12</v>
      </c>
      <c r="I17" s="4">
        <f>'Data Sheet'!I67</f>
        <v>15737.97</v>
      </c>
      <c r="J17" s="4">
        <f>'Data Sheet'!J67</f>
        <v>16952</v>
      </c>
      <c r="K17" s="4">
        <f>'Data Sheet'!K67</f>
        <v>13248</v>
      </c>
    </row>
    <row r="18" spans="1:11" x14ac:dyDescent="0.3">
      <c r="A18" t="s">
        <v>45</v>
      </c>
      <c r="B18" s="4">
        <f>'Data Sheet'!B68</f>
        <v>32655.73</v>
      </c>
      <c r="C18" s="4">
        <f>'Data Sheet'!C68</f>
        <v>35085.31</v>
      </c>
      <c r="D18" s="4">
        <f>'Data Sheet'!D68</f>
        <v>42137.63</v>
      </c>
      <c r="E18" s="4">
        <f>'Data Sheet'!E68</f>
        <v>39013.730000000003</v>
      </c>
      <c r="F18" s="4">
        <f>'Data Sheet'!F68</f>
        <v>37456.879999999997</v>
      </c>
      <c r="G18" s="4">
        <f>'Data Sheet'!G68</f>
        <v>36088.589999999997</v>
      </c>
      <c r="H18" s="4">
        <f>'Data Sheet'!H68</f>
        <v>35240.339999999997</v>
      </c>
      <c r="I18" s="4">
        <f>'Data Sheet'!I68</f>
        <v>40755.39</v>
      </c>
      <c r="J18" s="4">
        <f>'Data Sheet'!J68</f>
        <v>47788</v>
      </c>
      <c r="K18" s="4">
        <f>'Data Sheet'!K68</f>
        <v>47269</v>
      </c>
    </row>
    <row r="20" spans="1:11" x14ac:dyDescent="0.3">
      <c r="A20" t="s">
        <v>46</v>
      </c>
      <c r="B20" s="4">
        <f>IF('Profit &amp; Loss'!B4&gt;0,'Balance Sheet'!B17/('Profit &amp; Loss'!B4/365),0)</f>
        <v>18.141226776772818</v>
      </c>
      <c r="C20" s="4">
        <f>IF('Profit &amp; Loss'!C4&gt;0,'Balance Sheet'!C17/('Profit &amp; Loss'!C4/365),0)</f>
        <v>19.049753180019717</v>
      </c>
      <c r="D20" s="4">
        <f>IF('Profit &amp; Loss'!D4&gt;0,'Balance Sheet'!D17/('Profit &amp; Loss'!D4/365),0)</f>
        <v>24.904964999543132</v>
      </c>
      <c r="E20" s="4">
        <f>IF('Profit &amp; Loss'!E4&gt;0,'Balance Sheet'!E17/('Profit &amp; Loss'!E4/365),0)</f>
        <v>22.963631157878556</v>
      </c>
      <c r="F20" s="4">
        <f>IF('Profit &amp; Loss'!F4&gt;0,'Balance Sheet'!F17/('Profit &amp; Loss'!F4/365),0)</f>
        <v>15.62057517051977</v>
      </c>
      <c r="G20" s="4">
        <f>IF('Profit &amp; Loss'!G4&gt;0,'Balance Sheet'!G17/('Profit &amp; Loss'!G4/365),0)</f>
        <v>18.526667193766084</v>
      </c>
      <c r="H20" s="4">
        <f>IF('Profit &amp; Loss'!H4&gt;0,'Balance Sheet'!H17/('Profit &amp; Loss'!H4/365),0)</f>
        <v>16.309264717046958</v>
      </c>
      <c r="I20" s="4">
        <f>IF('Profit &amp; Loss'!I4&gt;0,'Balance Sheet'!I17/('Profit &amp; Loss'!I4/365),0)</f>
        <v>16.603778823163381</v>
      </c>
      <c r="J20" s="4">
        <f>IF('Profit &amp; Loss'!J4&gt;0,'Balance Sheet'!J17/('Profit &amp; Loss'!J4/365),0)</f>
        <v>14.256340780063409</v>
      </c>
      <c r="K20" s="4">
        <f>IF('Profit &amp; Loss'!K4&gt;0,'Balance Sheet'!K17/('Profit &amp; Loss'!K4/365),0)</f>
        <v>10.9974414082489</v>
      </c>
    </row>
    <row r="21" spans="1:11" x14ac:dyDescent="0.3">
      <c r="A21" t="s">
        <v>47</v>
      </c>
      <c r="B21" s="4">
        <f>IF('Balance Sheet'!B18&gt;0,'Profit &amp; Loss'!B4/'Balance Sheet'!B18,0)</f>
        <v>8.3613381173839922</v>
      </c>
      <c r="C21" s="4">
        <f>IF('Balance Sheet'!C18&gt;0,'Profit &amp; Loss'!C4/'Balance Sheet'!C18,0)</f>
        <v>7.6867643466738649</v>
      </c>
      <c r="D21" s="4">
        <f>IF('Balance Sheet'!D18&gt;0,'Profit &amp; Loss'!D4/'Balance Sheet'!D18,0)</f>
        <v>6.9190051742350009</v>
      </c>
      <c r="E21" s="4">
        <f>IF('Balance Sheet'!E18&gt;0,'Profit &amp; Loss'!E4/'Balance Sheet'!E18,0)</f>
        <v>7.7392856309817084</v>
      </c>
      <c r="F21" s="4">
        <f>IF('Balance Sheet'!F18&gt;0,'Profit &amp; Loss'!F4/'Balance Sheet'!F18,0)</f>
        <v>6.9698269049637886</v>
      </c>
      <c r="G21" s="4">
        <f>IF('Balance Sheet'!G18&gt;0,'Profit &amp; Loss'!G4/'Balance Sheet'!G18,0)</f>
        <v>6.9217098811563442</v>
      </c>
      <c r="H21" s="4">
        <f>IF('Balance Sheet'!H18&gt;0,'Profit &amp; Loss'!H4/'Balance Sheet'!H18,0)</f>
        <v>7.9015588385356104</v>
      </c>
      <c r="I21" s="4">
        <f>IF('Balance Sheet'!I18&gt;0,'Profit &amp; Loss'!I4/'Balance Sheet'!I18,0)</f>
        <v>8.4888641723217457</v>
      </c>
      <c r="J21" s="4">
        <f>IF('Balance Sheet'!J18&gt;0,'Profit &amp; Loss'!J4/'Balance Sheet'!J18,0)</f>
        <v>9.0821126642671803</v>
      </c>
      <c r="K21" s="4">
        <f>IF('Balance Sheet'!K18&gt;0,'Profit &amp; Loss'!K4/'Balance Sheet'!K18,0)</f>
        <v>9.3019738094734397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0.14666189417143824</v>
      </c>
      <c r="C23" s="10">
        <f>IF(SUM('Balance Sheet'!C4:C5)&gt;0,'Profit &amp; Loss'!C12/SUM('Balance Sheet'!C4:C5),"")</f>
        <v>0.1283864510783235</v>
      </c>
      <c r="D23" s="10">
        <f>IF(SUM('Balance Sheet'!D4:D5)&gt;0,'Profit &amp; Loss'!D12/SUM('Balance Sheet'!D4:D5),"")</f>
        <v>9.4195817554843228E-2</v>
      </c>
      <c r="E23" s="10">
        <f>IF(SUM('Balance Sheet'!E4:E5)&gt;0,'Profit &amp; Loss'!E12/SUM('Balance Sheet'!E4:E5),"")</f>
        <v>-0.47900366835516911</v>
      </c>
      <c r="F23" s="10">
        <f>IF(SUM('Balance Sheet'!F4:F5)&gt;0,'Profit &amp; Loss'!F12/SUM('Balance Sheet'!F4:F5),"")</f>
        <v>-0.19136225907610721</v>
      </c>
      <c r="G23" s="10">
        <f>IF(SUM('Balance Sheet'!G4:G5)&gt;0,'Profit &amp; Loss'!G12/SUM('Balance Sheet'!G4:G5),"")</f>
        <v>-0.24347852687001145</v>
      </c>
      <c r="H23" s="10">
        <f>IF(SUM('Balance Sheet'!H4:H5)&gt;0,'Profit &amp; Loss'!H12/SUM('Balance Sheet'!H4:H5),"")</f>
        <v>-0.25675833975894746</v>
      </c>
      <c r="I23" s="10">
        <f>IF(SUM('Balance Sheet'!I4:I5)&gt;0,'Profit &amp; Loss'!I12/SUM('Balance Sheet'!I4:I5),"")</f>
        <v>5.326996131441411E-2</v>
      </c>
      <c r="J23" s="10">
        <f>IF(SUM('Balance Sheet'!J4:J5)&gt;0,'Profit &amp; Loss'!J12/SUM('Balance Sheet'!J4:J5),"")</f>
        <v>0.36975670646977082</v>
      </c>
      <c r="K23" s="10">
        <f>IF(SUM('Balance Sheet'!K4:K5)&gt;0,'Profit &amp; Loss'!K12/SUM('Balance Sheet'!K4:K5),"")</f>
        <v>0.23961633833861412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9.5114630506525702E-2</v>
      </c>
      <c r="D24" s="10">
        <f>IF((C4+C5+C6+D4+D5+D6)&gt;0,('Profit &amp; Loss'!D10+'Profit &amp; Loss'!D9)*2/(C4+C5+C6+D4+D5+D6),"")</f>
        <v>9.8658175625322669E-2</v>
      </c>
      <c r="E24" s="10">
        <f>IF((D4+D5+D6+E4+E5+E6)&gt;0,('Profit &amp; Loss'!E10+'Profit &amp; Loss'!E9)*2/(D4+D5+D6+E4+E5+E6),"")</f>
        <v>-0.14605143828951733</v>
      </c>
      <c r="F24" s="10">
        <f>IF((E4+E5+E6+F4+F5+F6)&gt;0,('Profit &amp; Loss'!F10+'Profit &amp; Loss'!F9)*2/(E4+E5+E6+F4+F5+F6),"")</f>
        <v>-1.8839364919766063E-2</v>
      </c>
      <c r="G24" s="10">
        <f>IF((F4+F5+F6+G4+G5+G6)&gt;0,('Profit &amp; Loss'!G10+'Profit &amp; Loss'!G9)*2/(F4+F5+F6+G4+G5+G6),"")</f>
        <v>-1.2340819491134259E-2</v>
      </c>
      <c r="H24" s="10">
        <f>IF((G4+G5+G6+H4+H5+H6)&gt;0,('Profit &amp; Loss'!H10+'Profit &amp; Loss'!H9)*2/(G4+G5+G6+H4+H5+H6),"")</f>
        <v>1.1887352931695343E-2</v>
      </c>
      <c r="I24" s="10">
        <f>IF((H4+H5+H6+I4+I5+I6)&gt;0,('Profit &amp; Loss'!I10+'Profit &amp; Loss'!I9)*2/(H4+H5+H6+I4+I5+I6),"")</f>
        <v>7.3529898460097373E-2</v>
      </c>
      <c r="J24" s="10">
        <f>IF((I4+I5+I6+J4+J5+J6)&gt;0,('Profit &amp; Loss'!J10+'Profit &amp; Loss'!J9)*2/(I4+I5+I6+J4+J5+J6),"")</f>
        <v>0.19039483180045233</v>
      </c>
      <c r="K24" s="10">
        <f>IF((J4+J5+J6+K4+K5+K6)&gt;0,('Profit &amp; Loss'!K10+'Profit &amp; Loss'!K9)*2/(J4+J5+J6+K4+K5+K6),"")</f>
        <v>0.23026014436669773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TATA MOTORS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37899.54</v>
      </c>
      <c r="C4" s="1">
        <f>'Data Sheet'!C82</f>
        <v>30199.25</v>
      </c>
      <c r="D4" s="1">
        <f>'Data Sheet'!D82</f>
        <v>23857.42</v>
      </c>
      <c r="E4" s="1">
        <f>'Data Sheet'!E82</f>
        <v>18890.75</v>
      </c>
      <c r="F4" s="1">
        <f>'Data Sheet'!F82</f>
        <v>26632.94</v>
      </c>
      <c r="G4" s="1">
        <f>'Data Sheet'!G82</f>
        <v>29000.51</v>
      </c>
      <c r="H4" s="1">
        <f>'Data Sheet'!H82</f>
        <v>14282.83</v>
      </c>
      <c r="I4" s="1">
        <f>'Data Sheet'!I82</f>
        <v>35388.01</v>
      </c>
      <c r="J4" s="1">
        <f>'Data Sheet'!J82</f>
        <v>67915</v>
      </c>
      <c r="K4" s="1">
        <f>'Data Sheet'!K82</f>
        <v>63102</v>
      </c>
    </row>
    <row r="5" spans="1:11" x14ac:dyDescent="0.3">
      <c r="A5" t="s">
        <v>33</v>
      </c>
      <c r="B5" s="6">
        <f>'Data Sheet'!B83</f>
        <v>-36693.9</v>
      </c>
      <c r="C5" s="6">
        <f>'Data Sheet'!C83</f>
        <v>-39571.4</v>
      </c>
      <c r="D5" s="6">
        <f>'Data Sheet'!D83</f>
        <v>-25139.14</v>
      </c>
      <c r="E5" s="6">
        <f>'Data Sheet'!E83</f>
        <v>-20878.07</v>
      </c>
      <c r="F5" s="6">
        <f>'Data Sheet'!F83</f>
        <v>-33114.550000000003</v>
      </c>
      <c r="G5" s="6">
        <f>'Data Sheet'!G83</f>
        <v>-25672.5</v>
      </c>
      <c r="H5" s="6">
        <f>'Data Sheet'!H83</f>
        <v>-4443.66</v>
      </c>
      <c r="I5" s="6">
        <f>'Data Sheet'!I83</f>
        <v>-15417.17</v>
      </c>
      <c r="J5" s="6">
        <f>'Data Sheet'!J83</f>
        <v>-22781</v>
      </c>
      <c r="K5" s="6">
        <f>'Data Sheet'!K83</f>
        <v>-49982</v>
      </c>
    </row>
    <row r="6" spans="1:11" x14ac:dyDescent="0.3">
      <c r="A6" t="s">
        <v>34</v>
      </c>
      <c r="B6" s="6">
        <f>'Data Sheet'!B84</f>
        <v>-3795.12</v>
      </c>
      <c r="C6" s="6">
        <f>'Data Sheet'!C84</f>
        <v>6205.3</v>
      </c>
      <c r="D6" s="6">
        <f>'Data Sheet'!D84</f>
        <v>2011.71</v>
      </c>
      <c r="E6" s="6">
        <f>'Data Sheet'!E84</f>
        <v>8830.3700000000008</v>
      </c>
      <c r="F6" s="6">
        <f>'Data Sheet'!F84</f>
        <v>3389.61</v>
      </c>
      <c r="G6" s="6">
        <f>'Data Sheet'!G84</f>
        <v>9904.2000000000007</v>
      </c>
      <c r="H6" s="6">
        <f>'Data Sheet'!H84</f>
        <v>-3380.17</v>
      </c>
      <c r="I6" s="6">
        <f>'Data Sheet'!I84</f>
        <v>-26242.9</v>
      </c>
      <c r="J6" s="6">
        <f>'Data Sheet'!J84</f>
        <v>-37006</v>
      </c>
      <c r="K6" s="6">
        <f>'Data Sheet'!K84</f>
        <v>-18786</v>
      </c>
    </row>
    <row r="7" spans="1:11" s="2" customFormat="1" x14ac:dyDescent="0.3">
      <c r="A7" s="2" t="s">
        <v>35</v>
      </c>
      <c r="B7" s="1">
        <f>'Data Sheet'!B85</f>
        <v>-2589.48</v>
      </c>
      <c r="C7" s="1">
        <f>'Data Sheet'!C85</f>
        <v>-3166.85</v>
      </c>
      <c r="D7" s="1">
        <f>'Data Sheet'!D85</f>
        <v>729.99</v>
      </c>
      <c r="E7" s="1">
        <f>'Data Sheet'!E85</f>
        <v>6843.05</v>
      </c>
      <c r="F7" s="1">
        <f>'Data Sheet'!F85</f>
        <v>-3092</v>
      </c>
      <c r="G7" s="1">
        <f>'Data Sheet'!G85</f>
        <v>13232.21</v>
      </c>
      <c r="H7" s="1">
        <f>'Data Sheet'!H85</f>
        <v>6459</v>
      </c>
      <c r="I7" s="1">
        <f>'Data Sheet'!I85</f>
        <v>-6272.06</v>
      </c>
      <c r="J7" s="1">
        <f>'Data Sheet'!J85</f>
        <v>8128</v>
      </c>
      <c r="K7" s="1">
        <f>'Data Sheet'!K85</f>
        <v>-5666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DEDA-DB02-48B1-A2DB-C18FF7984E05}">
  <dimension ref="A1"/>
  <sheetViews>
    <sheetView workbookViewId="0">
      <selection activeCell="K19" sqref="K19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93B7-6348-419D-9420-3D7C15870A58}">
  <dimension ref="A1"/>
  <sheetViews>
    <sheetView workbookViewId="0">
      <selection activeCell="I21" sqref="I2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7586-7CD9-45B2-B781-861173C147EB}">
  <dimension ref="A2:M105"/>
  <sheetViews>
    <sheetView showGridLines="0" tabSelected="1" zoomScale="114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6" sqref="F106"/>
    </sheetView>
  </sheetViews>
  <sheetFormatPr defaultRowHeight="14.4" x14ac:dyDescent="0.3"/>
  <cols>
    <col min="1" max="1" width="2" customWidth="1"/>
    <col min="2" max="2" width="33.109375" customWidth="1"/>
    <col min="3" max="3" width="16.109375" customWidth="1"/>
    <col min="4" max="4" width="14.5546875" customWidth="1"/>
    <col min="5" max="5" width="14.88671875" customWidth="1"/>
    <col min="6" max="6" width="14" customWidth="1"/>
    <col min="7" max="7" width="14.21875" customWidth="1"/>
    <col min="8" max="8" width="12.44140625" customWidth="1"/>
    <col min="9" max="9" width="12.77734375" customWidth="1"/>
    <col min="10" max="10" width="11.44140625" customWidth="1"/>
    <col min="11" max="11" width="12.33203125" customWidth="1"/>
    <col min="12" max="12" width="12" customWidth="1"/>
    <col min="13" max="13" width="12.88671875" customWidth="1"/>
  </cols>
  <sheetData>
    <row r="2" spans="1:13" x14ac:dyDescent="0.3">
      <c r="B2" s="31" t="str">
        <f>"HISTORICAL FINANCIAL STAEMENTS- "&amp;'Data Sheet'!B1:C1</f>
        <v>HISTORICAL FINANCIAL STAEMENTS- TATA MOTORS LTD</v>
      </c>
      <c r="C2" s="31"/>
      <c r="D2" s="31"/>
      <c r="E2" s="31"/>
      <c r="F2" s="31"/>
      <c r="G2" s="31"/>
      <c r="H2" s="29"/>
      <c r="I2" s="29"/>
      <c r="J2" s="29"/>
      <c r="K2" s="29"/>
      <c r="L2" s="29"/>
      <c r="M2" s="29"/>
    </row>
    <row r="3" spans="1:13" x14ac:dyDescent="0.3">
      <c r="B3" s="29" t="s">
        <v>93</v>
      </c>
      <c r="C3" s="30">
        <f>'Data Sheet'!B16</f>
        <v>42460</v>
      </c>
      <c r="D3" s="30">
        <f>'Data Sheet'!C16</f>
        <v>42825</v>
      </c>
      <c r="E3" s="30">
        <f>'Data Sheet'!D16</f>
        <v>43190</v>
      </c>
      <c r="F3" s="30">
        <f>'Data Sheet'!E16</f>
        <v>43555</v>
      </c>
      <c r="G3" s="30">
        <f>'Data Sheet'!F16</f>
        <v>43921</v>
      </c>
      <c r="H3" s="30">
        <f>'Data Sheet'!G16</f>
        <v>44286</v>
      </c>
      <c r="I3" s="30">
        <f>'Data Sheet'!H16</f>
        <v>44651</v>
      </c>
      <c r="J3" s="30">
        <f>'Data Sheet'!I16</f>
        <v>45016</v>
      </c>
      <c r="K3" s="30">
        <f>'Data Sheet'!J16</f>
        <v>45382</v>
      </c>
      <c r="L3" s="30">
        <f>'Data Sheet'!K16</f>
        <v>45747</v>
      </c>
      <c r="M3" s="30" t="s">
        <v>94</v>
      </c>
    </row>
    <row r="4" spans="1:13" s="40" customFormat="1" x14ac:dyDescent="0.3">
      <c r="A4" s="40" t="s">
        <v>95</v>
      </c>
      <c r="B4" s="41" t="s">
        <v>96</v>
      </c>
      <c r="C4" s="41"/>
    </row>
    <row r="5" spans="1:13" x14ac:dyDescent="0.3">
      <c r="B5" t="s">
        <v>97</v>
      </c>
      <c r="C5" s="32">
        <f>IFERROR('Data Sheet'!B17,0)</f>
        <v>273045.59999999998</v>
      </c>
      <c r="D5" s="32">
        <f>IFERROR('Data Sheet'!C17,0)</f>
        <v>269692.51</v>
      </c>
      <c r="E5" s="32">
        <f>IFERROR('Data Sheet'!D17,0)</f>
        <v>291550.48</v>
      </c>
      <c r="F5" s="32">
        <f>IFERROR('Data Sheet'!E17,0)</f>
        <v>301938.40000000002</v>
      </c>
      <c r="G5" s="32">
        <f>IFERROR('Data Sheet'!F17,0)</f>
        <v>261067.97</v>
      </c>
      <c r="H5" s="32">
        <f>IFERROR('Data Sheet'!G17,0)</f>
        <v>249794.75</v>
      </c>
      <c r="I5" s="32">
        <f>IFERROR('Data Sheet'!H17,0)</f>
        <v>278453.62</v>
      </c>
      <c r="J5" s="32">
        <f>IFERROR('Data Sheet'!I17,0)</f>
        <v>345966.97</v>
      </c>
      <c r="K5" s="32">
        <f>IFERROR('Data Sheet'!J17,0)</f>
        <v>434016</v>
      </c>
      <c r="L5" s="32">
        <f>IFERROR('Data Sheet'!K17,0)</f>
        <v>439695</v>
      </c>
      <c r="M5" s="32">
        <f>IFERROR(SUM('Data Sheet'!H42:K42),0)</f>
        <v>437968</v>
      </c>
    </row>
    <row r="6" spans="1:13" x14ac:dyDescent="0.3">
      <c r="B6" s="33" t="s">
        <v>98</v>
      </c>
      <c r="C6" s="33"/>
      <c r="D6" s="34">
        <f>D5/C5-1</f>
        <v>-1.2280329732469508E-2</v>
      </c>
      <c r="E6" s="34">
        <f t="shared" ref="E6:M6" si="0">E5/D5-1</f>
        <v>8.104774581985974E-2</v>
      </c>
      <c r="F6" s="34">
        <f t="shared" si="0"/>
        <v>3.5629919045237157E-2</v>
      </c>
      <c r="G6" s="34">
        <f t="shared" si="0"/>
        <v>-0.135360159555724</v>
      </c>
      <c r="H6" s="34">
        <f t="shared" si="0"/>
        <v>-4.3181168490336042E-2</v>
      </c>
      <c r="I6" s="34">
        <f t="shared" si="0"/>
        <v>0.11472967306158344</v>
      </c>
      <c r="J6" s="34">
        <f t="shared" si="0"/>
        <v>0.24245815155859707</v>
      </c>
      <c r="K6" s="34">
        <f t="shared" si="0"/>
        <v>0.25450126062612277</v>
      </c>
      <c r="L6" s="34">
        <f t="shared" si="0"/>
        <v>1.3084771068347711E-2</v>
      </c>
      <c r="M6" s="34">
        <f t="shared" si="0"/>
        <v>-3.9277226259111231E-3</v>
      </c>
    </row>
    <row r="8" spans="1:13" x14ac:dyDescent="0.3">
      <c r="B8" t="s">
        <v>99</v>
      </c>
      <c r="C8" s="32">
        <f>IFERROR(SUM('Data Sheet'!B18,'Data Sheet'!B20:B22)-1*'Data Sheet'!B19,0)</f>
        <v>205509.07</v>
      </c>
      <c r="D8" s="32">
        <f>IFERROR(SUM('Data Sheet'!C18,'Data Sheet'!C20:C22)-1*'Data Sheet'!C19,0)</f>
        <v>205454.23999999996</v>
      </c>
      <c r="E8" s="32">
        <f>IFERROR(SUM('Data Sheet'!D18,'Data Sheet'!D20:D22)-1*'Data Sheet'!D19,0)</f>
        <v>228429.83</v>
      </c>
      <c r="F8" s="32">
        <f>IFERROR(SUM('Data Sheet'!E18,'Data Sheet'!E20:E22)-1*'Data Sheet'!E19,0)</f>
        <v>242845.53</v>
      </c>
      <c r="G8" s="32">
        <f>IFERROR(SUM('Data Sheet'!F18,'Data Sheet'!F20:F22)-1*'Data Sheet'!F19,0)</f>
        <v>210376.07000000004</v>
      </c>
      <c r="H8" s="32">
        <f>IFERROR(SUM('Data Sheet'!G18,'Data Sheet'!G20:G22)-1*'Data Sheet'!G19,0)</f>
        <v>195326.04</v>
      </c>
      <c r="I8" s="32">
        <f>IFERROR(SUM('Data Sheet'!H18,'Data Sheet'!H20:H22)-1*'Data Sheet'!H19,0)</f>
        <v>223300.00999999998</v>
      </c>
      <c r="J8" s="32">
        <f>IFERROR(SUM('Data Sheet'!I18,'Data Sheet'!I20:I22)-1*'Data Sheet'!I19,0)</f>
        <v>274403.64</v>
      </c>
      <c r="K8" s="32">
        <f>IFERROR(SUM('Data Sheet'!J18,'Data Sheet'!J20:J22)-1*'Data Sheet'!J19,0)</f>
        <v>334380</v>
      </c>
      <c r="L8" s="32">
        <f>IFERROR(SUM('Data Sheet'!K18,'Data Sheet'!K20:K22)-1*'Data Sheet'!K19,0)</f>
        <v>340809</v>
      </c>
      <c r="M8" s="32">
        <f>IFERROR(SUM('Data Sheet'!H43:K43),0)</f>
        <v>386344</v>
      </c>
    </row>
    <row r="9" spans="1:13" x14ac:dyDescent="0.3">
      <c r="B9" s="33" t="s">
        <v>100</v>
      </c>
      <c r="C9" s="34">
        <f>C8/C5</f>
        <v>0.75265475803309057</v>
      </c>
      <c r="D9" s="34">
        <f t="shared" ref="D9:M9" si="1">D8/D5</f>
        <v>0.76180921746770036</v>
      </c>
      <c r="E9" s="34">
        <f t="shared" si="1"/>
        <v>0.78350009919380004</v>
      </c>
      <c r="F9" s="34">
        <f t="shared" si="1"/>
        <v>0.80428832503583503</v>
      </c>
      <c r="G9" s="34">
        <f t="shared" si="1"/>
        <v>0.80582872728508226</v>
      </c>
      <c r="H9" s="34">
        <f t="shared" si="1"/>
        <v>0.7819461377791167</v>
      </c>
      <c r="I9" s="34">
        <f t="shared" si="1"/>
        <v>0.80192891728252624</v>
      </c>
      <c r="J9" s="34">
        <f t="shared" si="1"/>
        <v>0.79314982005363122</v>
      </c>
      <c r="K9" s="34">
        <f t="shared" si="1"/>
        <v>0.7704324264543243</v>
      </c>
      <c r="L9" s="34">
        <f t="shared" si="1"/>
        <v>0.77510319653396109</v>
      </c>
      <c r="M9" s="34">
        <f t="shared" si="1"/>
        <v>0.88212837467577543</v>
      </c>
    </row>
    <row r="11" spans="1:13" ht="16.2" customHeight="1" x14ac:dyDescent="0.3">
      <c r="B11" t="s">
        <v>101</v>
      </c>
      <c r="C11" s="32">
        <f>C5-C8</f>
        <v>67536.52999999997</v>
      </c>
      <c r="D11" s="32">
        <f t="shared" ref="D11:M11" si="2">D5-D8</f>
        <v>64238.270000000048</v>
      </c>
      <c r="E11" s="32">
        <f t="shared" si="2"/>
        <v>63120.649999999994</v>
      </c>
      <c r="F11" s="32">
        <f t="shared" si="2"/>
        <v>59092.870000000024</v>
      </c>
      <c r="G11" s="32">
        <f t="shared" si="2"/>
        <v>50691.899999999965</v>
      </c>
      <c r="H11" s="32">
        <f t="shared" si="2"/>
        <v>54468.709999999992</v>
      </c>
      <c r="I11" s="32">
        <f t="shared" si="2"/>
        <v>55153.610000000015</v>
      </c>
      <c r="J11" s="32">
        <f t="shared" si="2"/>
        <v>71563.329999999958</v>
      </c>
      <c r="K11" s="32">
        <f t="shared" si="2"/>
        <v>99636</v>
      </c>
      <c r="L11" s="32">
        <f t="shared" si="2"/>
        <v>98886</v>
      </c>
      <c r="M11" s="32">
        <f t="shared" si="2"/>
        <v>51624</v>
      </c>
    </row>
    <row r="12" spans="1:13" x14ac:dyDescent="0.3">
      <c r="B12" s="33" t="s">
        <v>100</v>
      </c>
      <c r="C12" s="34">
        <f>C11/C5</f>
        <v>0.24734524196690946</v>
      </c>
      <c r="D12" s="34">
        <f t="shared" ref="D12:M12" si="3">D11/D5</f>
        <v>0.23819078253229964</v>
      </c>
      <c r="E12" s="34">
        <f t="shared" si="3"/>
        <v>0.21649990080619999</v>
      </c>
      <c r="F12" s="34">
        <f t="shared" si="3"/>
        <v>0.19571167496416494</v>
      </c>
      <c r="G12" s="34">
        <f t="shared" si="3"/>
        <v>0.19417127271491774</v>
      </c>
      <c r="H12" s="34">
        <f t="shared" si="3"/>
        <v>0.2180538622208833</v>
      </c>
      <c r="I12" s="34">
        <f t="shared" si="3"/>
        <v>0.19807108271747378</v>
      </c>
      <c r="J12" s="34">
        <f t="shared" si="3"/>
        <v>0.20685017994636876</v>
      </c>
      <c r="K12" s="34">
        <f t="shared" si="3"/>
        <v>0.22956757354567572</v>
      </c>
      <c r="L12" s="34">
        <f t="shared" si="3"/>
        <v>0.22489680346603896</v>
      </c>
      <c r="M12" s="34">
        <f t="shared" si="3"/>
        <v>0.1178716253242246</v>
      </c>
    </row>
    <row r="13" spans="1:13" x14ac:dyDescent="0.3">
      <c r="B13" t="s">
        <v>102</v>
      </c>
      <c r="C13" s="32">
        <f>IFERROR(SUM('Data Sheet'!B23:B24),0)</f>
        <v>29141.280000000002</v>
      </c>
      <c r="D13" s="32">
        <f>IFERROR(SUM('Data Sheet'!C23:C24),0)</f>
        <v>34649.58</v>
      </c>
      <c r="E13" s="32">
        <f>IFERROR(SUM('Data Sheet'!D23:D24),0)</f>
        <v>31662.97</v>
      </c>
      <c r="F13" s="32">
        <f>IFERROR(SUM('Data Sheet'!E23:E24),0)</f>
        <v>34428.54</v>
      </c>
      <c r="G13" s="32">
        <f>IFERROR(SUM('Data Sheet'!F23:F24),0)</f>
        <v>32704.83</v>
      </c>
      <c r="H13" s="32">
        <f>IFERROR(SUM('Data Sheet'!G23:G24),0)</f>
        <v>22181.280000000002</v>
      </c>
      <c r="I13" s="32">
        <f>IFERROR(SUM('Data Sheet'!H23:H24),0)</f>
        <v>30433.52</v>
      </c>
      <c r="J13" s="32">
        <f>IFERROR(SUM('Data Sheet'!I23:I24),0)</f>
        <v>39747.53</v>
      </c>
      <c r="K13" s="32">
        <f>IFERROR(SUM('Data Sheet'!J23:J24),0)</f>
        <v>41812</v>
      </c>
      <c r="L13" s="32">
        <f>IFERROR(SUM('Data Sheet'!K23:K24),0)</f>
        <v>43670</v>
      </c>
      <c r="M13" s="32">
        <f>IFERROR(SUM('Data Sheet'!L23:L24),0)</f>
        <v>0</v>
      </c>
    </row>
    <row r="14" spans="1:13" x14ac:dyDescent="0.3">
      <c r="B14" s="33" t="s">
        <v>103</v>
      </c>
      <c r="C14" s="34">
        <f>C13/C5</f>
        <v>0.10672678849247161</v>
      </c>
      <c r="D14" s="34">
        <f t="shared" ref="D14:M14" si="4">D13/D5</f>
        <v>0.12847809529452636</v>
      </c>
      <c r="E14" s="34">
        <f t="shared" si="4"/>
        <v>0.10860201636437025</v>
      </c>
      <c r="F14" s="34">
        <f t="shared" si="4"/>
        <v>0.11402504616835751</v>
      </c>
      <c r="G14" s="34">
        <f t="shared" si="4"/>
        <v>0.12527323822987554</v>
      </c>
      <c r="H14" s="34">
        <f t="shared" si="4"/>
        <v>8.8798023177028354E-2</v>
      </c>
      <c r="I14" s="34">
        <f t="shared" si="4"/>
        <v>0.10929475436519734</v>
      </c>
      <c r="J14" s="34">
        <f t="shared" si="4"/>
        <v>0.11488822184383672</v>
      </c>
      <c r="K14" s="34">
        <f t="shared" si="4"/>
        <v>9.6337462213374622E-2</v>
      </c>
      <c r="L14" s="34">
        <f t="shared" si="4"/>
        <v>9.9318846018262658E-2</v>
      </c>
      <c r="M14" s="34">
        <f t="shared" si="4"/>
        <v>0</v>
      </c>
    </row>
    <row r="16" spans="1:13" x14ac:dyDescent="0.3">
      <c r="B16" t="s">
        <v>104</v>
      </c>
      <c r="C16" s="32">
        <f>C11-C13</f>
        <v>38395.249999999971</v>
      </c>
      <c r="D16" s="32">
        <f t="shared" ref="D16:M16" si="5">D11-D13</f>
        <v>29588.690000000046</v>
      </c>
      <c r="E16" s="32">
        <f t="shared" si="5"/>
        <v>31457.679999999993</v>
      </c>
      <c r="F16" s="32">
        <f t="shared" si="5"/>
        <v>24664.330000000024</v>
      </c>
      <c r="G16" s="32">
        <f t="shared" si="5"/>
        <v>17987.069999999963</v>
      </c>
      <c r="H16" s="32">
        <f t="shared" si="5"/>
        <v>32287.429999999989</v>
      </c>
      <c r="I16" s="32">
        <f t="shared" si="5"/>
        <v>24720.090000000015</v>
      </c>
      <c r="J16" s="32">
        <f t="shared" si="5"/>
        <v>31815.799999999959</v>
      </c>
      <c r="K16" s="32">
        <f t="shared" si="5"/>
        <v>57824</v>
      </c>
      <c r="L16" s="32">
        <f t="shared" si="5"/>
        <v>55216</v>
      </c>
      <c r="M16" s="32">
        <f t="shared" si="5"/>
        <v>51624</v>
      </c>
    </row>
    <row r="17" spans="2:13" x14ac:dyDescent="0.3">
      <c r="B17" s="33" t="s">
        <v>105</v>
      </c>
      <c r="C17" s="34">
        <f>C16/C5</f>
        <v>0.14061845347443788</v>
      </c>
      <c r="D17" s="34">
        <f t="shared" ref="D17:M17" si="6">D16/D5</f>
        <v>0.10971268723777329</v>
      </c>
      <c r="E17" s="34">
        <f t="shared" si="6"/>
        <v>0.10789788444182975</v>
      </c>
      <c r="F17" s="34">
        <f t="shared" si="6"/>
        <v>8.1686628795807431E-2</v>
      </c>
      <c r="G17" s="34">
        <f t="shared" si="6"/>
        <v>6.8898034485042198E-2</v>
      </c>
      <c r="H17" s="34">
        <f t="shared" si="6"/>
        <v>0.12925583904385496</v>
      </c>
      <c r="I17" s="34">
        <f t="shared" si="6"/>
        <v>8.877632835227646E-2</v>
      </c>
      <c r="J17" s="34">
        <f t="shared" si="6"/>
        <v>9.1961958102532049E-2</v>
      </c>
      <c r="K17" s="34">
        <f t="shared" si="6"/>
        <v>0.13323011133230112</v>
      </c>
      <c r="L17" s="34">
        <f t="shared" si="6"/>
        <v>0.12557795744777631</v>
      </c>
      <c r="M17" s="34">
        <f t="shared" si="6"/>
        <v>0.1178716253242246</v>
      </c>
    </row>
    <row r="19" spans="2:13" x14ac:dyDescent="0.3">
      <c r="B19" t="s">
        <v>106</v>
      </c>
      <c r="C19" s="32">
        <f>IFERROR(SUM('Data Sheet'!B27),0)</f>
        <v>4889.08</v>
      </c>
      <c r="D19" s="32">
        <f>IFERROR(SUM('Data Sheet'!C27),0)</f>
        <v>4238.01</v>
      </c>
      <c r="E19" s="32">
        <f>IFERROR(SUM('Data Sheet'!D27),0)</f>
        <v>4681.79</v>
      </c>
      <c r="F19" s="32">
        <f>IFERROR(SUM('Data Sheet'!E27),0)</f>
        <v>5758.6</v>
      </c>
      <c r="G19" s="32">
        <f>IFERROR(SUM('Data Sheet'!F27),0)</f>
        <v>7243.33</v>
      </c>
      <c r="H19" s="32">
        <f>IFERROR(SUM('Data Sheet'!G27),0)</f>
        <v>8097.17</v>
      </c>
      <c r="I19" s="32">
        <f>IFERROR(SUM('Data Sheet'!H27),0)</f>
        <v>9311.86</v>
      </c>
      <c r="J19" s="32">
        <f>IFERROR(SUM('Data Sheet'!I27),0)</f>
        <v>10225.48</v>
      </c>
      <c r="K19" s="32">
        <f>IFERROR(SUM('Data Sheet'!J27),0)</f>
        <v>7594</v>
      </c>
      <c r="L19" s="32">
        <f>IFERROR(SUM('Data Sheet'!K27),0)</f>
        <v>5083</v>
      </c>
      <c r="M19" s="32">
        <f>IFERROR(SUM('Data Sheet'!H46:K46),0)</f>
        <v>5167</v>
      </c>
    </row>
    <row r="20" spans="2:13" x14ac:dyDescent="0.3">
      <c r="B20" s="33" t="s">
        <v>107</v>
      </c>
      <c r="C20" s="34">
        <f>C19/C5</f>
        <v>1.7905727101993223E-2</v>
      </c>
      <c r="D20" s="34">
        <f t="shared" ref="D20:M20" si="7">D19/D5</f>
        <v>1.5714229512714312E-2</v>
      </c>
      <c r="E20" s="34">
        <f t="shared" si="7"/>
        <v>1.605824830060304E-2</v>
      </c>
      <c r="F20" s="34">
        <f t="shared" si="7"/>
        <v>1.9072102124141878E-2</v>
      </c>
      <c r="G20" s="34">
        <f t="shared" si="7"/>
        <v>2.7744996829752802E-2</v>
      </c>
      <c r="H20" s="34">
        <f t="shared" si="7"/>
        <v>3.2415292955516477E-2</v>
      </c>
      <c r="I20" s="34">
        <f t="shared" si="7"/>
        <v>3.3441332168710897E-2</v>
      </c>
      <c r="J20" s="34">
        <f t="shared" si="7"/>
        <v>2.9556231914277829E-2</v>
      </c>
      <c r="K20" s="34">
        <f t="shared" si="7"/>
        <v>1.7497050799970507E-2</v>
      </c>
      <c r="L20" s="34">
        <f t="shared" si="7"/>
        <v>1.1560286107415368E-2</v>
      </c>
      <c r="M20" s="34">
        <f t="shared" si="7"/>
        <v>1.1797665582873635E-2</v>
      </c>
    </row>
    <row r="22" spans="2:13" x14ac:dyDescent="0.3">
      <c r="B22" t="s">
        <v>108</v>
      </c>
      <c r="C22" s="32">
        <f>IFERROR(SUM('Data Sheet'!B26),0)</f>
        <v>16710.78</v>
      </c>
      <c r="D22" s="32">
        <f>IFERROR(SUM('Data Sheet'!C26),0)</f>
        <v>17904.990000000002</v>
      </c>
      <c r="E22" s="32">
        <f>IFERROR(SUM('Data Sheet'!D26),0)</f>
        <v>21553.59</v>
      </c>
      <c r="F22" s="32">
        <f>IFERROR(SUM('Data Sheet'!E26),0)</f>
        <v>23590.63</v>
      </c>
      <c r="G22" s="32">
        <f>IFERROR(SUM('Data Sheet'!F26),0)</f>
        <v>21425.43</v>
      </c>
      <c r="H22" s="32">
        <f>IFERROR(SUM('Data Sheet'!G26),0)</f>
        <v>23546.71</v>
      </c>
      <c r="I22" s="32">
        <f>IFERROR(SUM('Data Sheet'!H26),0)</f>
        <v>24835.69</v>
      </c>
      <c r="J22" s="32">
        <f>IFERROR(SUM('Data Sheet'!I26),0)</f>
        <v>24860.36</v>
      </c>
      <c r="K22" s="32">
        <f>IFERROR(SUM('Data Sheet'!J26),0)</f>
        <v>27239</v>
      </c>
      <c r="L22" s="32">
        <f>IFERROR(SUM('Data Sheet'!K26),0)</f>
        <v>23256</v>
      </c>
      <c r="M22" s="32">
        <f>IFERROR(SUM('Data Sheet'!H45:K45),0)</f>
        <v>22019</v>
      </c>
    </row>
    <row r="23" spans="2:13" x14ac:dyDescent="0.3">
      <c r="B23" s="33" t="s">
        <v>109</v>
      </c>
      <c r="C23" s="34">
        <f>C22/C5</f>
        <v>6.1201425695927715E-2</v>
      </c>
      <c r="D23" s="34">
        <f t="shared" ref="D23:M23" si="8">D22/D5</f>
        <v>6.63903865924938E-2</v>
      </c>
      <c r="E23" s="34">
        <f t="shared" si="8"/>
        <v>7.3927472182518786E-2</v>
      </c>
      <c r="F23" s="34">
        <f t="shared" si="8"/>
        <v>7.8130605447998658E-2</v>
      </c>
      <c r="G23" s="34">
        <f t="shared" si="8"/>
        <v>8.206839774331566E-2</v>
      </c>
      <c r="H23" s="34">
        <f t="shared" si="8"/>
        <v>9.4264230933596482E-2</v>
      </c>
      <c r="I23" s="34">
        <f t="shared" si="8"/>
        <v>8.9191478279219347E-2</v>
      </c>
      <c r="J23" s="34">
        <f t="shared" si="8"/>
        <v>7.1857611147098821E-2</v>
      </c>
      <c r="K23" s="34">
        <f t="shared" si="8"/>
        <v>6.2760359065103591E-2</v>
      </c>
      <c r="L23" s="34">
        <f t="shared" si="8"/>
        <v>5.2891208678743216E-2</v>
      </c>
      <c r="M23" s="34">
        <f t="shared" si="8"/>
        <v>5.0275362583567747E-2</v>
      </c>
    </row>
    <row r="25" spans="2:13" x14ac:dyDescent="0.3">
      <c r="B25" t="s">
        <v>110</v>
      </c>
      <c r="C25" s="36">
        <f>C16-SUM(C19,C22)</f>
        <v>16795.38999999997</v>
      </c>
      <c r="D25" s="36">
        <f t="shared" ref="D25:M25" si="9">D16-SUM(D19,D22)</f>
        <v>7445.690000000046</v>
      </c>
      <c r="E25" s="36">
        <f t="shared" si="9"/>
        <v>5222.299999999992</v>
      </c>
      <c r="F25" s="36">
        <f t="shared" si="9"/>
        <v>-4684.8999999999796</v>
      </c>
      <c r="G25" s="36">
        <f t="shared" si="9"/>
        <v>-10681.690000000039</v>
      </c>
      <c r="H25" s="36">
        <f t="shared" si="9"/>
        <v>643.549999999992</v>
      </c>
      <c r="I25" s="36">
        <f t="shared" si="9"/>
        <v>-9427.4599999999882</v>
      </c>
      <c r="J25" s="36">
        <f t="shared" si="9"/>
        <v>-3270.0400000000373</v>
      </c>
      <c r="K25" s="36">
        <f t="shared" si="9"/>
        <v>22991</v>
      </c>
      <c r="L25" s="36">
        <f t="shared" si="9"/>
        <v>26877</v>
      </c>
      <c r="M25" s="36">
        <f t="shared" si="9"/>
        <v>24438</v>
      </c>
    </row>
    <row r="26" spans="2:13" x14ac:dyDescent="0.3">
      <c r="B26" s="33" t="s">
        <v>111</v>
      </c>
      <c r="C26" s="34">
        <f>C25/C5</f>
        <v>6.1511300676516931E-2</v>
      </c>
      <c r="D26" s="34">
        <f t="shared" ref="D26:M26" si="10">D25/D5</f>
        <v>2.7608071132565179E-2</v>
      </c>
      <c r="E26" s="34">
        <f t="shared" si="10"/>
        <v>1.7912163958707913E-2</v>
      </c>
      <c r="F26" s="34">
        <f t="shared" si="10"/>
        <v>-1.5516078776333117E-2</v>
      </c>
      <c r="G26" s="34">
        <f t="shared" si="10"/>
        <v>-4.0915360088026265E-2</v>
      </c>
      <c r="H26" s="34">
        <f t="shared" si="10"/>
        <v>2.5763151547420113E-3</v>
      </c>
      <c r="I26" s="34">
        <f t="shared" si="10"/>
        <v>-3.3856482095653805E-2</v>
      </c>
      <c r="J26" s="34">
        <f t="shared" si="10"/>
        <v>-9.4518849588445895E-3</v>
      </c>
      <c r="K26" s="34">
        <f t="shared" si="10"/>
        <v>5.2972701467227018E-2</v>
      </c>
      <c r="L26" s="34">
        <f t="shared" si="10"/>
        <v>6.1126462661617711E-2</v>
      </c>
      <c r="M26" s="34">
        <f t="shared" si="10"/>
        <v>5.5798597157783215E-2</v>
      </c>
    </row>
    <row r="28" spans="2:13" x14ac:dyDescent="0.3">
      <c r="B28" t="s">
        <v>112</v>
      </c>
      <c r="C28" s="36">
        <f>IFERROR('Data Sheet'!B29,0)</f>
        <v>3025.05</v>
      </c>
      <c r="D28" s="36">
        <f>IFERROR('Data Sheet'!C29,0)</f>
        <v>3251.23</v>
      </c>
      <c r="E28" s="36">
        <f>IFERROR('Data Sheet'!D29,0)</f>
        <v>4341.93</v>
      </c>
      <c r="F28" s="36">
        <f>IFERROR('Data Sheet'!E29,0)</f>
        <v>-2437.4499999999998</v>
      </c>
      <c r="G28" s="36">
        <f>IFERROR('Data Sheet'!F29,0)</f>
        <v>395.25</v>
      </c>
      <c r="H28" s="36">
        <f>IFERROR('Data Sheet'!G29,0)</f>
        <v>2541.86</v>
      </c>
      <c r="I28" s="36">
        <f>IFERROR('Data Sheet'!H29,0)</f>
        <v>4231.29</v>
      </c>
      <c r="J28" s="36">
        <f>IFERROR('Data Sheet'!I29,0)</f>
        <v>704.06</v>
      </c>
      <c r="K28" s="36">
        <f>IFERROR('Data Sheet'!J29,0)</f>
        <v>-4024</v>
      </c>
      <c r="L28" s="36">
        <f>IFERROR('Data Sheet'!K29,0)</f>
        <v>10502</v>
      </c>
      <c r="M28" s="36">
        <f>IFERROR(SUM('Data Sheet'!H48:K48),0)</f>
        <v>8943</v>
      </c>
    </row>
    <row r="29" spans="2:13" x14ac:dyDescent="0.3">
      <c r="B29" s="33" t="s">
        <v>113</v>
      </c>
      <c r="C29" s="34">
        <f>C28/C25</f>
        <v>0.18011192356950362</v>
      </c>
      <c r="D29" s="34">
        <f t="shared" ref="D29:M29" si="11">D28/D25</f>
        <v>0.43665932908836924</v>
      </c>
      <c r="E29" s="34">
        <f t="shared" si="11"/>
        <v>0.8314210213890445</v>
      </c>
      <c r="F29" s="34">
        <f t="shared" si="11"/>
        <v>0.52027791414971725</v>
      </c>
      <c r="G29" s="34">
        <f t="shared" si="11"/>
        <v>-3.7002571690434617E-2</v>
      </c>
      <c r="H29" s="34">
        <f t="shared" si="11"/>
        <v>3.9497474943672315</v>
      </c>
      <c r="I29" s="34">
        <f t="shared" si="11"/>
        <v>-0.4488260888935095</v>
      </c>
      <c r="J29" s="34">
        <f t="shared" si="11"/>
        <v>-0.21530623478611635</v>
      </c>
      <c r="K29" s="34">
        <f t="shared" si="11"/>
        <v>-0.17502500978643817</v>
      </c>
      <c r="L29" s="34">
        <f t="shared" si="11"/>
        <v>0.39074301447334153</v>
      </c>
      <c r="M29" s="34">
        <f t="shared" si="11"/>
        <v>0.36594647679842868</v>
      </c>
    </row>
    <row r="31" spans="2:13" x14ac:dyDescent="0.3">
      <c r="B31" t="s">
        <v>114</v>
      </c>
      <c r="C31" s="36">
        <f>IFERROR(C25-C28,0)</f>
        <v>13770.339999999971</v>
      </c>
      <c r="D31" s="36">
        <f t="shared" ref="D31:M31" si="12">IFERROR(D25-D28,0)</f>
        <v>4194.4600000000464</v>
      </c>
      <c r="E31" s="36">
        <f t="shared" si="12"/>
        <v>880.36999999999171</v>
      </c>
      <c r="F31" s="36">
        <f t="shared" si="12"/>
        <v>-2247.4499999999798</v>
      </c>
      <c r="G31" s="36">
        <f t="shared" si="12"/>
        <v>-11076.940000000039</v>
      </c>
      <c r="H31" s="36">
        <f t="shared" si="12"/>
        <v>-1898.3100000000081</v>
      </c>
      <c r="I31" s="36">
        <f t="shared" si="12"/>
        <v>-13658.749999999989</v>
      </c>
      <c r="J31" s="36">
        <f t="shared" si="12"/>
        <v>-3974.1000000000372</v>
      </c>
      <c r="K31" s="36">
        <f t="shared" si="12"/>
        <v>27015</v>
      </c>
      <c r="L31" s="36">
        <f t="shared" si="12"/>
        <v>16375</v>
      </c>
      <c r="M31" s="36">
        <f t="shared" si="12"/>
        <v>15495</v>
      </c>
    </row>
    <row r="32" spans="2:13" x14ac:dyDescent="0.3">
      <c r="B32" s="33" t="s">
        <v>115</v>
      </c>
      <c r="C32" s="37">
        <f>C31/C5</f>
        <v>5.0432381990407359E-2</v>
      </c>
      <c r="D32" s="37">
        <f t="shared" ref="D32:M32" si="13">D31/D5</f>
        <v>1.5552749314395296E-2</v>
      </c>
      <c r="E32" s="37">
        <f t="shared" si="13"/>
        <v>3.01961430487095E-3</v>
      </c>
      <c r="F32" s="37">
        <f t="shared" si="13"/>
        <v>-7.4434056747998256E-3</v>
      </c>
      <c r="G32" s="37">
        <f t="shared" si="13"/>
        <v>-4.2429333632923408E-2</v>
      </c>
      <c r="H32" s="37">
        <f t="shared" si="13"/>
        <v>-7.5994791724005731E-3</v>
      </c>
      <c r="I32" s="37">
        <f t="shared" si="13"/>
        <v>-4.9052154538339235E-2</v>
      </c>
      <c r="J32" s="37">
        <f t="shared" si="13"/>
        <v>-1.1486934720964945E-2</v>
      </c>
      <c r="K32" s="37">
        <f t="shared" si="13"/>
        <v>6.224424905994249E-2</v>
      </c>
      <c r="L32" s="37">
        <f t="shared" si="13"/>
        <v>3.724172437712505E-2</v>
      </c>
      <c r="M32" s="37">
        <f t="shared" si="13"/>
        <v>3.537929711759763E-2</v>
      </c>
    </row>
    <row r="34" spans="1:13" x14ac:dyDescent="0.3">
      <c r="B34" t="s">
        <v>116</v>
      </c>
      <c r="C34" s="38">
        <f>IFERROR('Data Sheet'!B93,0)</f>
        <v>288.72000000000003</v>
      </c>
      <c r="D34" s="38">
        <f>IFERROR('Data Sheet'!C93,0)</f>
        <v>288.73</v>
      </c>
      <c r="E34" s="38">
        <f>IFERROR('Data Sheet'!D93,0)</f>
        <v>288.73</v>
      </c>
      <c r="F34" s="38">
        <f>IFERROR('Data Sheet'!E93,0)</f>
        <v>288.73</v>
      </c>
      <c r="G34" s="38">
        <f>IFERROR('Data Sheet'!F93,0)</f>
        <v>308.89999999999998</v>
      </c>
      <c r="H34" s="38">
        <f>IFERROR('Data Sheet'!G93,0)</f>
        <v>332.03</v>
      </c>
      <c r="I34" s="38">
        <f>IFERROR('Data Sheet'!H93,0)</f>
        <v>332.07</v>
      </c>
      <c r="J34" s="38">
        <f>IFERROR('Data Sheet'!I93,0)</f>
        <v>332.13</v>
      </c>
      <c r="K34" s="38">
        <f>IFERROR('Data Sheet'!J93,0)</f>
        <v>332.37</v>
      </c>
      <c r="L34" s="38">
        <f>IFERROR('Data Sheet'!K93,0)</f>
        <v>368.13</v>
      </c>
      <c r="M34" s="38">
        <f>IFERROR('Data Sheet'!L93,0)</f>
        <v>0</v>
      </c>
    </row>
    <row r="35" spans="1:13" x14ac:dyDescent="0.3"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3" x14ac:dyDescent="0.3">
      <c r="B36" t="s">
        <v>57</v>
      </c>
      <c r="C36" s="38">
        <f>IFERROR(C31/C34,0)</f>
        <v>47.694444444444336</v>
      </c>
      <c r="D36" s="38">
        <f t="shared" ref="D36:M36" si="14">IFERROR(D31/D34,0)</f>
        <v>14.527274616423808</v>
      </c>
      <c r="E36" s="38">
        <f t="shared" si="14"/>
        <v>3.049111626779315</v>
      </c>
      <c r="F36" s="38">
        <f t="shared" si="14"/>
        <v>-7.7839157690575265</v>
      </c>
      <c r="G36" s="38">
        <f t="shared" si="14"/>
        <v>-35.859307219164904</v>
      </c>
      <c r="H36" s="38">
        <f t="shared" si="14"/>
        <v>-5.7172845827184542</v>
      </c>
      <c r="I36" s="38">
        <f t="shared" si="14"/>
        <v>-41.132140813683833</v>
      </c>
      <c r="J36" s="38">
        <f t="shared" si="14"/>
        <v>-11.965495438533218</v>
      </c>
      <c r="K36" s="38">
        <f t="shared" si="14"/>
        <v>81.279898907843673</v>
      </c>
      <c r="L36" s="38">
        <f t="shared" si="14"/>
        <v>44.481569010947219</v>
      </c>
      <c r="M36" s="38">
        <f t="shared" si="14"/>
        <v>0</v>
      </c>
    </row>
    <row r="37" spans="1:13" x14ac:dyDescent="0.3">
      <c r="B37" s="33" t="s">
        <v>117</v>
      </c>
      <c r="D37" s="37">
        <f>IFERROR(D36/C36,0)</f>
        <v>0.30459049865536303</v>
      </c>
      <c r="E37" s="37">
        <f t="shared" ref="E37:M37" si="15">IFERROR(E36/D36,0)</f>
        <v>0.20988875802844273</v>
      </c>
      <c r="F37" s="37">
        <f t="shared" si="15"/>
        <v>-2.5528470983790919</v>
      </c>
      <c r="G37" s="37">
        <f t="shared" si="15"/>
        <v>4.6068467700681115</v>
      </c>
      <c r="H37" s="37">
        <f t="shared" si="15"/>
        <v>0.15943655988041142</v>
      </c>
      <c r="I37" s="37">
        <f t="shared" si="15"/>
        <v>7.194349033807641</v>
      </c>
      <c r="J37" s="37">
        <f t="shared" si="15"/>
        <v>0.29090378477340373</v>
      </c>
      <c r="K37" s="37">
        <f t="shared" si="15"/>
        <v>-6.7928569548481077</v>
      </c>
      <c r="L37" s="37">
        <f t="shared" si="15"/>
        <v>0.54726407892535722</v>
      </c>
      <c r="M37" s="37">
        <f t="shared" si="15"/>
        <v>0</v>
      </c>
    </row>
    <row r="39" spans="1:13" x14ac:dyDescent="0.3">
      <c r="B39" t="s">
        <v>118</v>
      </c>
      <c r="C39" s="38">
        <f>IFERROR('Data Sheet'!B31/C34,0)</f>
        <v>0.23524522028262676</v>
      </c>
      <c r="D39" s="38">
        <f>IFERROR('Data Sheet'!C31/D34,0)</f>
        <v>0</v>
      </c>
      <c r="E39" s="38">
        <f>IFERROR('Data Sheet'!D31/E34,0)</f>
        <v>0</v>
      </c>
      <c r="F39" s="38">
        <f>IFERROR('Data Sheet'!E31/F34,0)</f>
        <v>0</v>
      </c>
      <c r="G39" s="38">
        <f>IFERROR('Data Sheet'!F31/G34,0)</f>
        <v>0</v>
      </c>
      <c r="H39" s="38">
        <f>IFERROR('Data Sheet'!G31/H34,0)</f>
        <v>0</v>
      </c>
      <c r="I39" s="38">
        <f>IFERROR('Data Sheet'!H31/I34,0)</f>
        <v>0</v>
      </c>
      <c r="J39" s="38">
        <f>IFERROR('Data Sheet'!I31/J34,0)</f>
        <v>2.3063860536536898</v>
      </c>
      <c r="K39" s="38">
        <f>IFERROR('Data Sheet'!J31/K34,0)</f>
        <v>6.9230074916508713</v>
      </c>
      <c r="L39" s="38">
        <f>IFERROR('Data Sheet'!K31/L34,0)</f>
        <v>5.9978811832776469</v>
      </c>
      <c r="M39" s="38">
        <f>IFERROR('Data Sheet'!L31/M34,0)</f>
        <v>0</v>
      </c>
    </row>
    <row r="40" spans="1:13" x14ac:dyDescent="0.3">
      <c r="B40" s="33" t="s">
        <v>119</v>
      </c>
      <c r="C40" s="34">
        <f>IFERROR(C39/C36,0)</f>
        <v>4.9323400874633563E-3</v>
      </c>
      <c r="D40" s="34">
        <f t="shared" ref="D40:M40" si="16">IFERROR(D39/D36,0)</f>
        <v>0</v>
      </c>
      <c r="E40" s="34">
        <f t="shared" si="16"/>
        <v>0</v>
      </c>
      <c r="F40" s="34">
        <f t="shared" si="16"/>
        <v>0</v>
      </c>
      <c r="G40" s="34">
        <f t="shared" si="16"/>
        <v>0</v>
      </c>
      <c r="H40" s="34">
        <f t="shared" si="16"/>
        <v>0</v>
      </c>
      <c r="I40" s="34">
        <f t="shared" si="16"/>
        <v>0</v>
      </c>
      <c r="J40" s="34">
        <f t="shared" si="16"/>
        <v>-0.19275307616818721</v>
      </c>
      <c r="K40" s="34">
        <f t="shared" si="16"/>
        <v>8.517490283176013E-2</v>
      </c>
      <c r="L40" s="34">
        <f t="shared" si="16"/>
        <v>0.13483969465648857</v>
      </c>
      <c r="M40" s="34">
        <f t="shared" si="16"/>
        <v>0</v>
      </c>
    </row>
    <row r="42" spans="1:13" s="2" customFormat="1" x14ac:dyDescent="0.3">
      <c r="B42" s="2" t="s">
        <v>120</v>
      </c>
      <c r="C42" s="35">
        <f>IFERROR(1-C40,0)</f>
        <v>0.99506765991253665</v>
      </c>
      <c r="D42" s="35">
        <f t="shared" ref="D42:M42" si="17">IFERROR(1-D40,0)</f>
        <v>1</v>
      </c>
      <c r="E42" s="35">
        <f t="shared" si="17"/>
        <v>1</v>
      </c>
      <c r="F42" s="35">
        <f t="shared" si="17"/>
        <v>1</v>
      </c>
      <c r="G42" s="35">
        <f t="shared" si="17"/>
        <v>1</v>
      </c>
      <c r="H42" s="35">
        <f t="shared" si="17"/>
        <v>1</v>
      </c>
      <c r="I42" s="35">
        <f t="shared" si="17"/>
        <v>1</v>
      </c>
      <c r="J42" s="35">
        <f t="shared" si="17"/>
        <v>1.1927530761681873</v>
      </c>
      <c r="K42" s="35">
        <f t="shared" si="17"/>
        <v>0.9148250971682399</v>
      </c>
      <c r="L42" s="35">
        <f t="shared" si="17"/>
        <v>0.8651603053435114</v>
      </c>
      <c r="M42" s="35">
        <f t="shared" si="17"/>
        <v>1</v>
      </c>
    </row>
    <row r="45" spans="1:13" s="40" customFormat="1" x14ac:dyDescent="0.3">
      <c r="A45" s="40" t="s">
        <v>95</v>
      </c>
      <c r="B45" s="41" t="s">
        <v>40</v>
      </c>
      <c r="C45" s="41"/>
    </row>
    <row r="46" spans="1:13" x14ac:dyDescent="0.3">
      <c r="B46" t="s">
        <v>24</v>
      </c>
      <c r="C46" s="36">
        <f>IFERROR('Data Sheet'!B57,0)</f>
        <v>679.18</v>
      </c>
      <c r="D46" s="36">
        <f>IFERROR('Data Sheet'!C57,0)</f>
        <v>679.22</v>
      </c>
      <c r="E46" s="36">
        <f>IFERROR('Data Sheet'!D57,0)</f>
        <v>679.22</v>
      </c>
      <c r="F46" s="36">
        <f>IFERROR('Data Sheet'!E57,0)</f>
        <v>679.22</v>
      </c>
      <c r="G46" s="36">
        <f>IFERROR('Data Sheet'!F57,0)</f>
        <v>719.54</v>
      </c>
      <c r="H46" s="36">
        <f>IFERROR('Data Sheet'!G57,0)</f>
        <v>765.81</v>
      </c>
      <c r="I46" s="36">
        <f>IFERROR('Data Sheet'!H57,0)</f>
        <v>765.88</v>
      </c>
      <c r="J46" s="36">
        <f>IFERROR('Data Sheet'!I57,0)</f>
        <v>766.02</v>
      </c>
      <c r="K46" s="36">
        <f>IFERROR('Data Sheet'!J57,0)</f>
        <v>767</v>
      </c>
      <c r="L46" s="36">
        <f>IFERROR('Data Sheet'!K57,0)</f>
        <v>736</v>
      </c>
    </row>
    <row r="47" spans="1:13" x14ac:dyDescent="0.3">
      <c r="B47" t="s">
        <v>25</v>
      </c>
      <c r="C47" s="36">
        <f>IFERROR('Data Sheet'!B58,0)</f>
        <v>78273.23</v>
      </c>
      <c r="D47" s="36">
        <f>IFERROR('Data Sheet'!C58,0)</f>
        <v>57382.67</v>
      </c>
      <c r="E47" s="36">
        <f>IFERROR('Data Sheet'!D58,0)</f>
        <v>94748.69</v>
      </c>
      <c r="F47" s="36">
        <f>IFERROR('Data Sheet'!E58,0)</f>
        <v>59500.34</v>
      </c>
      <c r="G47" s="36">
        <f>IFERROR('Data Sheet'!F58,0)</f>
        <v>62358.99</v>
      </c>
      <c r="H47" s="36">
        <f>IFERROR('Data Sheet'!G58,0)</f>
        <v>54480.91</v>
      </c>
      <c r="I47" s="36">
        <f>IFERROR('Data Sheet'!H58,0)</f>
        <v>43795.360000000001</v>
      </c>
      <c r="J47" s="36">
        <f>IFERROR('Data Sheet'!I58,0)</f>
        <v>44555.77</v>
      </c>
      <c r="K47" s="36">
        <f>IFERROR('Data Sheet'!J58,0)</f>
        <v>84151</v>
      </c>
      <c r="L47" s="36">
        <f>IFERROR('Data Sheet'!K58,0)</f>
        <v>115408</v>
      </c>
    </row>
    <row r="48" spans="1:13" x14ac:dyDescent="0.3">
      <c r="B48" t="s">
        <v>71</v>
      </c>
      <c r="C48" s="36">
        <f>IFERROR('Data Sheet'!B59,0)</f>
        <v>69359.960000000006</v>
      </c>
      <c r="D48" s="36">
        <f>IFERROR('Data Sheet'!C59,0)</f>
        <v>78603.98</v>
      </c>
      <c r="E48" s="36">
        <f>IFERROR('Data Sheet'!D59,0)</f>
        <v>88950.47</v>
      </c>
      <c r="F48" s="36">
        <f>IFERROR('Data Sheet'!E59,0)</f>
        <v>106175.34</v>
      </c>
      <c r="G48" s="36">
        <f>IFERROR('Data Sheet'!F59,0)</f>
        <v>124787.64</v>
      </c>
      <c r="H48" s="36">
        <f>IFERROR('Data Sheet'!G59,0)</f>
        <v>142130.57</v>
      </c>
      <c r="I48" s="36">
        <f>IFERROR('Data Sheet'!H59,0)</f>
        <v>146449.03</v>
      </c>
      <c r="J48" s="36">
        <f>IFERROR('Data Sheet'!I59,0)</f>
        <v>134113.44</v>
      </c>
      <c r="K48" s="36">
        <f>IFERROR('Data Sheet'!J59,0)</f>
        <v>107264</v>
      </c>
      <c r="L48" s="36">
        <f>IFERROR('Data Sheet'!K59,0)</f>
        <v>71540</v>
      </c>
    </row>
    <row r="49" spans="2:12" x14ac:dyDescent="0.3">
      <c r="B49" t="s">
        <v>72</v>
      </c>
      <c r="C49" s="36">
        <f>IFERROR('Data Sheet'!B60,0)</f>
        <v>114871.75</v>
      </c>
      <c r="D49" s="36">
        <f>IFERROR('Data Sheet'!C60,0)</f>
        <v>135914.49</v>
      </c>
      <c r="E49" s="36">
        <f>IFERROR('Data Sheet'!D60,0)</f>
        <v>142813.43</v>
      </c>
      <c r="F49" s="36">
        <f>IFERROR('Data Sheet'!E60,0)</f>
        <v>139348.59</v>
      </c>
      <c r="G49" s="36">
        <f>IFERROR('Data Sheet'!F60,0)</f>
        <v>132313.22</v>
      </c>
      <c r="H49" s="36">
        <f>IFERROR('Data Sheet'!G60,0)</f>
        <v>144192.62</v>
      </c>
      <c r="I49" s="36">
        <f>IFERROR('Data Sheet'!H60,0)</f>
        <v>138051.22</v>
      </c>
      <c r="J49" s="36">
        <f>IFERROR('Data Sheet'!I60,0)</f>
        <v>155239.20000000001</v>
      </c>
      <c r="K49" s="36">
        <f>IFERROR('Data Sheet'!J60,0)</f>
        <v>177339</v>
      </c>
      <c r="L49" s="36">
        <f>IFERROR('Data Sheet'!K60,0)</f>
        <v>189289</v>
      </c>
    </row>
    <row r="50" spans="2:12" x14ac:dyDescent="0.3">
      <c r="B50" s="2" t="s">
        <v>121</v>
      </c>
      <c r="C50" s="36">
        <f>IFERROR('Data Sheet'!B61,0)</f>
        <v>263184.12</v>
      </c>
      <c r="D50" s="36">
        <f>IFERROR('Data Sheet'!C61,0)</f>
        <v>272580.36</v>
      </c>
      <c r="E50" s="36">
        <f>IFERROR('Data Sheet'!D61,0)</f>
        <v>327191.81</v>
      </c>
      <c r="F50" s="36">
        <f>IFERROR('Data Sheet'!E61,0)</f>
        <v>305703.49</v>
      </c>
      <c r="G50" s="36">
        <f>IFERROR('Data Sheet'!F61,0)</f>
        <v>320179.39</v>
      </c>
      <c r="H50" s="36">
        <f>IFERROR('Data Sheet'!G61,0)</f>
        <v>341569.91</v>
      </c>
      <c r="I50" s="36">
        <f>IFERROR('Data Sheet'!H61,0)</f>
        <v>329061.49</v>
      </c>
      <c r="J50" s="36">
        <f>IFERROR('Data Sheet'!I61,0)</f>
        <v>334674.43</v>
      </c>
      <c r="K50" s="36">
        <f>IFERROR('Data Sheet'!J61,0)</f>
        <v>369521</v>
      </c>
      <c r="L50" s="36">
        <f>IFERROR('Data Sheet'!K61,0)</f>
        <v>376973</v>
      </c>
    </row>
    <row r="52" spans="2:12" x14ac:dyDescent="0.3">
      <c r="B52" s="27" t="s">
        <v>122</v>
      </c>
      <c r="C52" s="36">
        <f>IFERROR('Data Sheet'!B62,0)</f>
        <v>107231.76</v>
      </c>
      <c r="D52" s="36">
        <f>IFERROR('Data Sheet'!C62,0)</f>
        <v>95944.08</v>
      </c>
      <c r="E52" s="36">
        <f>IFERROR('Data Sheet'!D62,0)</f>
        <v>121413.86</v>
      </c>
      <c r="F52" s="36">
        <f>IFERROR('Data Sheet'!E62,0)</f>
        <v>111234.47</v>
      </c>
      <c r="G52" s="36">
        <f>IFERROR('Data Sheet'!F62,0)</f>
        <v>127107.14</v>
      </c>
      <c r="H52" s="36">
        <f>IFERROR('Data Sheet'!G62,0)</f>
        <v>138707.60999999999</v>
      </c>
      <c r="I52" s="36">
        <f>IFERROR('Data Sheet'!H62,0)</f>
        <v>138855.45000000001</v>
      </c>
      <c r="J52" s="36">
        <f>IFERROR('Data Sheet'!I62,0)</f>
        <v>132079.76</v>
      </c>
      <c r="K52" s="36">
        <f>IFERROR('Data Sheet'!J62,0)</f>
        <v>121285</v>
      </c>
      <c r="L52" s="36">
        <f>IFERROR('Data Sheet'!K62,0)</f>
        <v>115697</v>
      </c>
    </row>
    <row r="53" spans="2:12" x14ac:dyDescent="0.3">
      <c r="B53" t="s">
        <v>28</v>
      </c>
      <c r="C53" s="36">
        <f>IFERROR('Data Sheet'!B63,0)</f>
        <v>25918.94</v>
      </c>
      <c r="D53" s="36">
        <f>IFERROR('Data Sheet'!C63,0)</f>
        <v>33698.839999999997</v>
      </c>
      <c r="E53" s="36">
        <f>IFERROR('Data Sheet'!D63,0)</f>
        <v>40033.5</v>
      </c>
      <c r="F53" s="36">
        <f>IFERROR('Data Sheet'!E63,0)</f>
        <v>31883.84</v>
      </c>
      <c r="G53" s="36">
        <f>IFERROR('Data Sheet'!F63,0)</f>
        <v>35622.29</v>
      </c>
      <c r="H53" s="36">
        <f>IFERROR('Data Sheet'!G63,0)</f>
        <v>20963.93</v>
      </c>
      <c r="I53" s="36">
        <f>IFERROR('Data Sheet'!H63,0)</f>
        <v>10251.09</v>
      </c>
      <c r="J53" s="36">
        <f>IFERROR('Data Sheet'!I63,0)</f>
        <v>14274.5</v>
      </c>
      <c r="K53" s="36">
        <f>IFERROR('Data Sheet'!J63,0)</f>
        <v>35698</v>
      </c>
      <c r="L53" s="36">
        <f>IFERROR('Data Sheet'!K63,0)</f>
        <v>65806</v>
      </c>
    </row>
    <row r="54" spans="2:12" x14ac:dyDescent="0.3">
      <c r="B54" t="s">
        <v>29</v>
      </c>
      <c r="C54" s="36">
        <f>IFERROR('Data Sheet'!B64,0)</f>
        <v>23767.02</v>
      </c>
      <c r="D54" s="36">
        <f>IFERROR('Data Sheet'!C64,0)</f>
        <v>20337.919999999998</v>
      </c>
      <c r="E54" s="36">
        <f>IFERROR('Data Sheet'!D64,0)</f>
        <v>20812.75</v>
      </c>
      <c r="F54" s="36">
        <f>IFERROR('Data Sheet'!E64,0)</f>
        <v>15770.72</v>
      </c>
      <c r="G54" s="36">
        <f>IFERROR('Data Sheet'!F64,0)</f>
        <v>16308.48</v>
      </c>
      <c r="H54" s="36">
        <f>IFERROR('Data Sheet'!G64,0)</f>
        <v>24620.28</v>
      </c>
      <c r="I54" s="36">
        <f>IFERROR('Data Sheet'!H64,0)</f>
        <v>29379.53</v>
      </c>
      <c r="J54" s="36">
        <f>IFERROR('Data Sheet'!I64,0)</f>
        <v>26379.16</v>
      </c>
      <c r="K54" s="36">
        <f>IFERROR('Data Sheet'!J64,0)</f>
        <v>22971</v>
      </c>
      <c r="L54" s="36">
        <f>IFERROR('Data Sheet'!K64,0)</f>
        <v>35656</v>
      </c>
    </row>
    <row r="55" spans="2:12" x14ac:dyDescent="0.3">
      <c r="B55" t="s">
        <v>73</v>
      </c>
      <c r="C55" s="36">
        <f>IFERROR('Data Sheet'!B65-SUM('Data Sheet'!B67:B69),0)</f>
        <v>29579.359999999986</v>
      </c>
      <c r="D55" s="36">
        <f>IFERROR('Data Sheet'!C65-SUM('Data Sheet'!C67:C69),0)</f>
        <v>37360.780000000013</v>
      </c>
      <c r="E55" s="36">
        <f>IFERROR('Data Sheet'!D65-SUM('Data Sheet'!D67:D69),0)</f>
        <v>48286.860000000015</v>
      </c>
      <c r="F55" s="36">
        <f>IFERROR('Data Sheet'!E65-SUM('Data Sheet'!E67:E69),0)</f>
        <v>56155.739999999991</v>
      </c>
      <c r="G55" s="36">
        <f>IFERROR('Data Sheet'!F65-SUM('Data Sheet'!F67:F69),0)</f>
        <v>58784.94</v>
      </c>
      <c r="H55" s="36">
        <f>IFERROR('Data Sheet'!G65-SUM('Data Sheet'!G67:G69),0)</f>
        <v>61717.959999999992</v>
      </c>
      <c r="I55" s="36">
        <f>IFERROR('Data Sheet'!H65-SUM('Data Sheet'!H67:H69),0)</f>
        <v>62223.770000000019</v>
      </c>
      <c r="J55" s="36">
        <f>IFERROR('Data Sheet'!I65-SUM('Data Sheet'!I67:I69),0)</f>
        <v>68432.090000000011</v>
      </c>
      <c r="K55" s="36">
        <f>IFERROR('Data Sheet'!J65-SUM('Data Sheet'!J67:J69),0)</f>
        <v>79020</v>
      </c>
      <c r="L55" s="36">
        <f>IFERROR('Data Sheet'!K65-SUM('Data Sheet'!K67:K69),0)</f>
        <v>58463</v>
      </c>
    </row>
    <row r="56" spans="2:12" x14ac:dyDescent="0.3">
      <c r="B56" s="2" t="s">
        <v>123</v>
      </c>
      <c r="C56" s="36">
        <f>IFERROR(SUM(C52:C55),0)</f>
        <v>186497.07999999996</v>
      </c>
      <c r="D56" s="36">
        <f t="shared" ref="D56:L56" si="18">IFERROR(SUM(D52:D55),0)</f>
        <v>187341.62</v>
      </c>
      <c r="E56" s="36">
        <f t="shared" si="18"/>
        <v>230546.97</v>
      </c>
      <c r="F56" s="36">
        <f t="shared" si="18"/>
        <v>215044.77</v>
      </c>
      <c r="G56" s="36">
        <f t="shared" si="18"/>
        <v>237822.85</v>
      </c>
      <c r="H56" s="36">
        <f t="shared" si="18"/>
        <v>246009.77999999997</v>
      </c>
      <c r="I56" s="36">
        <f t="shared" si="18"/>
        <v>240709.84000000003</v>
      </c>
      <c r="J56" s="36">
        <f t="shared" si="18"/>
        <v>241165.51</v>
      </c>
      <c r="K56" s="36">
        <f t="shared" si="18"/>
        <v>258974</v>
      </c>
      <c r="L56" s="36">
        <f t="shared" si="18"/>
        <v>275622</v>
      </c>
    </row>
    <row r="57" spans="2:12" x14ac:dyDescent="0.3">
      <c r="C57" s="2"/>
      <c r="D57" s="2"/>
    </row>
    <row r="58" spans="2:12" x14ac:dyDescent="0.3">
      <c r="B58" t="s">
        <v>78</v>
      </c>
      <c r="C58" s="36">
        <f>IFERROR('Data Sheet'!B67,0)</f>
        <v>13570.91</v>
      </c>
      <c r="D58" s="36">
        <f>IFERROR('Data Sheet'!C67,0)</f>
        <v>14075.55</v>
      </c>
      <c r="E58" s="36">
        <f>IFERROR('Data Sheet'!D67,0)</f>
        <v>19893.3</v>
      </c>
      <c r="F58" s="36">
        <f>IFERROR('Data Sheet'!E67,0)</f>
        <v>18996.169999999998</v>
      </c>
      <c r="G58" s="36">
        <f>IFERROR('Data Sheet'!F67,0)</f>
        <v>11172.69</v>
      </c>
      <c r="H58" s="36">
        <f>IFERROR('Data Sheet'!G67,0)</f>
        <v>12679.08</v>
      </c>
      <c r="I58" s="36">
        <f>IFERROR('Data Sheet'!H67,0)</f>
        <v>12442.12</v>
      </c>
      <c r="J58" s="36">
        <f>IFERROR('Data Sheet'!I67,0)</f>
        <v>15737.97</v>
      </c>
      <c r="K58" s="36">
        <f>IFERROR('Data Sheet'!J67,0)</f>
        <v>16952</v>
      </c>
      <c r="L58" s="36">
        <f>IFERROR('Data Sheet'!K67,0)</f>
        <v>13248</v>
      </c>
    </row>
    <row r="59" spans="2:12" x14ac:dyDescent="0.3">
      <c r="B59" t="s">
        <v>45</v>
      </c>
      <c r="C59" s="36">
        <f>IFERROR('Data Sheet'!B68,0)</f>
        <v>32655.73</v>
      </c>
      <c r="D59" s="36">
        <f>IFERROR('Data Sheet'!C68,0)</f>
        <v>35085.31</v>
      </c>
      <c r="E59" s="36">
        <f>IFERROR('Data Sheet'!D68,0)</f>
        <v>42137.63</v>
      </c>
      <c r="F59" s="36">
        <f>IFERROR('Data Sheet'!E68,0)</f>
        <v>39013.730000000003</v>
      </c>
      <c r="G59" s="36">
        <f>IFERROR('Data Sheet'!F68,0)</f>
        <v>37456.879999999997</v>
      </c>
      <c r="H59" s="36">
        <f>IFERROR('Data Sheet'!G68,0)</f>
        <v>36088.589999999997</v>
      </c>
      <c r="I59" s="36">
        <f>IFERROR('Data Sheet'!H68,0)</f>
        <v>35240.339999999997</v>
      </c>
      <c r="J59" s="36">
        <f>IFERROR('Data Sheet'!I68,0)</f>
        <v>40755.39</v>
      </c>
      <c r="K59" s="36">
        <f>IFERROR('Data Sheet'!J68,0)</f>
        <v>47788</v>
      </c>
      <c r="L59" s="36">
        <f>IFERROR('Data Sheet'!K68,0)</f>
        <v>47269</v>
      </c>
    </row>
    <row r="60" spans="2:12" x14ac:dyDescent="0.3">
      <c r="B60" t="s">
        <v>87</v>
      </c>
      <c r="C60" s="36">
        <f>IFERROR('Data Sheet'!B69,0)</f>
        <v>30460.400000000001</v>
      </c>
      <c r="D60" s="36">
        <f>IFERROR('Data Sheet'!C69,0)</f>
        <v>36077.879999999997</v>
      </c>
      <c r="E60" s="36">
        <f>IFERROR('Data Sheet'!D69,0)</f>
        <v>34613.910000000003</v>
      </c>
      <c r="F60" s="36">
        <f>IFERROR('Data Sheet'!E69,0)</f>
        <v>32648.82</v>
      </c>
      <c r="G60" s="36">
        <f>IFERROR('Data Sheet'!F69,0)</f>
        <v>33726.97</v>
      </c>
      <c r="H60" s="36">
        <f>IFERROR('Data Sheet'!G69,0)</f>
        <v>46792.46</v>
      </c>
      <c r="I60" s="36">
        <f>IFERROR('Data Sheet'!H69,0)</f>
        <v>40669.19</v>
      </c>
      <c r="J60" s="36">
        <f>IFERROR('Data Sheet'!I69,0)</f>
        <v>37015.56</v>
      </c>
      <c r="K60" s="36">
        <f>IFERROR('Data Sheet'!J69,0)</f>
        <v>45807</v>
      </c>
      <c r="L60" s="36">
        <f>IFERROR('Data Sheet'!K69,0)</f>
        <v>40834</v>
      </c>
    </row>
    <row r="61" spans="2:12" x14ac:dyDescent="0.3">
      <c r="B61" s="2" t="s">
        <v>124</v>
      </c>
      <c r="C61" s="36">
        <f>IFERROR(SUM(C58,C59,C60),0)</f>
        <v>76687.040000000008</v>
      </c>
      <c r="D61" s="36">
        <f t="shared" ref="D61:L61" si="19">IFERROR(SUM(D58,D59,D60),0)</f>
        <v>85238.739999999991</v>
      </c>
      <c r="E61" s="36">
        <f t="shared" si="19"/>
        <v>96644.84</v>
      </c>
      <c r="F61" s="36">
        <f t="shared" si="19"/>
        <v>90658.72</v>
      </c>
      <c r="G61" s="36">
        <f t="shared" si="19"/>
        <v>82356.540000000008</v>
      </c>
      <c r="H61" s="36">
        <f t="shared" si="19"/>
        <v>95560.13</v>
      </c>
      <c r="I61" s="36">
        <f t="shared" si="19"/>
        <v>88351.65</v>
      </c>
      <c r="J61" s="36">
        <f t="shared" si="19"/>
        <v>93508.92</v>
      </c>
      <c r="K61" s="36">
        <f t="shared" si="19"/>
        <v>110547</v>
      </c>
      <c r="L61" s="36">
        <f t="shared" si="19"/>
        <v>101351</v>
      </c>
    </row>
    <row r="63" spans="2:12" x14ac:dyDescent="0.3">
      <c r="B63" s="2" t="s">
        <v>125</v>
      </c>
      <c r="C63" s="36">
        <f>IFERROR(SUM(C61+C56),0)</f>
        <v>263184.12</v>
      </c>
      <c r="D63" s="36">
        <f t="shared" ref="D63:L63" si="20">IFERROR(SUM(D61+D56),0)</f>
        <v>272580.36</v>
      </c>
      <c r="E63" s="36">
        <f t="shared" si="20"/>
        <v>327191.81</v>
      </c>
      <c r="F63" s="36">
        <f t="shared" si="20"/>
        <v>305703.49</v>
      </c>
      <c r="G63" s="36">
        <f t="shared" si="20"/>
        <v>320179.39</v>
      </c>
      <c r="H63" s="36">
        <f t="shared" si="20"/>
        <v>341569.91</v>
      </c>
      <c r="I63" s="36">
        <f t="shared" si="20"/>
        <v>329061.49</v>
      </c>
      <c r="J63" s="36">
        <f t="shared" si="20"/>
        <v>334674.43</v>
      </c>
      <c r="K63" s="36">
        <f t="shared" si="20"/>
        <v>369521</v>
      </c>
      <c r="L63" s="36">
        <f t="shared" si="20"/>
        <v>376973</v>
      </c>
    </row>
    <row r="65" spans="1:12" x14ac:dyDescent="0.3">
      <c r="B65" s="2" t="s">
        <v>126</v>
      </c>
      <c r="C65" t="b">
        <f>C63=C50</f>
        <v>1</v>
      </c>
      <c r="D65" t="b">
        <f t="shared" ref="D65:L65" si="21">D63=D50</f>
        <v>1</v>
      </c>
      <c r="E65" t="b">
        <f t="shared" si="21"/>
        <v>1</v>
      </c>
      <c r="F65" t="b">
        <f t="shared" si="21"/>
        <v>1</v>
      </c>
      <c r="G65" t="b">
        <f t="shared" si="21"/>
        <v>1</v>
      </c>
      <c r="H65" t="b">
        <f t="shared" si="21"/>
        <v>1</v>
      </c>
      <c r="I65" t="b">
        <f t="shared" si="21"/>
        <v>1</v>
      </c>
      <c r="J65" t="b">
        <f t="shared" si="21"/>
        <v>1</v>
      </c>
      <c r="K65" t="b">
        <f t="shared" si="21"/>
        <v>1</v>
      </c>
      <c r="L65" t="b">
        <f t="shared" si="21"/>
        <v>1</v>
      </c>
    </row>
    <row r="68" spans="1:12" s="42" customFormat="1" x14ac:dyDescent="0.3">
      <c r="A68" s="42" t="s">
        <v>95</v>
      </c>
      <c r="B68" s="43" t="s">
        <v>155</v>
      </c>
      <c r="C68" s="43"/>
    </row>
    <row r="69" spans="1:12" x14ac:dyDescent="0.3">
      <c r="B69" s="2" t="s">
        <v>157</v>
      </c>
      <c r="C69" s="2"/>
    </row>
    <row r="70" spans="1:12" x14ac:dyDescent="0.3">
      <c r="B70" t="s">
        <v>128</v>
      </c>
      <c r="C70" s="36">
        <f>IFERROR('CASH FLOW DATA'!E4,0)</f>
        <v>38626</v>
      </c>
      <c r="D70" s="36">
        <f>IFERROR('CASH FLOW DATA'!F4,0)</f>
        <v>28840</v>
      </c>
      <c r="E70" s="36">
        <f>IFERROR('CASH FLOW DATA'!G4,0)</f>
        <v>33312</v>
      </c>
      <c r="F70" s="36">
        <f>IFERROR('CASH FLOW DATA'!H4,0)</f>
        <v>28771</v>
      </c>
      <c r="G70" s="36">
        <f>IFERROR('CASH FLOW DATA'!I4,0)</f>
        <v>23352</v>
      </c>
      <c r="H70" s="36">
        <f>IFERROR('CASH FLOW DATA'!J4,0)</f>
        <v>31198</v>
      </c>
      <c r="I70" s="36">
        <f>IFERROR('CASH FLOW DATA'!K4,0)</f>
        <v>26943</v>
      </c>
      <c r="J70" s="36">
        <f>IFERROR('CASH FLOW DATA'!L4,0)</f>
        <v>41694</v>
      </c>
      <c r="K70" s="36">
        <f>IFERROR('CASH FLOW DATA'!M4,0)</f>
        <v>65106</v>
      </c>
      <c r="L70" s="36">
        <f>IFERROR('CASH FLOW DATA'!N4,0)</f>
        <v>58937</v>
      </c>
    </row>
    <row r="71" spans="1:12" x14ac:dyDescent="0.3">
      <c r="B71" t="s">
        <v>78</v>
      </c>
      <c r="C71" s="36">
        <f>IFERROR('CASH FLOW DATA'!E5,0)</f>
        <v>-2223</v>
      </c>
      <c r="D71" s="36">
        <f>IFERROR('CASH FLOW DATA'!F5,0)</f>
        <v>-4152</v>
      </c>
      <c r="E71" s="36">
        <f>IFERROR('CASH FLOW DATA'!G5,0)</f>
        <v>-10688</v>
      </c>
      <c r="F71" s="36">
        <f>IFERROR('CASH FLOW DATA'!H5,0)</f>
        <v>-9109</v>
      </c>
      <c r="G71" s="36">
        <f>IFERROR('CASH FLOW DATA'!I5,0)</f>
        <v>9950</v>
      </c>
      <c r="H71" s="36">
        <f>IFERROR('CASH FLOW DATA'!J5,0)</f>
        <v>-5505</v>
      </c>
      <c r="I71" s="36">
        <f>IFERROR('CASH FLOW DATA'!K5,0)</f>
        <v>185</v>
      </c>
      <c r="J71" s="36">
        <f>IFERROR('CASH FLOW DATA'!L5,0)</f>
        <v>-2213</v>
      </c>
      <c r="K71" s="36">
        <f>IFERROR('CASH FLOW DATA'!M5,0)</f>
        <v>-1876</v>
      </c>
      <c r="L71" s="36">
        <f>IFERROR('CASH FLOW DATA'!N5,0)</f>
        <v>3573</v>
      </c>
    </row>
    <row r="72" spans="1:12" x14ac:dyDescent="0.3">
      <c r="B72" t="s">
        <v>45</v>
      </c>
      <c r="C72" s="36">
        <f>IFERROR('CASH FLOW DATA'!E6,0)</f>
        <v>-5743</v>
      </c>
      <c r="D72" s="36">
        <f>IFERROR('CASH FLOW DATA'!F6,0)</f>
        <v>-6621</v>
      </c>
      <c r="E72" s="36">
        <f>IFERROR('CASH FLOW DATA'!G6,0)</f>
        <v>-3560</v>
      </c>
      <c r="F72" s="36">
        <f>IFERROR('CASH FLOW DATA'!H6,0)</f>
        <v>2069</v>
      </c>
      <c r="G72" s="36">
        <f>IFERROR('CASH FLOW DATA'!I6,0)</f>
        <v>2326</v>
      </c>
      <c r="H72" s="36">
        <f>IFERROR('CASH FLOW DATA'!J6,0)</f>
        <v>3814</v>
      </c>
      <c r="I72" s="36">
        <f>IFERROR('CASH FLOW DATA'!K6,0)</f>
        <v>472</v>
      </c>
      <c r="J72" s="36">
        <f>IFERROR('CASH FLOW DATA'!L6,0)</f>
        <v>-5665</v>
      </c>
      <c r="K72" s="36">
        <f>IFERROR('CASH FLOW DATA'!M6,0)</f>
        <v>-7265</v>
      </c>
      <c r="L72" s="36">
        <f>IFERROR('CASH FLOW DATA'!N6,0)</f>
        <v>2127</v>
      </c>
    </row>
    <row r="73" spans="1:12" x14ac:dyDescent="0.3">
      <c r="B73" t="s">
        <v>129</v>
      </c>
      <c r="C73" s="36">
        <f>IFERROR('CASH FLOW DATA'!E7,0)</f>
        <v>3947</v>
      </c>
      <c r="D73" s="36">
        <f>IFERROR('CASH FLOW DATA'!F7,0)</f>
        <v>9301</v>
      </c>
      <c r="E73" s="36">
        <f>IFERROR('CASH FLOW DATA'!G7,0)</f>
        <v>7320</v>
      </c>
      <c r="F73" s="36">
        <f>IFERROR('CASH FLOW DATA'!H7,0)</f>
        <v>-4692</v>
      </c>
      <c r="G73" s="36">
        <f>IFERROR('CASH FLOW DATA'!I7,0)</f>
        <v>-8085</v>
      </c>
      <c r="H73" s="36">
        <f>IFERROR('CASH FLOW DATA'!J7,0)</f>
        <v>5748</v>
      </c>
      <c r="I73" s="36">
        <f>IFERROR('CASH FLOW DATA'!K7,0)</f>
        <v>-7012</v>
      </c>
      <c r="J73" s="36">
        <f>IFERROR('CASH FLOW DATA'!L7,0)</f>
        <v>6945</v>
      </c>
      <c r="K73" s="36">
        <f>IFERROR('CASH FLOW DATA'!M7,0)</f>
        <v>13706</v>
      </c>
      <c r="L73" s="36">
        <f>IFERROR('CASH FLOW DATA'!N7,0)</f>
        <v>1303</v>
      </c>
    </row>
    <row r="74" spans="1:12" x14ac:dyDescent="0.3">
      <c r="B74" t="s">
        <v>130</v>
      </c>
      <c r="C74" s="36">
        <f>IFERROR('CASH FLOW DATA'!E8,0)</f>
        <v>-520</v>
      </c>
      <c r="D74" s="36">
        <f>IFERROR('CASH FLOW DATA'!F8,0)</f>
        <v>0</v>
      </c>
      <c r="E74" s="36">
        <f>IFERROR('CASH FLOW DATA'!G8,0)</f>
        <v>0</v>
      </c>
      <c r="F74" s="36">
        <f>IFERROR('CASH FLOW DATA'!H8,0)</f>
        <v>0</v>
      </c>
      <c r="G74" s="36">
        <f>IFERROR('CASH FLOW DATA'!I8,0)</f>
        <v>0</v>
      </c>
      <c r="H74" s="36">
        <f>IFERROR('CASH FLOW DATA'!J8,0)</f>
        <v>0</v>
      </c>
      <c r="I74" s="36">
        <f>IFERROR('CASH FLOW DATA'!K8,0)</f>
        <v>0</v>
      </c>
      <c r="J74" s="36">
        <f>IFERROR('CASH FLOW DATA'!L8,0)</f>
        <v>0</v>
      </c>
      <c r="K74" s="36">
        <f>IFERROR('CASH FLOW DATA'!M8,0)</f>
        <v>0</v>
      </c>
      <c r="L74" s="36">
        <f>IFERROR('CASH FLOW DATA'!N8,0)</f>
        <v>0</v>
      </c>
    </row>
    <row r="75" spans="1:12" x14ac:dyDescent="0.3">
      <c r="B75" t="s">
        <v>131</v>
      </c>
      <c r="C75" s="36">
        <f>IFERROR('CASH FLOW DATA'!E9,0)</f>
        <v>5852</v>
      </c>
      <c r="D75" s="36">
        <f>IFERROR('CASH FLOW DATA'!F9,0)</f>
        <v>4727</v>
      </c>
      <c r="E75" s="36">
        <f>IFERROR('CASH FLOW DATA'!G9,0)</f>
        <v>494</v>
      </c>
      <c r="F75" s="36">
        <f>IFERROR('CASH FLOW DATA'!H9,0)</f>
        <v>4512</v>
      </c>
      <c r="G75" s="36">
        <f>IFERROR('CASH FLOW DATA'!I9,0)</f>
        <v>875</v>
      </c>
      <c r="H75" s="36">
        <f>IFERROR('CASH FLOW DATA'!J9,0)</f>
        <v>-4150</v>
      </c>
      <c r="I75" s="36">
        <f>IFERROR('CASH FLOW DATA'!K9,0)</f>
        <v>-4396</v>
      </c>
      <c r="J75" s="36">
        <f>IFERROR('CASH FLOW DATA'!L9,0)</f>
        <v>-2194</v>
      </c>
      <c r="K75" s="36">
        <f>IFERROR('CASH FLOW DATA'!M9,0)</f>
        <v>2760</v>
      </c>
      <c r="L75" s="36">
        <f>IFERROR('CASH FLOW DATA'!N9,0)</f>
        <v>1153</v>
      </c>
    </row>
    <row r="76" spans="1:12" x14ac:dyDescent="0.3">
      <c r="B76" t="s">
        <v>132</v>
      </c>
      <c r="C76" s="36">
        <f>IFERROR('CASH FLOW DATA'!E10,0)</f>
        <v>1313</v>
      </c>
      <c r="D76" s="36">
        <f>IFERROR('CASH FLOW DATA'!F10,0)</f>
        <v>3254</v>
      </c>
      <c r="E76" s="36">
        <f>IFERROR('CASH FLOW DATA'!G10,0)</f>
        <v>-6434</v>
      </c>
      <c r="F76" s="36">
        <f>IFERROR('CASH FLOW DATA'!H10,0)</f>
        <v>-7221</v>
      </c>
      <c r="G76" s="36">
        <f>IFERROR('CASH FLOW DATA'!I10,0)</f>
        <v>5065</v>
      </c>
      <c r="H76" s="36">
        <f>IFERROR('CASH FLOW DATA'!J10,0)</f>
        <v>-93</v>
      </c>
      <c r="I76" s="36">
        <f>IFERROR('CASH FLOW DATA'!K10,0)</f>
        <v>-10750</v>
      </c>
      <c r="J76" s="36">
        <f>IFERROR('CASH FLOW DATA'!L10,0)</f>
        <v>-3127</v>
      </c>
      <c r="K76" s="36">
        <f>IFERROR('CASH FLOW DATA'!M10,0)</f>
        <v>7325</v>
      </c>
      <c r="L76" s="36">
        <f>IFERROR('CASH FLOW DATA'!N10,0)</f>
        <v>8156</v>
      </c>
    </row>
    <row r="77" spans="1:12" x14ac:dyDescent="0.3">
      <c r="B77" t="s">
        <v>133</v>
      </c>
      <c r="C77" s="36">
        <f>IFERROR('CASH FLOW DATA'!E11,0)</f>
        <v>-2040</v>
      </c>
      <c r="D77" s="36">
        <f>IFERROR('CASH FLOW DATA'!F11,0)</f>
        <v>-1895</v>
      </c>
      <c r="E77" s="36">
        <f>IFERROR('CASH FLOW DATA'!G11,0)</f>
        <v>-3021</v>
      </c>
      <c r="F77" s="36">
        <f>IFERROR('CASH FLOW DATA'!H11,0)</f>
        <v>-2659</v>
      </c>
      <c r="G77" s="36">
        <f>IFERROR('CASH FLOW DATA'!I11,0)</f>
        <v>-1785</v>
      </c>
      <c r="H77" s="36">
        <f>IFERROR('CASH FLOW DATA'!J11,0)</f>
        <v>-2105</v>
      </c>
      <c r="I77" s="36">
        <f>IFERROR('CASH FLOW DATA'!K11,0)</f>
        <v>-1910</v>
      </c>
      <c r="J77" s="36">
        <f>IFERROR('CASH FLOW DATA'!L11,0)</f>
        <v>-3179</v>
      </c>
      <c r="K77" s="36">
        <f>IFERROR('CASH FLOW DATA'!M11,0)</f>
        <v>-4516</v>
      </c>
      <c r="L77" s="36">
        <f>IFERROR('CASH FLOW DATA'!N11,0)</f>
        <v>-3991</v>
      </c>
    </row>
    <row r="78" spans="1:12" x14ac:dyDescent="0.3">
      <c r="B78" s="2" t="s">
        <v>156</v>
      </c>
      <c r="C78" s="44">
        <f>SUM(C70:C77)</f>
        <v>39212</v>
      </c>
      <c r="D78" s="44">
        <f t="shared" ref="D78:L78" si="22">SUM(D70:D77)</f>
        <v>33454</v>
      </c>
      <c r="E78" s="44">
        <f t="shared" si="22"/>
        <v>17423</v>
      </c>
      <c r="F78" s="44">
        <f t="shared" si="22"/>
        <v>11671</v>
      </c>
      <c r="G78" s="44">
        <f t="shared" si="22"/>
        <v>31698</v>
      </c>
      <c r="H78" s="44">
        <f t="shared" si="22"/>
        <v>28907</v>
      </c>
      <c r="I78" s="44">
        <f t="shared" si="22"/>
        <v>3532</v>
      </c>
      <c r="J78" s="44">
        <f t="shared" si="22"/>
        <v>32261</v>
      </c>
      <c r="K78" s="44">
        <f t="shared" si="22"/>
        <v>75240</v>
      </c>
      <c r="L78" s="44">
        <f t="shared" si="22"/>
        <v>71258</v>
      </c>
    </row>
    <row r="80" spans="1:12" x14ac:dyDescent="0.3">
      <c r="B80" s="2" t="s">
        <v>158</v>
      </c>
      <c r="C80" s="2"/>
    </row>
    <row r="81" spans="2:12" x14ac:dyDescent="0.3">
      <c r="B81" t="s">
        <v>135</v>
      </c>
      <c r="C81" s="36">
        <f>IFERROR('CASH FLOW DATA'!E13,0)</f>
        <v>-31503</v>
      </c>
      <c r="D81" s="36">
        <f>IFERROR('CASH FLOW DATA'!F13,0)</f>
        <v>-16072</v>
      </c>
      <c r="E81" s="36">
        <f>IFERROR('CASH FLOW DATA'!G13,0)</f>
        <v>-35079</v>
      </c>
      <c r="F81" s="36">
        <f>IFERROR('CASH FLOW DATA'!H13,0)</f>
        <v>-35304</v>
      </c>
      <c r="G81" s="36">
        <f>IFERROR('CASH FLOW DATA'!I13,0)</f>
        <v>-29702</v>
      </c>
      <c r="H81" s="36">
        <f>IFERROR('CASH FLOW DATA'!J13,0)</f>
        <v>-20205</v>
      </c>
      <c r="I81" s="36">
        <f>IFERROR('CASH FLOW DATA'!K13,0)</f>
        <v>-15168</v>
      </c>
      <c r="J81" s="36">
        <f>IFERROR('CASH FLOW DATA'!L13,0)</f>
        <v>-19230</v>
      </c>
      <c r="K81" s="36">
        <f>IFERROR('CASH FLOW DATA'!M13,0)</f>
        <v>-31414</v>
      </c>
      <c r="L81" s="36">
        <f>IFERROR('CASH FLOW DATA'!N13,0)</f>
        <v>-38042</v>
      </c>
    </row>
    <row r="82" spans="2:12" x14ac:dyDescent="0.3">
      <c r="B82" t="s">
        <v>136</v>
      </c>
      <c r="C82" s="36">
        <f>IFERROR('CASH FLOW DATA'!E14,0)</f>
        <v>59</v>
      </c>
      <c r="D82" s="36">
        <f>IFERROR('CASH FLOW DATA'!F14,0)</f>
        <v>53</v>
      </c>
      <c r="E82" s="36">
        <f>IFERROR('CASH FLOW DATA'!G14,0)</f>
        <v>30</v>
      </c>
      <c r="F82" s="36">
        <f>IFERROR('CASH FLOW DATA'!H14,0)</f>
        <v>67</v>
      </c>
      <c r="G82" s="36">
        <f>IFERROR('CASH FLOW DATA'!I14,0)</f>
        <v>171</v>
      </c>
      <c r="H82" s="36">
        <f>IFERROR('CASH FLOW DATA'!J14,0)</f>
        <v>351</v>
      </c>
      <c r="I82" s="36">
        <f>IFERROR('CASH FLOW DATA'!K14,0)</f>
        <v>230</v>
      </c>
      <c r="J82" s="36">
        <f>IFERROR('CASH FLOW DATA'!L14,0)</f>
        <v>285</v>
      </c>
      <c r="K82" s="36">
        <f>IFERROR('CASH FLOW DATA'!M14,0)</f>
        <v>231</v>
      </c>
      <c r="L82" s="36">
        <f>IFERROR('CASH FLOW DATA'!N14,0)</f>
        <v>974</v>
      </c>
    </row>
    <row r="83" spans="2:12" x14ac:dyDescent="0.3">
      <c r="B83" t="s">
        <v>137</v>
      </c>
      <c r="C83" s="36">
        <f>IFERROR('CASH FLOW DATA'!E15,0)</f>
        <v>-4728</v>
      </c>
      <c r="D83" s="36">
        <f>IFERROR('CASH FLOW DATA'!F15,0)</f>
        <v>-6</v>
      </c>
      <c r="E83" s="36">
        <f>IFERROR('CASH FLOW DATA'!G15,0)</f>
        <v>-329</v>
      </c>
      <c r="F83" s="36">
        <f>IFERROR('CASH FLOW DATA'!H15,0)</f>
        <v>-130</v>
      </c>
      <c r="G83" s="36">
        <f>IFERROR('CASH FLOW DATA'!I15,0)</f>
        <v>-1439</v>
      </c>
      <c r="H83" s="36">
        <f>IFERROR('CASH FLOW DATA'!J15,0)</f>
        <v>-7530</v>
      </c>
      <c r="I83" s="36">
        <f>IFERROR('CASH FLOW DATA'!K15,0)</f>
        <v>-3008</v>
      </c>
      <c r="J83" s="36">
        <f>IFERROR('CASH FLOW DATA'!L15,0)</f>
        <v>-50</v>
      </c>
      <c r="K83" s="36">
        <f>IFERROR('CASH FLOW DATA'!M15,0)</f>
        <v>-74</v>
      </c>
      <c r="L83" s="36">
        <f>IFERROR('CASH FLOW DATA'!N15,0)</f>
        <v>-12677</v>
      </c>
    </row>
    <row r="84" spans="2:12" x14ac:dyDescent="0.3">
      <c r="B84" t="s">
        <v>138</v>
      </c>
      <c r="C84" s="36">
        <f>IFERROR('CASH FLOW DATA'!E16,0)</f>
        <v>89</v>
      </c>
      <c r="D84" s="36">
        <f>IFERROR('CASH FLOW DATA'!F16,0)</f>
        <v>1965</v>
      </c>
      <c r="E84" s="36">
        <f>IFERROR('CASH FLOW DATA'!G16,0)</f>
        <v>2381</v>
      </c>
      <c r="F84" s="36">
        <f>IFERROR('CASH FLOW DATA'!H16,0)</f>
        <v>5644</v>
      </c>
      <c r="G84" s="36">
        <f>IFERROR('CASH FLOW DATA'!I16,0)</f>
        <v>21</v>
      </c>
      <c r="H84" s="36">
        <f>IFERROR('CASH FLOW DATA'!J16,0)</f>
        <v>226</v>
      </c>
      <c r="I84" s="36">
        <f>IFERROR('CASH FLOW DATA'!K16,0)</f>
        <v>104</v>
      </c>
      <c r="J84" s="36">
        <f>IFERROR('CASH FLOW DATA'!L16,0)</f>
        <v>6895</v>
      </c>
      <c r="K84" s="36">
        <f>IFERROR('CASH FLOW DATA'!M16,0)</f>
        <v>10821</v>
      </c>
      <c r="L84" s="36">
        <f>IFERROR('CASH FLOW DATA'!N16,0)</f>
        <v>111</v>
      </c>
    </row>
    <row r="85" spans="2:12" x14ac:dyDescent="0.3">
      <c r="B85" t="s">
        <v>139</v>
      </c>
      <c r="C85" s="36">
        <f>IFERROR('CASH FLOW DATA'!E17,0)</f>
        <v>731</v>
      </c>
      <c r="D85" s="36">
        <f>IFERROR('CASH FLOW DATA'!F17,0)</f>
        <v>638</v>
      </c>
      <c r="E85" s="36">
        <f>IFERROR('CASH FLOW DATA'!G17,0)</f>
        <v>690</v>
      </c>
      <c r="F85" s="36">
        <f>IFERROR('CASH FLOW DATA'!H17,0)</f>
        <v>761</v>
      </c>
      <c r="G85" s="36">
        <f>IFERROR('CASH FLOW DATA'!I17,0)</f>
        <v>1104</v>
      </c>
      <c r="H85" s="36">
        <f>IFERROR('CASH FLOW DATA'!J17,0)</f>
        <v>428</v>
      </c>
      <c r="I85" s="36">
        <f>IFERROR('CASH FLOW DATA'!K17,0)</f>
        <v>653</v>
      </c>
      <c r="J85" s="36">
        <f>IFERROR('CASH FLOW DATA'!L17,0)</f>
        <v>973</v>
      </c>
      <c r="K85" s="36">
        <f>IFERROR('CASH FLOW DATA'!M17,0)</f>
        <v>2493</v>
      </c>
      <c r="L85" s="36">
        <f>IFERROR('CASH FLOW DATA'!N17,0)</f>
        <v>2420</v>
      </c>
    </row>
    <row r="86" spans="2:12" x14ac:dyDescent="0.3">
      <c r="B86" t="s">
        <v>140</v>
      </c>
      <c r="C86" s="36">
        <f>IFERROR('CASH FLOW DATA'!E18,0)</f>
        <v>58</v>
      </c>
      <c r="D86" s="36">
        <f>IFERROR('CASH FLOW DATA'!F18,0)</f>
        <v>620</v>
      </c>
      <c r="E86" s="36">
        <f>IFERROR('CASH FLOW DATA'!G18,0)</f>
        <v>1797</v>
      </c>
      <c r="F86" s="36">
        <f>IFERROR('CASH FLOW DATA'!H18,0)</f>
        <v>232</v>
      </c>
      <c r="G86" s="36">
        <f>IFERROR('CASH FLOW DATA'!I18,0)</f>
        <v>21</v>
      </c>
      <c r="H86" s="36">
        <f>IFERROR('CASH FLOW DATA'!J18,0)</f>
        <v>18</v>
      </c>
      <c r="I86" s="36">
        <f>IFERROR('CASH FLOW DATA'!K18,0)</f>
        <v>32</v>
      </c>
      <c r="J86" s="36">
        <f>IFERROR('CASH FLOW DATA'!L18,0)</f>
        <v>46</v>
      </c>
      <c r="K86" s="36">
        <f>IFERROR('CASH FLOW DATA'!M18,0)</f>
        <v>47</v>
      </c>
      <c r="L86" s="36">
        <f>IFERROR('CASH FLOW DATA'!N18,0)</f>
        <v>64</v>
      </c>
    </row>
    <row r="87" spans="2:12" x14ac:dyDescent="0.3">
      <c r="B87" t="s">
        <v>141</v>
      </c>
      <c r="C87" s="36">
        <f>IFERROR('CASH FLOW DATA'!E19,0)</f>
        <v>0</v>
      </c>
      <c r="D87" s="36">
        <f>IFERROR('CASH FLOW DATA'!F19,0)</f>
        <v>-107</v>
      </c>
      <c r="E87" s="36">
        <f>IFERROR('CASH FLOW DATA'!G19,0)</f>
        <v>-4</v>
      </c>
      <c r="F87" s="36">
        <f>IFERROR('CASH FLOW DATA'!H19,0)</f>
        <v>-9</v>
      </c>
      <c r="G87" s="36">
        <f>IFERROR('CASH FLOW DATA'!I19,0)</f>
        <v>-606</v>
      </c>
      <c r="H87" s="36">
        <f>IFERROR('CASH FLOW DATA'!J19,0)</f>
        <v>-10</v>
      </c>
      <c r="I87" s="36">
        <f>IFERROR('CASH FLOW DATA'!K19,0)</f>
        <v>0</v>
      </c>
      <c r="J87" s="36">
        <f>IFERROR('CASH FLOW DATA'!L19,0)</f>
        <v>0</v>
      </c>
      <c r="K87" s="36">
        <f>IFERROR('CASH FLOW DATA'!M19,0)</f>
        <v>-150</v>
      </c>
      <c r="L87" s="36">
        <f>IFERROR('CASH FLOW DATA'!N19,0)</f>
        <v>0</v>
      </c>
    </row>
    <row r="88" spans="2:12" x14ac:dyDescent="0.3">
      <c r="B88" t="s">
        <v>142</v>
      </c>
      <c r="C88" s="36">
        <f>IFERROR('CASH FLOW DATA'!E20,0)</f>
        <v>0</v>
      </c>
      <c r="D88" s="36">
        <f>IFERROR('CASH FLOW DATA'!F20,0)</f>
        <v>0</v>
      </c>
      <c r="E88" s="36">
        <f>IFERROR('CASH FLOW DATA'!G20,0)</f>
        <v>14</v>
      </c>
      <c r="F88" s="36">
        <f>IFERROR('CASH FLOW DATA'!H20,0)</f>
        <v>533</v>
      </c>
      <c r="G88" s="36">
        <f>IFERROR('CASH FLOW DATA'!I20,0)</f>
        <v>0</v>
      </c>
      <c r="H88" s="36">
        <f>IFERROR('CASH FLOW DATA'!J20,0)</f>
        <v>0</v>
      </c>
      <c r="I88" s="36">
        <f>IFERROR('CASH FLOW DATA'!K20,0)</f>
        <v>0</v>
      </c>
      <c r="J88" s="36">
        <f>IFERROR('CASH FLOW DATA'!L20,0)</f>
        <v>19</v>
      </c>
      <c r="K88" s="36">
        <f>IFERROR('CASH FLOW DATA'!M20,0)</f>
        <v>107</v>
      </c>
      <c r="L88" s="36">
        <f>IFERROR('CASH FLOW DATA'!N20,0)</f>
        <v>765</v>
      </c>
    </row>
    <row r="89" spans="2:12" x14ac:dyDescent="0.3">
      <c r="B89" t="s">
        <v>143</v>
      </c>
      <c r="C89" s="36">
        <f>IFERROR('CASH FLOW DATA'!E21,0)</f>
        <v>-111</v>
      </c>
      <c r="D89" s="36">
        <f>IFERROR('CASH FLOW DATA'!F21,0)</f>
        <v>0</v>
      </c>
      <c r="E89" s="36">
        <f>IFERROR('CASH FLOW DATA'!G21,0)</f>
        <v>0</v>
      </c>
      <c r="F89" s="36">
        <f>IFERROR('CASH FLOW DATA'!H21,0)</f>
        <v>-8</v>
      </c>
      <c r="G89" s="36">
        <f>IFERROR('CASH FLOW DATA'!I21,0)</f>
        <v>-27</v>
      </c>
      <c r="H89" s="36">
        <f>IFERROR('CASH FLOW DATA'!J21,0)</f>
        <v>0</v>
      </c>
      <c r="I89" s="36">
        <f>IFERROR('CASH FLOW DATA'!K21,0)</f>
        <v>-98</v>
      </c>
      <c r="J89" s="36">
        <f>IFERROR('CASH FLOW DATA'!L21,0)</f>
        <v>0</v>
      </c>
      <c r="K89" s="36">
        <f>IFERROR('CASH FLOW DATA'!M21,0)</f>
        <v>0</v>
      </c>
      <c r="L89" s="36">
        <f>IFERROR('CASH FLOW DATA'!N21,0)</f>
        <v>-688</v>
      </c>
    </row>
    <row r="90" spans="2:12" x14ac:dyDescent="0.3">
      <c r="B90" t="s">
        <v>144</v>
      </c>
      <c r="C90" s="36">
        <f>IFERROR('CASH FLOW DATA'!E22,0)</f>
        <v>0</v>
      </c>
      <c r="D90" s="36">
        <f>IFERROR('CASH FLOW DATA'!F22,0)</f>
        <v>0</v>
      </c>
      <c r="E90" s="36">
        <f>IFERROR('CASH FLOW DATA'!G22,0)</f>
        <v>0</v>
      </c>
      <c r="F90" s="36">
        <f>IFERROR('CASH FLOW DATA'!H22,0)</f>
        <v>0</v>
      </c>
      <c r="G90" s="36">
        <f>IFERROR('CASH FLOW DATA'!I22,0)</f>
        <v>0</v>
      </c>
      <c r="H90" s="36">
        <f>IFERROR('CASH FLOW DATA'!J22,0)</f>
        <v>0</v>
      </c>
      <c r="I90" s="36">
        <f>IFERROR('CASH FLOW DATA'!K22,0)</f>
        <v>0</v>
      </c>
      <c r="J90" s="36">
        <f>IFERROR('CASH FLOW DATA'!L22,0)</f>
        <v>0</v>
      </c>
      <c r="K90" s="36">
        <f>IFERROR('CASH FLOW DATA'!M22,0)</f>
        <v>-25</v>
      </c>
      <c r="L90" s="36">
        <f>IFERROR('CASH FLOW DATA'!N22,0)</f>
        <v>-20</v>
      </c>
    </row>
    <row r="91" spans="2:12" x14ac:dyDescent="0.3">
      <c r="B91" t="s">
        <v>145</v>
      </c>
      <c r="C91" s="36">
        <f>IFERROR('CASH FLOW DATA'!E23,0)</f>
        <v>-1289</v>
      </c>
      <c r="D91" s="36">
        <f>IFERROR('CASH FLOW DATA'!F23,0)</f>
        <v>-26663</v>
      </c>
      <c r="E91" s="36">
        <f>IFERROR('CASH FLOW DATA'!G23,0)</f>
        <v>5360</v>
      </c>
      <c r="F91" s="36">
        <f>IFERROR('CASH FLOW DATA'!H23,0)</f>
        <v>7335</v>
      </c>
      <c r="G91" s="36">
        <f>IFERROR('CASH FLOW DATA'!I23,0)</f>
        <v>-2659</v>
      </c>
      <c r="H91" s="36">
        <f>IFERROR('CASH FLOW DATA'!J23,0)</f>
        <v>1051</v>
      </c>
      <c r="I91" s="36">
        <f>IFERROR('CASH FLOW DATA'!K23,0)</f>
        <v>12813</v>
      </c>
      <c r="J91" s="36">
        <f>IFERROR('CASH FLOW DATA'!L23,0)</f>
        <v>-4357</v>
      </c>
      <c r="K91" s="36">
        <f>IFERROR('CASH FLOW DATA'!M23,0)</f>
        <v>-4817</v>
      </c>
      <c r="L91" s="36">
        <f>IFERROR('CASH FLOW DATA'!N23,0)</f>
        <v>-2889</v>
      </c>
    </row>
    <row r="92" spans="2:12" x14ac:dyDescent="0.3">
      <c r="B92" s="2" t="s">
        <v>159</v>
      </c>
      <c r="C92" s="44">
        <f>SUM(C81:C91)</f>
        <v>-36694</v>
      </c>
      <c r="D92" s="44">
        <f t="shared" ref="D92:L92" si="23">SUM(D81:D91)</f>
        <v>-39572</v>
      </c>
      <c r="E92" s="44">
        <f t="shared" si="23"/>
        <v>-25140</v>
      </c>
      <c r="F92" s="44">
        <f t="shared" si="23"/>
        <v>-20879</v>
      </c>
      <c r="G92" s="44">
        <f t="shared" si="23"/>
        <v>-33116</v>
      </c>
      <c r="H92" s="44">
        <f t="shared" si="23"/>
        <v>-25671</v>
      </c>
      <c r="I92" s="44">
        <f t="shared" si="23"/>
        <v>-4442</v>
      </c>
      <c r="J92" s="44">
        <f t="shared" si="23"/>
        <v>-15419</v>
      </c>
      <c r="K92" s="44">
        <f t="shared" si="23"/>
        <v>-22781</v>
      </c>
      <c r="L92" s="44">
        <f t="shared" si="23"/>
        <v>-49982</v>
      </c>
    </row>
    <row r="94" spans="2:12" x14ac:dyDescent="0.3">
      <c r="B94" s="2" t="s">
        <v>160</v>
      </c>
    </row>
    <row r="95" spans="2:12" x14ac:dyDescent="0.3">
      <c r="B95" t="s">
        <v>147</v>
      </c>
      <c r="C95" s="36">
        <f>IFERROR('CASH FLOW DATA'!E25,0)</f>
        <v>7433</v>
      </c>
      <c r="D95" s="36">
        <f>IFERROR('CASH FLOW DATA'!F25,0)</f>
        <v>5</v>
      </c>
      <c r="E95" s="36">
        <f>IFERROR('CASH FLOW DATA'!G25,0)</f>
        <v>0</v>
      </c>
      <c r="F95" s="36">
        <f>IFERROR('CASH FLOW DATA'!H25,0)</f>
        <v>0</v>
      </c>
      <c r="G95" s="36">
        <f>IFERROR('CASH FLOW DATA'!I25,0)</f>
        <v>3889</v>
      </c>
      <c r="H95" s="36">
        <f>IFERROR('CASH FLOW DATA'!J25,0)</f>
        <v>2603</v>
      </c>
      <c r="I95" s="36">
        <f>IFERROR('CASH FLOW DATA'!K25,0)</f>
        <v>19</v>
      </c>
      <c r="J95" s="36">
        <f>IFERROR('CASH FLOW DATA'!L25,0)</f>
        <v>20</v>
      </c>
      <c r="K95" s="36">
        <f>IFERROR('CASH FLOW DATA'!M25,0)</f>
        <v>82</v>
      </c>
      <c r="L95" s="36">
        <f>IFERROR('CASH FLOW DATA'!N25,0)</f>
        <v>1108</v>
      </c>
    </row>
    <row r="96" spans="2:12" x14ac:dyDescent="0.3">
      <c r="B96" t="s">
        <v>148</v>
      </c>
      <c r="C96" s="36">
        <f>IFERROR('CASH FLOW DATA'!E26,0)</f>
        <v>0</v>
      </c>
      <c r="D96" s="36">
        <f>IFERROR('CASH FLOW DATA'!F26,0)</f>
        <v>0</v>
      </c>
      <c r="E96" s="36">
        <f>IFERROR('CASH FLOW DATA'!G26,0)</f>
        <v>0</v>
      </c>
      <c r="F96" s="36">
        <f>IFERROR('CASH FLOW DATA'!H26,0)</f>
        <v>0</v>
      </c>
      <c r="G96" s="36">
        <f>IFERROR('CASH FLOW DATA'!I26,0)</f>
        <v>0</v>
      </c>
      <c r="H96" s="36">
        <f>IFERROR('CASH FLOW DATA'!J26,0)</f>
        <v>0</v>
      </c>
      <c r="I96" s="36">
        <f>IFERROR('CASH FLOW DATA'!K26,0)</f>
        <v>0</v>
      </c>
      <c r="J96" s="36">
        <f>IFERROR('CASH FLOW DATA'!L26,0)</f>
        <v>0</v>
      </c>
      <c r="K96" s="36">
        <f>IFERROR('CASH FLOW DATA'!M26,0)</f>
        <v>0</v>
      </c>
      <c r="L96" s="36">
        <f>IFERROR('CASH FLOW DATA'!N26,0)</f>
        <v>0</v>
      </c>
    </row>
    <row r="97" spans="2:12" x14ac:dyDescent="0.3">
      <c r="B97" t="s">
        <v>149</v>
      </c>
      <c r="C97" s="36">
        <f>IFERROR('CASH FLOW DATA'!E27,0)</f>
        <v>19519</v>
      </c>
      <c r="D97" s="36">
        <f>IFERROR('CASH FLOW DATA'!F27,0)</f>
        <v>33390</v>
      </c>
      <c r="E97" s="36">
        <f>IFERROR('CASH FLOW DATA'!G27,0)</f>
        <v>37482</v>
      </c>
      <c r="F97" s="36">
        <f>IFERROR('CASH FLOW DATA'!H27,0)</f>
        <v>51128</v>
      </c>
      <c r="G97" s="36">
        <f>IFERROR('CASH FLOW DATA'!I27,0)</f>
        <v>38297</v>
      </c>
      <c r="H97" s="36">
        <f>IFERROR('CASH FLOW DATA'!J27,0)</f>
        <v>46641</v>
      </c>
      <c r="I97" s="36">
        <f>IFERROR('CASH FLOW DATA'!K27,0)</f>
        <v>46578</v>
      </c>
      <c r="J97" s="36">
        <f>IFERROR('CASH FLOW DATA'!L27,0)</f>
        <v>43934</v>
      </c>
      <c r="K97" s="36">
        <f>IFERROR('CASH FLOW DATA'!M27,0)</f>
        <v>18829</v>
      </c>
      <c r="L97" s="36">
        <f>IFERROR('CASH FLOW DATA'!N27,0)</f>
        <v>13384</v>
      </c>
    </row>
    <row r="98" spans="2:12" x14ac:dyDescent="0.3">
      <c r="B98" t="s">
        <v>150</v>
      </c>
      <c r="C98" s="36">
        <f>IFERROR('CASH FLOW DATA'!E28,0)</f>
        <v>-24924</v>
      </c>
      <c r="D98" s="36">
        <f>IFERROR('CASH FLOW DATA'!F28,0)</f>
        <v>-21732</v>
      </c>
      <c r="E98" s="36">
        <f>IFERROR('CASH FLOW DATA'!G28,0)</f>
        <v>-29964</v>
      </c>
      <c r="F98" s="36">
        <f>IFERROR('CASH FLOW DATA'!H28,0)</f>
        <v>-35198</v>
      </c>
      <c r="G98" s="36">
        <f>IFERROR('CASH FLOW DATA'!I28,0)</f>
        <v>-29847</v>
      </c>
      <c r="H98" s="36">
        <f>IFERROR('CASH FLOW DATA'!J28,0)</f>
        <v>-29709</v>
      </c>
      <c r="I98" s="36">
        <f>IFERROR('CASH FLOW DATA'!K28,0)</f>
        <v>-42816</v>
      </c>
      <c r="J98" s="36">
        <f>IFERROR('CASH FLOW DATA'!L28,0)</f>
        <v>-62557</v>
      </c>
      <c r="K98" s="36">
        <f>IFERROR('CASH FLOW DATA'!M28,0)</f>
        <v>-47414</v>
      </c>
      <c r="L98" s="36">
        <f>IFERROR('CASH FLOW DATA'!N28,0)</f>
        <v>-21443</v>
      </c>
    </row>
    <row r="99" spans="2:12" x14ac:dyDescent="0.3">
      <c r="B99" t="s">
        <v>151</v>
      </c>
      <c r="C99" s="36">
        <f>IFERROR('CASH FLOW DATA'!E29,0)</f>
        <v>-5716</v>
      </c>
      <c r="D99" s="36">
        <f>IFERROR('CASH FLOW DATA'!F29,0)</f>
        <v>-5336</v>
      </c>
      <c r="E99" s="36">
        <f>IFERROR('CASH FLOW DATA'!G29,0)</f>
        <v>-5411</v>
      </c>
      <c r="F99" s="36">
        <f>IFERROR('CASH FLOW DATA'!H29,0)</f>
        <v>-7005</v>
      </c>
      <c r="G99" s="36">
        <f>IFERROR('CASH FLOW DATA'!I29,0)</f>
        <v>-7518</v>
      </c>
      <c r="H99" s="36">
        <f>IFERROR('CASH FLOW DATA'!J29,0)</f>
        <v>-8123</v>
      </c>
      <c r="I99" s="36">
        <f>IFERROR('CASH FLOW DATA'!K29,0)</f>
        <v>-9251</v>
      </c>
      <c r="J99" s="36">
        <f>IFERROR('CASH FLOW DATA'!L29,0)</f>
        <v>-9336</v>
      </c>
      <c r="K99" s="36">
        <f>IFERROR('CASH FLOW DATA'!M29,0)</f>
        <v>-9332</v>
      </c>
      <c r="L99" s="36">
        <f>IFERROR('CASH FLOW DATA'!N29,0)</f>
        <v>-5814</v>
      </c>
    </row>
    <row r="100" spans="2:12" x14ac:dyDescent="0.3">
      <c r="B100" t="s">
        <v>152</v>
      </c>
      <c r="C100" s="36">
        <f>IFERROR('CASH FLOW DATA'!E30,0)</f>
        <v>-108</v>
      </c>
      <c r="D100" s="36">
        <f>IFERROR('CASH FLOW DATA'!F30,0)</f>
        <v>-121</v>
      </c>
      <c r="E100" s="36">
        <f>IFERROR('CASH FLOW DATA'!G30,0)</f>
        <v>-96</v>
      </c>
      <c r="F100" s="36">
        <f>IFERROR('CASH FLOW DATA'!H30,0)</f>
        <v>-95</v>
      </c>
      <c r="G100" s="36">
        <f>IFERROR('CASH FLOW DATA'!I30,0)</f>
        <v>-57</v>
      </c>
      <c r="H100" s="36">
        <f>IFERROR('CASH FLOW DATA'!J30,0)</f>
        <v>-30</v>
      </c>
      <c r="I100" s="36">
        <f>IFERROR('CASH FLOW DATA'!K30,0)</f>
        <v>-100</v>
      </c>
      <c r="J100" s="36">
        <f>IFERROR('CASH FLOW DATA'!L30,0)</f>
        <v>-141</v>
      </c>
      <c r="K100" s="36">
        <f>IFERROR('CASH FLOW DATA'!M30,0)</f>
        <v>-1059</v>
      </c>
      <c r="L100" s="36">
        <f>IFERROR('CASH FLOW DATA'!N30,0)</f>
        <v>-2492</v>
      </c>
    </row>
    <row r="101" spans="2:12" x14ac:dyDescent="0.3">
      <c r="B101" t="s">
        <v>153</v>
      </c>
      <c r="C101" s="36">
        <f>IFERROR('CASH FLOW DATA'!E31,0)</f>
        <v>0</v>
      </c>
      <c r="D101" s="36">
        <f>IFERROR('CASH FLOW DATA'!F31,0)</f>
        <v>0</v>
      </c>
      <c r="E101" s="36">
        <f>IFERROR('CASH FLOW DATA'!G31,0)</f>
        <v>0</v>
      </c>
      <c r="F101" s="36">
        <f>IFERROR('CASH FLOW DATA'!H31,0)</f>
        <v>0</v>
      </c>
      <c r="G101" s="36">
        <f>IFERROR('CASH FLOW DATA'!I31,0)</f>
        <v>-1346</v>
      </c>
      <c r="H101" s="36">
        <f>IFERROR('CASH FLOW DATA'!J31,0)</f>
        <v>-1477</v>
      </c>
      <c r="I101" s="36">
        <f>IFERROR('CASH FLOW DATA'!K31,0)</f>
        <v>-1559</v>
      </c>
      <c r="J101" s="36">
        <f>IFERROR('CASH FLOW DATA'!L31,0)</f>
        <v>-1517</v>
      </c>
      <c r="K101" s="36">
        <f>IFERROR('CASH FLOW DATA'!M31,0)</f>
        <v>-1924</v>
      </c>
      <c r="L101" s="36">
        <f>IFERROR('CASH FLOW DATA'!N31,0)</f>
        <v>-2393</v>
      </c>
    </row>
    <row r="102" spans="2:12" x14ac:dyDescent="0.3">
      <c r="B102" t="s">
        <v>154</v>
      </c>
      <c r="C102" s="36">
        <f>IFERROR('CASH FLOW DATA'!E32,0)</f>
        <v>0</v>
      </c>
      <c r="D102" s="36">
        <f>IFERROR('CASH FLOW DATA'!F32,0)</f>
        <v>0</v>
      </c>
      <c r="E102" s="36">
        <f>IFERROR('CASH FLOW DATA'!G32,0)</f>
        <v>0</v>
      </c>
      <c r="F102" s="36">
        <f>IFERROR('CASH FLOW DATA'!H32,0)</f>
        <v>0</v>
      </c>
      <c r="G102" s="36">
        <f>IFERROR('CASH FLOW DATA'!I32,0)</f>
        <v>-29</v>
      </c>
      <c r="H102" s="36">
        <f>IFERROR('CASH FLOW DATA'!J32,0)</f>
        <v>0</v>
      </c>
      <c r="I102" s="36">
        <f>IFERROR('CASH FLOW DATA'!K32,0)</f>
        <v>3750</v>
      </c>
      <c r="J102" s="36">
        <f>IFERROR('CASH FLOW DATA'!L32,0)</f>
        <v>3355</v>
      </c>
      <c r="K102" s="36">
        <f>IFERROR('CASH FLOW DATA'!M32,0)</f>
        <v>3812</v>
      </c>
      <c r="L102" s="36">
        <f>IFERROR('CASH FLOW DATA'!N32,0)</f>
        <v>-1136</v>
      </c>
    </row>
    <row r="103" spans="2:12" x14ac:dyDescent="0.3">
      <c r="B103" s="2" t="s">
        <v>161</v>
      </c>
      <c r="C103" s="44">
        <f>SUM(C95:C102)</f>
        <v>-3796</v>
      </c>
      <c r="D103" s="44">
        <f t="shared" ref="D103:L103" si="24">SUM(D95:D102)</f>
        <v>6206</v>
      </c>
      <c r="E103" s="44">
        <f t="shared" si="24"/>
        <v>2011</v>
      </c>
      <c r="F103" s="44">
        <f t="shared" si="24"/>
        <v>8830</v>
      </c>
      <c r="G103" s="44">
        <f t="shared" si="24"/>
        <v>3389</v>
      </c>
      <c r="H103" s="44">
        <f t="shared" si="24"/>
        <v>9905</v>
      </c>
      <c r="I103" s="44">
        <f t="shared" si="24"/>
        <v>-3379</v>
      </c>
      <c r="J103" s="44">
        <f t="shared" si="24"/>
        <v>-26242</v>
      </c>
      <c r="K103" s="44">
        <f t="shared" si="24"/>
        <v>-37006</v>
      </c>
      <c r="L103" s="44">
        <f t="shared" si="24"/>
        <v>-18786</v>
      </c>
    </row>
    <row r="105" spans="2:12" x14ac:dyDescent="0.3">
      <c r="B105" s="2" t="s">
        <v>162</v>
      </c>
      <c r="C105" s="44">
        <f>IFERROR(SUM(C103,C92,C78),0)</f>
        <v>-1278</v>
      </c>
      <c r="D105" s="44">
        <f t="shared" ref="D105:L105" si="25">IFERROR(SUM(D103,D92,D78),0)</f>
        <v>88</v>
      </c>
      <c r="E105" s="44">
        <f t="shared" si="25"/>
        <v>-5706</v>
      </c>
      <c r="F105" s="44">
        <f t="shared" si="25"/>
        <v>-378</v>
      </c>
      <c r="G105" s="44">
        <f t="shared" si="25"/>
        <v>1971</v>
      </c>
      <c r="H105" s="44">
        <f t="shared" si="25"/>
        <v>13141</v>
      </c>
      <c r="I105" s="44">
        <f t="shared" si="25"/>
        <v>-4289</v>
      </c>
      <c r="J105" s="44">
        <f t="shared" si="25"/>
        <v>-9400</v>
      </c>
      <c r="K105" s="44">
        <f t="shared" si="25"/>
        <v>15453</v>
      </c>
      <c r="L105" s="44">
        <f t="shared" si="25"/>
        <v>2490</v>
      </c>
    </row>
  </sheetData>
  <mergeCells count="1">
    <mergeCell ref="B2:G2"/>
  </mergeCells>
  <pageMargins left="0.7" right="0.7" top="0.75" bottom="0.75" header="0.3" footer="0.3"/>
  <ignoredErrors>
    <ignoredError sqref="M5 M8 C13 D13:M13 M19 M22 M2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E30A-046B-484D-A314-9055FC1E2581}">
  <dimension ref="B2:N33"/>
  <sheetViews>
    <sheetView workbookViewId="0">
      <selection activeCell="E11" sqref="E11"/>
    </sheetView>
  </sheetViews>
  <sheetFormatPr defaultRowHeight="14.4" x14ac:dyDescent="0.3"/>
  <cols>
    <col min="1" max="1" width="2.21875" customWidth="1"/>
    <col min="2" max="2" width="31.6640625" customWidth="1"/>
  </cols>
  <sheetData>
    <row r="2" spans="2:14" x14ac:dyDescent="0.3">
      <c r="C2" s="28">
        <v>41699</v>
      </c>
      <c r="D2" s="28">
        <v>42064</v>
      </c>
      <c r="E2" s="28">
        <v>42430</v>
      </c>
      <c r="F2" s="28">
        <v>42795</v>
      </c>
      <c r="G2" s="28">
        <v>43160</v>
      </c>
      <c r="H2" s="28">
        <v>43525</v>
      </c>
      <c r="I2" s="28">
        <v>43891</v>
      </c>
      <c r="J2" s="28">
        <v>44256</v>
      </c>
      <c r="K2" s="28">
        <v>44621</v>
      </c>
      <c r="L2" s="28">
        <v>44986</v>
      </c>
      <c r="M2" s="28">
        <v>45352</v>
      </c>
      <c r="N2" s="28">
        <v>45717</v>
      </c>
    </row>
    <row r="3" spans="2:14" x14ac:dyDescent="0.3">
      <c r="B3" t="s">
        <v>127</v>
      </c>
      <c r="C3" s="39">
        <v>36151</v>
      </c>
      <c r="D3" s="39">
        <v>35531</v>
      </c>
      <c r="E3" s="39">
        <v>37900</v>
      </c>
      <c r="F3" s="39">
        <v>30199</v>
      </c>
      <c r="G3" s="39">
        <v>23857</v>
      </c>
      <c r="H3" s="39">
        <v>18891</v>
      </c>
      <c r="I3" s="39">
        <v>26633</v>
      </c>
      <c r="J3" s="39">
        <v>29001</v>
      </c>
      <c r="K3" s="39">
        <v>14283</v>
      </c>
      <c r="L3" s="39">
        <v>35388</v>
      </c>
      <c r="M3" s="39">
        <v>67915</v>
      </c>
      <c r="N3" s="39">
        <v>63102</v>
      </c>
    </row>
    <row r="4" spans="2:14" x14ac:dyDescent="0.3">
      <c r="B4" t="s">
        <v>128</v>
      </c>
      <c r="C4" s="39">
        <v>36303</v>
      </c>
      <c r="D4" s="39">
        <v>43397</v>
      </c>
      <c r="E4" s="39">
        <v>38626</v>
      </c>
      <c r="F4" s="39">
        <v>28840</v>
      </c>
      <c r="G4" s="39">
        <v>33312</v>
      </c>
      <c r="H4" s="39">
        <v>28771</v>
      </c>
      <c r="I4" s="39">
        <v>23352</v>
      </c>
      <c r="J4" s="39">
        <v>31198</v>
      </c>
      <c r="K4" s="39">
        <v>26943</v>
      </c>
      <c r="L4" s="39">
        <v>41694</v>
      </c>
      <c r="M4" s="39">
        <v>65106</v>
      </c>
      <c r="N4" s="39">
        <v>58937</v>
      </c>
    </row>
    <row r="5" spans="2:14" x14ac:dyDescent="0.3">
      <c r="B5" t="s">
        <v>78</v>
      </c>
      <c r="C5">
        <v>445</v>
      </c>
      <c r="D5" s="39">
        <v>-3179</v>
      </c>
      <c r="E5" s="39">
        <v>-2223</v>
      </c>
      <c r="F5" s="39">
        <v>-4152</v>
      </c>
      <c r="G5" s="39">
        <v>-10688</v>
      </c>
      <c r="H5" s="39">
        <v>-9109</v>
      </c>
      <c r="I5" s="39">
        <v>9950</v>
      </c>
      <c r="J5" s="39">
        <v>-5505</v>
      </c>
      <c r="K5">
        <v>185</v>
      </c>
      <c r="L5" s="39">
        <v>-2213</v>
      </c>
      <c r="M5" s="39">
        <v>-1876</v>
      </c>
      <c r="N5" s="39">
        <v>3573</v>
      </c>
    </row>
    <row r="6" spans="2:14" x14ac:dyDescent="0.3">
      <c r="B6" t="s">
        <v>45</v>
      </c>
      <c r="C6" s="39">
        <v>-2853</v>
      </c>
      <c r="D6" s="39">
        <v>-3692</v>
      </c>
      <c r="E6" s="39">
        <v>-5743</v>
      </c>
      <c r="F6" s="39">
        <v>-6621</v>
      </c>
      <c r="G6" s="39">
        <v>-3560</v>
      </c>
      <c r="H6" s="39">
        <v>2069</v>
      </c>
      <c r="I6" s="39">
        <v>2326</v>
      </c>
      <c r="J6" s="39">
        <v>3814</v>
      </c>
      <c r="K6">
        <v>472</v>
      </c>
      <c r="L6" s="39">
        <v>-5665</v>
      </c>
      <c r="M6" s="39">
        <v>-7265</v>
      </c>
      <c r="N6" s="39">
        <v>2127</v>
      </c>
    </row>
    <row r="7" spans="2:14" x14ac:dyDescent="0.3">
      <c r="B7" t="s">
        <v>129</v>
      </c>
      <c r="C7" s="39">
        <v>4694</v>
      </c>
      <c r="D7" s="39">
        <v>3598</v>
      </c>
      <c r="E7" s="39">
        <v>3947</v>
      </c>
      <c r="F7" s="39">
        <v>9301</v>
      </c>
      <c r="G7" s="39">
        <v>7320</v>
      </c>
      <c r="H7" s="39">
        <v>-4692</v>
      </c>
      <c r="I7" s="39">
        <v>-8085</v>
      </c>
      <c r="J7" s="39">
        <v>5748</v>
      </c>
      <c r="K7" s="39">
        <v>-7012</v>
      </c>
      <c r="L7" s="39">
        <v>6945</v>
      </c>
      <c r="M7" s="39">
        <v>13706</v>
      </c>
      <c r="N7" s="39">
        <v>1303</v>
      </c>
    </row>
    <row r="8" spans="2:14" x14ac:dyDescent="0.3">
      <c r="B8" t="s">
        <v>130</v>
      </c>
      <c r="C8">
        <v>0</v>
      </c>
      <c r="D8">
        <v>0</v>
      </c>
      <c r="E8">
        <v>-520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131</v>
      </c>
      <c r="C9" s="39">
        <v>1870</v>
      </c>
      <c r="D9">
        <v>-398</v>
      </c>
      <c r="E9" s="39">
        <v>5852</v>
      </c>
      <c r="F9" s="39">
        <v>4727</v>
      </c>
      <c r="G9">
        <v>494</v>
      </c>
      <c r="H9" s="39">
        <v>4512</v>
      </c>
      <c r="I9">
        <v>875</v>
      </c>
      <c r="J9" s="39">
        <v>-4150</v>
      </c>
      <c r="K9" s="39">
        <v>-4396</v>
      </c>
      <c r="L9" s="39">
        <v>-2194</v>
      </c>
      <c r="M9" s="39">
        <v>2760</v>
      </c>
      <c r="N9" s="39">
        <v>1153</v>
      </c>
    </row>
    <row r="10" spans="2:14" x14ac:dyDescent="0.3">
      <c r="B10" t="s">
        <v>132</v>
      </c>
      <c r="C10" s="39">
        <v>4157</v>
      </c>
      <c r="D10" s="39">
        <v>-3672</v>
      </c>
      <c r="E10" s="39">
        <v>1313</v>
      </c>
      <c r="F10" s="39">
        <v>3254</v>
      </c>
      <c r="G10" s="39">
        <v>-6434</v>
      </c>
      <c r="H10" s="39">
        <v>-7221</v>
      </c>
      <c r="I10" s="39">
        <v>5065</v>
      </c>
      <c r="J10">
        <v>-93</v>
      </c>
      <c r="K10" s="39">
        <v>-10750</v>
      </c>
      <c r="L10" s="39">
        <v>-3127</v>
      </c>
      <c r="M10" s="39">
        <v>7325</v>
      </c>
      <c r="N10" s="39">
        <v>8156</v>
      </c>
    </row>
    <row r="11" spans="2:14" x14ac:dyDescent="0.3">
      <c r="B11" t="s">
        <v>133</v>
      </c>
      <c r="C11" s="39">
        <v>-4308</v>
      </c>
      <c r="D11" s="39">
        <v>-4194</v>
      </c>
      <c r="E11" s="39">
        <v>-2040</v>
      </c>
      <c r="F11" s="39">
        <v>-1895</v>
      </c>
      <c r="G11" s="39">
        <v>-3021</v>
      </c>
      <c r="H11" s="39">
        <v>-2659</v>
      </c>
      <c r="I11" s="39">
        <v>-1785</v>
      </c>
      <c r="J11" s="39">
        <v>-2105</v>
      </c>
      <c r="K11" s="39">
        <v>-1910</v>
      </c>
      <c r="L11" s="39">
        <v>-3179</v>
      </c>
      <c r="M11" s="39">
        <v>-4516</v>
      </c>
      <c r="N11" s="39">
        <v>-3991</v>
      </c>
    </row>
    <row r="12" spans="2:14" x14ac:dyDescent="0.3">
      <c r="B12" t="s">
        <v>134</v>
      </c>
      <c r="C12" s="39">
        <v>-27991</v>
      </c>
      <c r="D12" s="39">
        <v>-36232</v>
      </c>
      <c r="E12" s="39">
        <v>-36694</v>
      </c>
      <c r="F12" s="39">
        <v>-39571</v>
      </c>
      <c r="G12" s="39">
        <v>-25139</v>
      </c>
      <c r="H12" s="39">
        <v>-20878</v>
      </c>
      <c r="I12" s="39">
        <v>-33115</v>
      </c>
      <c r="J12" s="39">
        <v>-25672</v>
      </c>
      <c r="K12" s="39">
        <v>-4444</v>
      </c>
      <c r="L12" s="39">
        <v>-15417</v>
      </c>
      <c r="M12" s="39">
        <v>-22781</v>
      </c>
      <c r="N12" s="39">
        <v>-49982</v>
      </c>
    </row>
    <row r="13" spans="2:14" x14ac:dyDescent="0.3">
      <c r="B13" t="s">
        <v>135</v>
      </c>
      <c r="C13" s="39">
        <v>-26975</v>
      </c>
      <c r="D13" s="39">
        <v>-31962</v>
      </c>
      <c r="E13" s="39">
        <v>-31503</v>
      </c>
      <c r="F13" s="39">
        <v>-16072</v>
      </c>
      <c r="G13" s="39">
        <v>-35079</v>
      </c>
      <c r="H13" s="39">
        <v>-35304</v>
      </c>
      <c r="I13" s="39">
        <v>-29702</v>
      </c>
      <c r="J13" s="39">
        <v>-20205</v>
      </c>
      <c r="K13" s="39">
        <v>-15168</v>
      </c>
      <c r="L13" s="39">
        <v>-19230</v>
      </c>
      <c r="M13" s="39">
        <v>-31414</v>
      </c>
      <c r="N13" s="39">
        <v>-38042</v>
      </c>
    </row>
    <row r="14" spans="2:14" x14ac:dyDescent="0.3">
      <c r="B14" t="s">
        <v>136</v>
      </c>
      <c r="C14">
        <v>50</v>
      </c>
      <c r="D14">
        <v>74</v>
      </c>
      <c r="E14">
        <v>59</v>
      </c>
      <c r="F14">
        <v>53</v>
      </c>
      <c r="G14">
        <v>30</v>
      </c>
      <c r="H14">
        <v>67</v>
      </c>
      <c r="I14">
        <v>171</v>
      </c>
      <c r="J14">
        <v>351</v>
      </c>
      <c r="K14">
        <v>230</v>
      </c>
      <c r="L14">
        <v>285</v>
      </c>
      <c r="M14">
        <v>231</v>
      </c>
      <c r="N14">
        <v>974</v>
      </c>
    </row>
    <row r="15" spans="2:14" x14ac:dyDescent="0.3">
      <c r="B15" t="s">
        <v>137</v>
      </c>
      <c r="C15">
        <v>-429</v>
      </c>
      <c r="D15" s="39">
        <v>-5461</v>
      </c>
      <c r="E15" s="39">
        <v>-4728</v>
      </c>
      <c r="F15">
        <v>-6</v>
      </c>
      <c r="G15">
        <v>-329</v>
      </c>
      <c r="H15">
        <v>-130</v>
      </c>
      <c r="I15" s="39">
        <v>-1439</v>
      </c>
      <c r="J15" s="39">
        <v>-7530</v>
      </c>
      <c r="K15" s="39">
        <v>-3008</v>
      </c>
      <c r="L15">
        <v>-50</v>
      </c>
      <c r="M15">
        <v>-74</v>
      </c>
      <c r="N15" s="39">
        <v>-12677</v>
      </c>
    </row>
    <row r="16" spans="2:14" x14ac:dyDescent="0.3">
      <c r="B16" t="s">
        <v>138</v>
      </c>
      <c r="C16">
        <v>4</v>
      </c>
      <c r="D16">
        <v>42</v>
      </c>
      <c r="E16">
        <v>89</v>
      </c>
      <c r="F16" s="39">
        <v>1965</v>
      </c>
      <c r="G16" s="39">
        <v>2381</v>
      </c>
      <c r="H16" s="39">
        <v>5644</v>
      </c>
      <c r="I16">
        <v>21</v>
      </c>
      <c r="J16">
        <v>226</v>
      </c>
      <c r="K16">
        <v>104</v>
      </c>
      <c r="L16" s="39">
        <v>6895</v>
      </c>
      <c r="M16" s="39">
        <v>10821</v>
      </c>
      <c r="N16">
        <v>111</v>
      </c>
    </row>
    <row r="17" spans="2:14" x14ac:dyDescent="0.3">
      <c r="B17" t="s">
        <v>139</v>
      </c>
      <c r="C17">
        <v>653</v>
      </c>
      <c r="D17">
        <v>698</v>
      </c>
      <c r="E17">
        <v>731</v>
      </c>
      <c r="F17">
        <v>638</v>
      </c>
      <c r="G17">
        <v>690</v>
      </c>
      <c r="H17">
        <v>761</v>
      </c>
      <c r="I17" s="39">
        <v>1104</v>
      </c>
      <c r="J17">
        <v>428</v>
      </c>
      <c r="K17">
        <v>653</v>
      </c>
      <c r="L17">
        <v>973</v>
      </c>
      <c r="M17" s="39">
        <v>2493</v>
      </c>
      <c r="N17" s="39">
        <v>2420</v>
      </c>
    </row>
    <row r="18" spans="2:14" x14ac:dyDescent="0.3">
      <c r="B18" t="s">
        <v>140</v>
      </c>
      <c r="C18">
        <v>40</v>
      </c>
      <c r="D18">
        <v>80</v>
      </c>
      <c r="E18">
        <v>58</v>
      </c>
      <c r="F18">
        <v>620</v>
      </c>
      <c r="G18" s="39">
        <v>1797</v>
      </c>
      <c r="H18">
        <v>232</v>
      </c>
      <c r="I18">
        <v>21</v>
      </c>
      <c r="J18">
        <v>18</v>
      </c>
      <c r="K18">
        <v>32</v>
      </c>
      <c r="L18">
        <v>46</v>
      </c>
      <c r="M18">
        <v>47</v>
      </c>
      <c r="N18">
        <v>64</v>
      </c>
    </row>
    <row r="19" spans="2:14" x14ac:dyDescent="0.3">
      <c r="B19" t="s">
        <v>141</v>
      </c>
      <c r="C19">
        <v>0</v>
      </c>
      <c r="D19">
        <v>-160</v>
      </c>
      <c r="E19">
        <v>0</v>
      </c>
      <c r="F19">
        <v>-107</v>
      </c>
      <c r="G19">
        <v>-4</v>
      </c>
      <c r="H19">
        <v>-9</v>
      </c>
      <c r="I19">
        <v>-606</v>
      </c>
      <c r="J19">
        <v>-10</v>
      </c>
      <c r="K19">
        <v>0</v>
      </c>
      <c r="L19">
        <v>0</v>
      </c>
      <c r="M19">
        <v>-150</v>
      </c>
      <c r="N19">
        <v>0</v>
      </c>
    </row>
    <row r="20" spans="2:14" x14ac:dyDescent="0.3">
      <c r="B20" t="s">
        <v>142</v>
      </c>
      <c r="C20">
        <v>0</v>
      </c>
      <c r="D20">
        <v>0</v>
      </c>
      <c r="E20">
        <v>0</v>
      </c>
      <c r="F20">
        <v>0</v>
      </c>
      <c r="G20">
        <v>14</v>
      </c>
      <c r="H20">
        <v>533</v>
      </c>
      <c r="I20">
        <v>0</v>
      </c>
      <c r="J20">
        <v>0</v>
      </c>
      <c r="K20">
        <v>0</v>
      </c>
      <c r="L20">
        <v>19</v>
      </c>
      <c r="M20">
        <v>107</v>
      </c>
      <c r="N20">
        <v>765</v>
      </c>
    </row>
    <row r="21" spans="2:14" x14ac:dyDescent="0.3">
      <c r="B21" t="s">
        <v>143</v>
      </c>
      <c r="C21">
        <v>-185</v>
      </c>
      <c r="D21">
        <v>0</v>
      </c>
      <c r="E21">
        <v>-111</v>
      </c>
      <c r="F21">
        <v>0</v>
      </c>
      <c r="G21">
        <v>0</v>
      </c>
      <c r="H21">
        <v>-8</v>
      </c>
      <c r="I21">
        <v>-27</v>
      </c>
      <c r="J21">
        <v>0</v>
      </c>
      <c r="K21">
        <v>-98</v>
      </c>
      <c r="L21">
        <v>0</v>
      </c>
      <c r="M21">
        <v>0</v>
      </c>
      <c r="N21">
        <v>-688</v>
      </c>
    </row>
    <row r="22" spans="2:14" x14ac:dyDescent="0.3">
      <c r="B22" t="s">
        <v>144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-25</v>
      </c>
      <c r="N22">
        <v>-20</v>
      </c>
    </row>
    <row r="23" spans="2:14" x14ac:dyDescent="0.3">
      <c r="B23" t="s">
        <v>145</v>
      </c>
      <c r="C23" s="39">
        <v>-1149</v>
      </c>
      <c r="D23">
        <v>456</v>
      </c>
      <c r="E23" s="39">
        <v>-1289</v>
      </c>
      <c r="F23" s="39">
        <v>-26663</v>
      </c>
      <c r="G23" s="39">
        <v>5360</v>
      </c>
      <c r="H23" s="39">
        <v>7335</v>
      </c>
      <c r="I23" s="39">
        <v>-2659</v>
      </c>
      <c r="J23" s="39">
        <v>1051</v>
      </c>
      <c r="K23" s="39">
        <v>12813</v>
      </c>
      <c r="L23" s="39">
        <v>-4357</v>
      </c>
      <c r="M23" s="39">
        <v>-4817</v>
      </c>
      <c r="N23" s="39">
        <v>-2889</v>
      </c>
    </row>
    <row r="24" spans="2:14" x14ac:dyDescent="0.3">
      <c r="B24" t="s">
        <v>146</v>
      </c>
      <c r="C24" s="39">
        <v>-3883</v>
      </c>
      <c r="D24" s="39">
        <v>5201</v>
      </c>
      <c r="E24" s="39">
        <v>-3795</v>
      </c>
      <c r="F24" s="39">
        <v>6205</v>
      </c>
      <c r="G24" s="39">
        <v>2012</v>
      </c>
      <c r="H24" s="39">
        <v>8830</v>
      </c>
      <c r="I24" s="39">
        <v>3390</v>
      </c>
      <c r="J24" s="39">
        <v>9904</v>
      </c>
      <c r="K24" s="39">
        <v>-3380</v>
      </c>
      <c r="L24" s="39">
        <v>-26243</v>
      </c>
      <c r="M24" s="39">
        <v>-37006</v>
      </c>
      <c r="N24" s="39">
        <v>-18786</v>
      </c>
    </row>
    <row r="25" spans="2:14" x14ac:dyDescent="0.3">
      <c r="B25" t="s">
        <v>147</v>
      </c>
      <c r="C25">
        <v>0</v>
      </c>
      <c r="D25">
        <v>0</v>
      </c>
      <c r="E25" s="39">
        <v>7433</v>
      </c>
      <c r="F25">
        <v>5</v>
      </c>
      <c r="G25">
        <v>0</v>
      </c>
      <c r="H25">
        <v>0</v>
      </c>
      <c r="I25" s="39">
        <v>3889</v>
      </c>
      <c r="J25" s="39">
        <v>2603</v>
      </c>
      <c r="K25">
        <v>19</v>
      </c>
      <c r="L25">
        <v>20</v>
      </c>
      <c r="M25">
        <v>82</v>
      </c>
      <c r="N25" s="39">
        <v>1108</v>
      </c>
    </row>
    <row r="26" spans="2:14" x14ac:dyDescent="0.3">
      <c r="B26" t="s">
        <v>148</v>
      </c>
      <c r="C26">
        <v>-658</v>
      </c>
      <c r="D26">
        <v>-744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3">
      <c r="B27" t="s">
        <v>149</v>
      </c>
      <c r="C27" s="39">
        <v>33258</v>
      </c>
      <c r="D27" s="39">
        <v>36363</v>
      </c>
      <c r="E27" s="39">
        <v>19519</v>
      </c>
      <c r="F27" s="39">
        <v>33390</v>
      </c>
      <c r="G27" s="39">
        <v>37482</v>
      </c>
      <c r="H27" s="39">
        <v>51128</v>
      </c>
      <c r="I27" s="39">
        <v>38297</v>
      </c>
      <c r="J27" s="39">
        <v>46641</v>
      </c>
      <c r="K27" s="39">
        <v>46578</v>
      </c>
      <c r="L27" s="39">
        <v>43934</v>
      </c>
      <c r="M27" s="39">
        <v>18829</v>
      </c>
      <c r="N27" s="39">
        <v>13384</v>
      </c>
    </row>
    <row r="28" spans="2:14" x14ac:dyDescent="0.3">
      <c r="B28" t="s">
        <v>150</v>
      </c>
      <c r="C28" s="39">
        <v>-29141</v>
      </c>
      <c r="D28" s="39">
        <v>-23332</v>
      </c>
      <c r="E28" s="39">
        <v>-24924</v>
      </c>
      <c r="F28" s="39">
        <v>-21732</v>
      </c>
      <c r="G28" s="39">
        <v>-29964</v>
      </c>
      <c r="H28" s="39">
        <v>-35198</v>
      </c>
      <c r="I28" s="39">
        <v>-29847</v>
      </c>
      <c r="J28" s="39">
        <v>-29709</v>
      </c>
      <c r="K28" s="39">
        <v>-42816</v>
      </c>
      <c r="L28" s="39">
        <v>-62557</v>
      </c>
      <c r="M28" s="39">
        <v>-47414</v>
      </c>
      <c r="N28" s="39">
        <v>-21443</v>
      </c>
    </row>
    <row r="29" spans="2:14" x14ac:dyDescent="0.3">
      <c r="B29" t="s">
        <v>151</v>
      </c>
      <c r="C29" s="39">
        <v>-6171</v>
      </c>
      <c r="D29" s="39">
        <v>-6307</v>
      </c>
      <c r="E29" s="39">
        <v>-5716</v>
      </c>
      <c r="F29" s="39">
        <v>-5336</v>
      </c>
      <c r="G29" s="39">
        <v>-5411</v>
      </c>
      <c r="H29" s="39">
        <v>-7005</v>
      </c>
      <c r="I29" s="39">
        <v>-7518</v>
      </c>
      <c r="J29" s="39">
        <v>-8123</v>
      </c>
      <c r="K29" s="39">
        <v>-9251</v>
      </c>
      <c r="L29" s="39">
        <v>-9336</v>
      </c>
      <c r="M29" s="39">
        <v>-9332</v>
      </c>
      <c r="N29" s="39">
        <v>-5814</v>
      </c>
    </row>
    <row r="30" spans="2:14" x14ac:dyDescent="0.3">
      <c r="B30" t="s">
        <v>152</v>
      </c>
      <c r="C30">
        <v>-722</v>
      </c>
      <c r="D30">
        <v>-720</v>
      </c>
      <c r="E30">
        <v>-108</v>
      </c>
      <c r="F30">
        <v>-121</v>
      </c>
      <c r="G30">
        <v>-96</v>
      </c>
      <c r="H30">
        <v>-95</v>
      </c>
      <c r="I30">
        <v>-57</v>
      </c>
      <c r="J30">
        <v>-30</v>
      </c>
      <c r="K30">
        <v>-100</v>
      </c>
      <c r="L30">
        <v>-141</v>
      </c>
      <c r="M30" s="39">
        <v>-1059</v>
      </c>
      <c r="N30" s="39">
        <v>-2492</v>
      </c>
    </row>
    <row r="31" spans="2:14" x14ac:dyDescent="0.3">
      <c r="B31" t="s">
        <v>153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9">
        <v>-1346</v>
      </c>
      <c r="J31" s="39">
        <v>-1477</v>
      </c>
      <c r="K31" s="39">
        <v>-1559</v>
      </c>
      <c r="L31" s="39">
        <v>-1517</v>
      </c>
      <c r="M31" s="39">
        <v>-1924</v>
      </c>
      <c r="N31" s="39">
        <v>-2393</v>
      </c>
    </row>
    <row r="32" spans="2:14" x14ac:dyDescent="0.3">
      <c r="B32" t="s">
        <v>154</v>
      </c>
      <c r="C32">
        <v>-450</v>
      </c>
      <c r="D32">
        <v>-57</v>
      </c>
      <c r="E32">
        <v>0</v>
      </c>
      <c r="F32">
        <v>0</v>
      </c>
      <c r="G32">
        <v>0</v>
      </c>
      <c r="H32">
        <v>0</v>
      </c>
      <c r="I32">
        <v>-29</v>
      </c>
      <c r="J32">
        <v>0</v>
      </c>
      <c r="K32" s="39">
        <v>3750</v>
      </c>
      <c r="L32" s="39">
        <v>3355</v>
      </c>
      <c r="M32" s="39">
        <v>3812</v>
      </c>
      <c r="N32" s="39">
        <v>-1136</v>
      </c>
    </row>
    <row r="33" spans="2:14" x14ac:dyDescent="0.3">
      <c r="B33" t="s">
        <v>35</v>
      </c>
      <c r="C33" s="39">
        <v>4277</v>
      </c>
      <c r="D33" s="39">
        <v>4500</v>
      </c>
      <c r="E33" s="39">
        <v>-2589</v>
      </c>
      <c r="F33" s="39">
        <v>-3167</v>
      </c>
      <c r="G33">
        <v>730</v>
      </c>
      <c r="H33" s="39">
        <v>6843</v>
      </c>
      <c r="I33" s="39">
        <v>-3092</v>
      </c>
      <c r="J33" s="39">
        <v>13232</v>
      </c>
      <c r="K33" s="39">
        <v>6459</v>
      </c>
      <c r="L33" s="39">
        <v>-6272</v>
      </c>
      <c r="M33" s="39">
        <v>8128</v>
      </c>
      <c r="N33" s="39">
        <v>-5666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Profit &amp; Loss</vt:lpstr>
      <vt:lpstr>Quarters</vt:lpstr>
      <vt:lpstr>Balance Sheet</vt:lpstr>
      <vt:lpstr>Cash Flow</vt:lpstr>
      <vt:lpstr>Customization</vt:lpstr>
      <vt:lpstr>FINANCIALS</vt:lpstr>
      <vt:lpstr>HISTORICALFS</vt:lpstr>
      <vt:lpstr>DATA&gt;</vt:lpstr>
      <vt:lpstr>CASH FLOW DATA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Priyanshu Tiwari</cp:lastModifiedBy>
  <cp:lastPrinted>2012-12-06T18:14:13Z</cp:lastPrinted>
  <dcterms:created xsi:type="dcterms:W3CDTF">2012-08-17T09:55:37Z</dcterms:created>
  <dcterms:modified xsi:type="dcterms:W3CDTF">2025-09-12T14:14:39Z</dcterms:modified>
</cp:coreProperties>
</file>