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ll Format Stats" sheetId="2" r:id="rId5"/>
  </sheets>
  <definedNames/>
  <calcPr/>
</workbook>
</file>

<file path=xl/sharedStrings.xml><?xml version="1.0" encoding="utf-8"?>
<sst xmlns="http://schemas.openxmlformats.org/spreadsheetml/2006/main" count="93" uniqueCount="16">
  <si>
    <t>Test</t>
  </si>
  <si>
    <t>ODI</t>
  </si>
  <si>
    <t>T20I</t>
  </si>
  <si>
    <t>Year</t>
  </si>
  <si>
    <t>Format</t>
  </si>
  <si>
    <t>Innings</t>
  </si>
  <si>
    <t>Runs</t>
  </si>
  <si>
    <t>Balls</t>
  </si>
  <si>
    <t>Outs</t>
  </si>
  <si>
    <t>Avg</t>
  </si>
  <si>
    <t>SR</t>
  </si>
  <si>
    <t>HS</t>
  </si>
  <si>
    <t>4s</t>
  </si>
  <si>
    <t>6s</t>
  </si>
  <si>
    <t>Dot %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</si>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</sst>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9.0"/>
      <color rgb="FF000000"/>
      <name val="&quot;Google Sans Mono&quot;"/>
    </font>
    <font>
      <b/>
      <sz val="11.0"/>
      <color rgb="FF272727"/>
      <name val="&quot;Helvetica Neue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3" xfId="0" applyFont="1" applyNumberFormat="1"/>
    <xf borderId="0" fillId="0" fontId="1" numFmtId="3" xfId="0" applyFont="1" applyNumberFormat="1"/>
    <xf borderId="0" fillId="2" fontId="3" numFmtId="0" xfId="0" applyFill="1" applyFont="1"/>
    <xf borderId="0" fillId="2" fontId="4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tr">
        <f>IFERROR(__xludf.DUMMYFUNCTION("IMPORTHTML(""http://www.cricmetric.com/playerstats.py?player=MS%20Dhoni"",""table"",1)"),"Year")</f>
        <v>Year</v>
      </c>
      <c r="C1" s="1" t="str">
        <f>IFERROR(__xludf.DUMMYFUNCTION("""COMPUTED_VALUE"""),"Innings")</f>
        <v>Innings</v>
      </c>
      <c r="D1" s="1" t="str">
        <f>IFERROR(__xludf.DUMMYFUNCTION("""COMPUTED_VALUE"""),"Runs")</f>
        <v>Runs</v>
      </c>
      <c r="E1" s="1" t="str">
        <f>IFERROR(__xludf.DUMMYFUNCTION("""COMPUTED_VALUE"""),"Balls")</f>
        <v>Balls</v>
      </c>
      <c r="F1" s="1" t="str">
        <f>IFERROR(__xludf.DUMMYFUNCTION("""COMPUTED_VALUE"""),"Outs")</f>
        <v>Outs</v>
      </c>
      <c r="G1" s="1" t="str">
        <f>IFERROR(__xludf.DUMMYFUNCTION("""COMPUTED_VALUE"""),"Avg")</f>
        <v>Avg</v>
      </c>
      <c r="H1" s="1" t="str">
        <f>IFERROR(__xludf.DUMMYFUNCTION("""COMPUTED_VALUE"""),"SR")</f>
        <v>SR</v>
      </c>
      <c r="I1" s="1" t="str">
        <f>IFERROR(__xludf.DUMMYFUNCTION("""COMPUTED_VALUE"""),"HS")</f>
        <v>HS</v>
      </c>
      <c r="J1" s="1">
        <f>IFERROR(__xludf.DUMMYFUNCTION("""COMPUTED_VALUE"""),50.0)</f>
        <v>50</v>
      </c>
      <c r="K1" s="1">
        <f>IFERROR(__xludf.DUMMYFUNCTION("""COMPUTED_VALUE"""),100.0)</f>
        <v>100</v>
      </c>
      <c r="L1" s="1" t="str">
        <f>IFERROR(__xludf.DUMMYFUNCTION("""COMPUTED_VALUE"""),"4s")</f>
        <v>4s</v>
      </c>
      <c r="M1" s="1" t="str">
        <f>IFERROR(__xludf.DUMMYFUNCTION("""COMPUTED_VALUE"""),"6s")</f>
        <v>6s</v>
      </c>
      <c r="N1" s="1" t="str">
        <f>IFERROR(__xludf.DUMMYFUNCTION("""COMPUTED_VALUE"""),"Dot %")</f>
        <v>Dot %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2" t="s">
        <v>0</v>
      </c>
      <c r="B2" s="3">
        <f>IFERROR(__xludf.DUMMYFUNCTION("""COMPUTED_VALUE"""),2005.0)</f>
        <v>2005</v>
      </c>
      <c r="C2" s="3">
        <f>IFERROR(__xludf.DUMMYFUNCTION("""COMPUTED_VALUE"""),5.0)</f>
        <v>5</v>
      </c>
      <c r="D2" s="3">
        <f>IFERROR(__xludf.DUMMYFUNCTION("""COMPUTED_VALUE"""),149.0)</f>
        <v>149</v>
      </c>
      <c r="E2" s="3">
        <f>IFERROR(__xludf.DUMMYFUNCTION("""COMPUTED_VALUE"""),199.0)</f>
        <v>199</v>
      </c>
      <c r="F2" s="3">
        <f>IFERROR(__xludf.DUMMYFUNCTION("""COMPUTED_VALUE"""),4.0)</f>
        <v>4</v>
      </c>
      <c r="G2" s="3">
        <f>IFERROR(__xludf.DUMMYFUNCTION("""COMPUTED_VALUE"""),37.2)</f>
        <v>37.2</v>
      </c>
      <c r="H2" s="3">
        <f>IFERROR(__xludf.DUMMYFUNCTION("""COMPUTED_VALUE"""),74.9)</f>
        <v>74.9</v>
      </c>
      <c r="I2" s="3">
        <f>IFERROR(__xludf.DUMMYFUNCTION("""COMPUTED_VALUE"""),51.0)</f>
        <v>51</v>
      </c>
      <c r="J2" s="3">
        <f>IFERROR(__xludf.DUMMYFUNCTION("""COMPUTED_VALUE"""),1.0)</f>
        <v>1</v>
      </c>
      <c r="K2" s="3">
        <f>IFERROR(__xludf.DUMMYFUNCTION("""COMPUTED_VALUE"""),0.0)</f>
        <v>0</v>
      </c>
      <c r="L2" s="3">
        <f>IFERROR(__xludf.DUMMYFUNCTION("""COMPUTED_VALUE"""),20.0)</f>
        <v>20</v>
      </c>
      <c r="M2" s="3">
        <f>IFERROR(__xludf.DUMMYFUNCTION("""COMPUTED_VALUE"""),2.0)</f>
        <v>2</v>
      </c>
      <c r="N2" s="3">
        <f>IFERROR(__xludf.DUMMYFUNCTION("""COMPUTED_VALUE"""),64.3)</f>
        <v>64.3</v>
      </c>
    </row>
    <row r="3">
      <c r="A3" s="2" t="s">
        <v>0</v>
      </c>
      <c r="B3" s="3">
        <f>IFERROR(__xludf.DUMMYFUNCTION("""COMPUTED_VALUE"""),2006.0)</f>
        <v>2006</v>
      </c>
      <c r="C3" s="3">
        <f>IFERROR(__xludf.DUMMYFUNCTION("""COMPUTED_VALUE"""),19.0)</f>
        <v>19</v>
      </c>
      <c r="D3" s="3">
        <f>IFERROR(__xludf.DUMMYFUNCTION("""COMPUTED_VALUE"""),557.0)</f>
        <v>557</v>
      </c>
      <c r="E3" s="3">
        <f>IFERROR(__xludf.DUMMYFUNCTION("""COMPUTED_VALUE"""),778.0)</f>
        <v>778</v>
      </c>
      <c r="F3" s="3">
        <f>IFERROR(__xludf.DUMMYFUNCTION("""COMPUTED_VALUE"""),19.0)</f>
        <v>19</v>
      </c>
      <c r="G3" s="3">
        <f>IFERROR(__xludf.DUMMYFUNCTION("""COMPUTED_VALUE"""),29.3)</f>
        <v>29.3</v>
      </c>
      <c r="H3" s="3">
        <f>IFERROR(__xludf.DUMMYFUNCTION("""COMPUTED_VALUE"""),71.6)</f>
        <v>71.6</v>
      </c>
      <c r="I3" s="3">
        <f>IFERROR(__xludf.DUMMYFUNCTION("""COMPUTED_VALUE"""),148.0)</f>
        <v>148</v>
      </c>
      <c r="J3" s="3">
        <f>IFERROR(__xludf.DUMMYFUNCTION("""COMPUTED_VALUE"""),2.0)</f>
        <v>2</v>
      </c>
      <c r="K3" s="3">
        <f>IFERROR(__xludf.DUMMYFUNCTION("""COMPUTED_VALUE"""),1.0)</f>
        <v>1</v>
      </c>
      <c r="L3" s="3">
        <f>IFERROR(__xludf.DUMMYFUNCTION("""COMPUTED_VALUE"""),76.0)</f>
        <v>76</v>
      </c>
      <c r="M3" s="3">
        <f>IFERROR(__xludf.DUMMYFUNCTION("""COMPUTED_VALUE"""),12.0)</f>
        <v>12</v>
      </c>
      <c r="N3" s="3">
        <f>IFERROR(__xludf.DUMMYFUNCTION("""COMPUTED_VALUE"""),69.5)</f>
        <v>69.5</v>
      </c>
    </row>
    <row r="4">
      <c r="A4" s="2" t="s">
        <v>0</v>
      </c>
      <c r="B4" s="3">
        <f>IFERROR(__xludf.DUMMYFUNCTION("""COMPUTED_VALUE"""),2007.0)</f>
        <v>2007</v>
      </c>
      <c r="C4" s="3">
        <f>IFERROR(__xludf.DUMMYFUNCTION("""COMPUTED_VALUE"""),13.0)</f>
        <v>13</v>
      </c>
      <c r="D4" s="3">
        <f>IFERROR(__xludf.DUMMYFUNCTION("""COMPUTED_VALUE"""),468.0)</f>
        <v>468</v>
      </c>
      <c r="E4" s="3">
        <f>IFERROR(__xludf.DUMMYFUNCTION("""COMPUTED_VALUE"""),690.0)</f>
        <v>690</v>
      </c>
      <c r="F4" s="3">
        <f>IFERROR(__xludf.DUMMYFUNCTION("""COMPUTED_VALUE"""),9.0)</f>
        <v>9</v>
      </c>
      <c r="G4" s="3">
        <f>IFERROR(__xludf.DUMMYFUNCTION("""COMPUTED_VALUE"""),52.0)</f>
        <v>52</v>
      </c>
      <c r="H4" s="3">
        <f>IFERROR(__xludf.DUMMYFUNCTION("""COMPUTED_VALUE"""),67.8)</f>
        <v>67.8</v>
      </c>
      <c r="I4" s="3">
        <f>IFERROR(__xludf.DUMMYFUNCTION("""COMPUTED_VALUE"""),92.0)</f>
        <v>92</v>
      </c>
      <c r="J4" s="3">
        <f>IFERROR(__xludf.DUMMYFUNCTION("""COMPUTED_VALUE"""),5.0)</f>
        <v>5</v>
      </c>
      <c r="K4" s="3">
        <f>IFERROR(__xludf.DUMMYFUNCTION("""COMPUTED_VALUE"""),0.0)</f>
        <v>0</v>
      </c>
      <c r="L4" s="3">
        <f>IFERROR(__xludf.DUMMYFUNCTION("""COMPUTED_VALUE"""),52.0)</f>
        <v>52</v>
      </c>
      <c r="M4" s="3">
        <f>IFERROR(__xludf.DUMMYFUNCTION("""COMPUTED_VALUE"""),10.0)</f>
        <v>10</v>
      </c>
      <c r="N4" s="3">
        <f>IFERROR(__xludf.DUMMYFUNCTION("""COMPUTED_VALUE"""),65.7)</f>
        <v>65.7</v>
      </c>
    </row>
    <row r="5">
      <c r="A5" s="2" t="s">
        <v>0</v>
      </c>
      <c r="B5" s="3">
        <f>IFERROR(__xludf.DUMMYFUNCTION("""COMPUTED_VALUE"""),2008.0)</f>
        <v>2008</v>
      </c>
      <c r="C5" s="3">
        <f>IFERROR(__xludf.DUMMYFUNCTION("""COMPUTED_VALUE"""),19.0)</f>
        <v>19</v>
      </c>
      <c r="D5" s="3">
        <f>IFERROR(__xludf.DUMMYFUNCTION("""COMPUTED_VALUE"""),633.0)</f>
        <v>633</v>
      </c>
      <c r="E5" s="4">
        <f>IFERROR(__xludf.DUMMYFUNCTION("""COMPUTED_VALUE"""),1206.0)</f>
        <v>1206</v>
      </c>
      <c r="F5" s="3">
        <f>IFERROR(__xludf.DUMMYFUNCTION("""COMPUTED_VALUE"""),18.0)</f>
        <v>18</v>
      </c>
      <c r="G5" s="3">
        <f>IFERROR(__xludf.DUMMYFUNCTION("""COMPUTED_VALUE"""),35.2)</f>
        <v>35.2</v>
      </c>
      <c r="H5" s="3">
        <f>IFERROR(__xludf.DUMMYFUNCTION("""COMPUTED_VALUE"""),52.5)</f>
        <v>52.5</v>
      </c>
      <c r="I5" s="3">
        <f>IFERROR(__xludf.DUMMYFUNCTION("""COMPUTED_VALUE"""),92.0)</f>
        <v>92</v>
      </c>
      <c r="J5" s="3">
        <f>IFERROR(__xludf.DUMMYFUNCTION("""COMPUTED_VALUE"""),6.0)</f>
        <v>6</v>
      </c>
      <c r="K5" s="3">
        <f>IFERROR(__xludf.DUMMYFUNCTION("""COMPUTED_VALUE"""),0.0)</f>
        <v>0</v>
      </c>
      <c r="L5" s="3">
        <f>IFERROR(__xludf.DUMMYFUNCTION("""COMPUTED_VALUE"""),60.0)</f>
        <v>60</v>
      </c>
      <c r="M5" s="3">
        <f>IFERROR(__xludf.DUMMYFUNCTION("""COMPUTED_VALUE"""),8.0)</f>
        <v>8</v>
      </c>
      <c r="N5" s="3">
        <f>IFERROR(__xludf.DUMMYFUNCTION("""COMPUTED_VALUE"""),72.4)</f>
        <v>72.4</v>
      </c>
    </row>
    <row r="6">
      <c r="A6" s="2" t="s">
        <v>0</v>
      </c>
      <c r="B6" s="3">
        <f>IFERROR(__xludf.DUMMYFUNCTION("""COMPUTED_VALUE"""),2009.0)</f>
        <v>2009</v>
      </c>
      <c r="C6" s="3">
        <f>IFERROR(__xludf.DUMMYFUNCTION("""COMPUTED_VALUE"""),6.0)</f>
        <v>6</v>
      </c>
      <c r="D6" s="3">
        <f>IFERROR(__xludf.DUMMYFUNCTION("""COMPUTED_VALUE"""),369.0)</f>
        <v>369</v>
      </c>
      <c r="E6" s="3">
        <f>IFERROR(__xludf.DUMMYFUNCTION("""COMPUTED_VALUE"""),623.0)</f>
        <v>623</v>
      </c>
      <c r="F6" s="3">
        <f>IFERROR(__xludf.DUMMYFUNCTION("""COMPUTED_VALUE"""),4.0)</f>
        <v>4</v>
      </c>
      <c r="G6" s="3">
        <f>IFERROR(__xludf.DUMMYFUNCTION("""COMPUTED_VALUE"""),92.2)</f>
        <v>92.2</v>
      </c>
      <c r="H6" s="3">
        <f>IFERROR(__xludf.DUMMYFUNCTION("""COMPUTED_VALUE"""),59.2)</f>
        <v>59.2</v>
      </c>
      <c r="I6" s="3">
        <f>IFERROR(__xludf.DUMMYFUNCTION("""COMPUTED_VALUE"""),110.0)</f>
        <v>110</v>
      </c>
      <c r="J6" s="3">
        <f>IFERROR(__xludf.DUMMYFUNCTION("""COMPUTED_VALUE"""),2.0)</f>
        <v>2</v>
      </c>
      <c r="K6" s="3">
        <f>IFERROR(__xludf.DUMMYFUNCTION("""COMPUTED_VALUE"""),2.0)</f>
        <v>2</v>
      </c>
      <c r="L6" s="3">
        <f>IFERROR(__xludf.DUMMYFUNCTION("""COMPUTED_VALUE"""),34.0)</f>
        <v>34</v>
      </c>
      <c r="M6" s="3">
        <f>IFERROR(__xludf.DUMMYFUNCTION("""COMPUTED_VALUE"""),8.0)</f>
        <v>8</v>
      </c>
      <c r="N6" s="3">
        <f>IFERROR(__xludf.DUMMYFUNCTION("""COMPUTED_VALUE"""),69.7)</f>
        <v>69.7</v>
      </c>
    </row>
    <row r="7">
      <c r="A7" s="2" t="s">
        <v>0</v>
      </c>
      <c r="B7" s="3">
        <f>IFERROR(__xludf.DUMMYFUNCTION("""COMPUTED_VALUE"""),2010.0)</f>
        <v>2010</v>
      </c>
      <c r="C7" s="3">
        <f>IFERROR(__xludf.DUMMYFUNCTION("""COMPUTED_VALUE"""),19.0)</f>
        <v>19</v>
      </c>
      <c r="D7" s="3">
        <f>IFERROR(__xludf.DUMMYFUNCTION("""COMPUTED_VALUE"""),749.0)</f>
        <v>749</v>
      </c>
      <c r="E7" s="4">
        <f>IFERROR(__xludf.DUMMYFUNCTION("""COMPUTED_VALUE"""),1350.0)</f>
        <v>1350</v>
      </c>
      <c r="F7" s="3">
        <f>IFERROR(__xludf.DUMMYFUNCTION("""COMPUTED_VALUE"""),18.0)</f>
        <v>18</v>
      </c>
      <c r="G7" s="3">
        <f>IFERROR(__xludf.DUMMYFUNCTION("""COMPUTED_VALUE"""),41.6)</f>
        <v>41.6</v>
      </c>
      <c r="H7" s="3">
        <f>IFERROR(__xludf.DUMMYFUNCTION("""COMPUTED_VALUE"""),55.5)</f>
        <v>55.5</v>
      </c>
      <c r="I7" s="3">
        <f>IFERROR(__xludf.DUMMYFUNCTION("""COMPUTED_VALUE"""),132.0)</f>
        <v>132</v>
      </c>
      <c r="J7" s="3">
        <f>IFERROR(__xludf.DUMMYFUNCTION("""COMPUTED_VALUE"""),4.0)</f>
        <v>4</v>
      </c>
      <c r="K7" s="3">
        <f>IFERROR(__xludf.DUMMYFUNCTION("""COMPUTED_VALUE"""),1.0)</f>
        <v>1</v>
      </c>
      <c r="L7" s="3">
        <f>IFERROR(__xludf.DUMMYFUNCTION("""COMPUTED_VALUE"""),79.0)</f>
        <v>79</v>
      </c>
      <c r="M7" s="3">
        <f>IFERROR(__xludf.DUMMYFUNCTION("""COMPUTED_VALUE"""),11.0)</f>
        <v>11</v>
      </c>
      <c r="N7" s="3">
        <f>IFERROR(__xludf.DUMMYFUNCTION("""COMPUTED_VALUE"""),70.0)</f>
        <v>70</v>
      </c>
    </row>
    <row r="8">
      <c r="A8" s="2" t="s">
        <v>0</v>
      </c>
      <c r="B8" s="3">
        <f>IFERROR(__xludf.DUMMYFUNCTION("""COMPUTED_VALUE"""),2011.0)</f>
        <v>2011</v>
      </c>
      <c r="C8" s="3">
        <f>IFERROR(__xludf.DUMMYFUNCTION("""COMPUTED_VALUE"""),21.0)</f>
        <v>21</v>
      </c>
      <c r="D8" s="3">
        <f>IFERROR(__xludf.DUMMYFUNCTION("""COMPUTED_VALUE"""),511.0)</f>
        <v>511</v>
      </c>
      <c r="E8" s="3">
        <f>IFERROR(__xludf.DUMMYFUNCTION("""COMPUTED_VALUE"""),880.0)</f>
        <v>880</v>
      </c>
      <c r="F8" s="3">
        <f>IFERROR(__xludf.DUMMYFUNCTION("""COMPUTED_VALUE"""),19.0)</f>
        <v>19</v>
      </c>
      <c r="G8" s="3">
        <f>IFERROR(__xludf.DUMMYFUNCTION("""COMPUTED_VALUE"""),26.9)</f>
        <v>26.9</v>
      </c>
      <c r="H8" s="3">
        <f>IFERROR(__xludf.DUMMYFUNCTION("""COMPUTED_VALUE"""),58.1)</f>
        <v>58.1</v>
      </c>
      <c r="I8" s="3">
        <f>IFERROR(__xludf.DUMMYFUNCTION("""COMPUTED_VALUE"""),144.0)</f>
        <v>144</v>
      </c>
      <c r="J8" s="3">
        <f>IFERROR(__xludf.DUMMYFUNCTION("""COMPUTED_VALUE"""),3.0)</f>
        <v>3</v>
      </c>
      <c r="K8" s="3">
        <f>IFERROR(__xludf.DUMMYFUNCTION("""COMPUTED_VALUE"""),1.0)</f>
        <v>1</v>
      </c>
      <c r="L8" s="3">
        <f>IFERROR(__xludf.DUMMYFUNCTION("""COMPUTED_VALUE"""),47.0)</f>
        <v>47</v>
      </c>
      <c r="M8" s="3">
        <f>IFERROR(__xludf.DUMMYFUNCTION("""COMPUTED_VALUE"""),10.0)</f>
        <v>10</v>
      </c>
      <c r="N8" s="3">
        <f>IFERROR(__xludf.DUMMYFUNCTION("""COMPUTED_VALUE"""),68.3)</f>
        <v>68.3</v>
      </c>
    </row>
    <row r="9">
      <c r="A9" s="2" t="s">
        <v>0</v>
      </c>
      <c r="B9" s="3">
        <f>IFERROR(__xludf.DUMMYFUNCTION("""COMPUTED_VALUE"""),2012.0)</f>
        <v>2012</v>
      </c>
      <c r="C9" s="3">
        <f>IFERROR(__xludf.DUMMYFUNCTION("""COMPUTED_VALUE"""),13.0)</f>
        <v>13</v>
      </c>
      <c r="D9" s="3">
        <f>IFERROR(__xludf.DUMMYFUNCTION("""COMPUTED_VALUE"""),447.0)</f>
        <v>447</v>
      </c>
      <c r="E9" s="3">
        <f>IFERROR(__xludf.DUMMYFUNCTION("""COMPUTED_VALUE"""),908.0)</f>
        <v>908</v>
      </c>
      <c r="F9" s="3">
        <f>IFERROR(__xludf.DUMMYFUNCTION("""COMPUTED_VALUE"""),11.0)</f>
        <v>11</v>
      </c>
      <c r="G9" s="3">
        <f>IFERROR(__xludf.DUMMYFUNCTION("""COMPUTED_VALUE"""),40.6)</f>
        <v>40.6</v>
      </c>
      <c r="H9" s="3">
        <f>IFERROR(__xludf.DUMMYFUNCTION("""COMPUTED_VALUE"""),49.2)</f>
        <v>49.2</v>
      </c>
      <c r="I9" s="3">
        <f>IFERROR(__xludf.DUMMYFUNCTION("""COMPUTED_VALUE"""),99.0)</f>
        <v>99</v>
      </c>
      <c r="J9" s="3">
        <f>IFERROR(__xludf.DUMMYFUNCTION("""COMPUTED_VALUE"""),5.0)</f>
        <v>5</v>
      </c>
      <c r="K9" s="3">
        <f>IFERROR(__xludf.DUMMYFUNCTION("""COMPUTED_VALUE"""),0.0)</f>
        <v>0</v>
      </c>
      <c r="L9" s="3">
        <f>IFERROR(__xludf.DUMMYFUNCTION("""COMPUTED_VALUE"""),45.0)</f>
        <v>45</v>
      </c>
      <c r="M9" s="3">
        <f>IFERROR(__xludf.DUMMYFUNCTION("""COMPUTED_VALUE"""),8.0)</f>
        <v>8</v>
      </c>
      <c r="N9" s="3">
        <f>IFERROR(__xludf.DUMMYFUNCTION("""COMPUTED_VALUE"""),74.9)</f>
        <v>74.9</v>
      </c>
    </row>
    <row r="10">
      <c r="A10" s="2" t="s">
        <v>0</v>
      </c>
      <c r="B10" s="3">
        <f>IFERROR(__xludf.DUMMYFUNCTION("""COMPUTED_VALUE"""),2013.0)</f>
        <v>2013</v>
      </c>
      <c r="C10" s="3">
        <f>IFERROR(__xludf.DUMMYFUNCTION("""COMPUTED_VALUE"""),12.0)</f>
        <v>12</v>
      </c>
      <c r="D10" s="3">
        <f>IFERROR(__xludf.DUMMYFUNCTION("""COMPUTED_VALUE"""),459.0)</f>
        <v>459</v>
      </c>
      <c r="E10" s="3">
        <f>IFERROR(__xludf.DUMMYFUNCTION("""COMPUTED_VALUE"""),634.0)</f>
        <v>634</v>
      </c>
      <c r="F10" s="3">
        <f>IFERROR(__xludf.DUMMYFUNCTION("""COMPUTED_VALUE"""),10.0)</f>
        <v>10</v>
      </c>
      <c r="G10" s="3">
        <f>IFERROR(__xludf.DUMMYFUNCTION("""COMPUTED_VALUE"""),45.9)</f>
        <v>45.9</v>
      </c>
      <c r="H10" s="3">
        <f>IFERROR(__xludf.DUMMYFUNCTION("""COMPUTED_VALUE"""),72.4)</f>
        <v>72.4</v>
      </c>
      <c r="I10" s="3">
        <f>IFERROR(__xludf.DUMMYFUNCTION("""COMPUTED_VALUE"""),224.0)</f>
        <v>224</v>
      </c>
      <c r="J10" s="3">
        <f>IFERROR(__xludf.DUMMYFUNCTION("""COMPUTED_VALUE"""),0.0)</f>
        <v>0</v>
      </c>
      <c r="K10" s="3">
        <f>IFERROR(__xludf.DUMMYFUNCTION("""COMPUTED_VALUE"""),1.0)</f>
        <v>1</v>
      </c>
      <c r="L10" s="3">
        <f>IFERROR(__xludf.DUMMYFUNCTION("""COMPUTED_VALUE"""),56.0)</f>
        <v>56</v>
      </c>
      <c r="M10" s="3">
        <f>IFERROR(__xludf.DUMMYFUNCTION("""COMPUTED_VALUE"""),6.0)</f>
        <v>6</v>
      </c>
      <c r="N10" s="3">
        <f>IFERROR(__xludf.DUMMYFUNCTION("""COMPUTED_VALUE"""),65.1)</f>
        <v>65.1</v>
      </c>
    </row>
    <row r="11">
      <c r="A11" s="2" t="s">
        <v>0</v>
      </c>
      <c r="B11" s="3">
        <f>IFERROR(__xludf.DUMMYFUNCTION("""COMPUTED_VALUE"""),2014.0)</f>
        <v>2014</v>
      </c>
      <c r="C11" s="3">
        <f>IFERROR(__xludf.DUMMYFUNCTION("""COMPUTED_VALUE"""),17.0)</f>
        <v>17</v>
      </c>
      <c r="D11" s="3">
        <f>IFERROR(__xludf.DUMMYFUNCTION("""COMPUTED_VALUE"""),534.0)</f>
        <v>534</v>
      </c>
      <c r="E11" s="3">
        <f>IFERROR(__xludf.DUMMYFUNCTION("""COMPUTED_VALUE"""),981.0)</f>
        <v>981</v>
      </c>
      <c r="F11" s="3">
        <f>IFERROR(__xludf.DUMMYFUNCTION("""COMPUTED_VALUE"""),16.0)</f>
        <v>16</v>
      </c>
      <c r="G11" s="3">
        <f>IFERROR(__xludf.DUMMYFUNCTION("""COMPUTED_VALUE"""),33.4)</f>
        <v>33.4</v>
      </c>
      <c r="H11" s="3">
        <f>IFERROR(__xludf.DUMMYFUNCTION("""COMPUTED_VALUE"""),54.4)</f>
        <v>54.4</v>
      </c>
      <c r="I11" s="3">
        <f>IFERROR(__xludf.DUMMYFUNCTION("""COMPUTED_VALUE"""),82.0)</f>
        <v>82</v>
      </c>
      <c r="J11" s="3">
        <f>IFERROR(__xludf.DUMMYFUNCTION("""COMPUTED_VALUE"""),5.0)</f>
        <v>5</v>
      </c>
      <c r="K11" s="3">
        <f>IFERROR(__xludf.DUMMYFUNCTION("""COMPUTED_VALUE"""),0.0)</f>
        <v>0</v>
      </c>
      <c r="L11" s="3">
        <f>IFERROR(__xludf.DUMMYFUNCTION("""COMPUTED_VALUE"""),76.0)</f>
        <v>76</v>
      </c>
      <c r="M11" s="3">
        <f>IFERROR(__xludf.DUMMYFUNCTION("""COMPUTED_VALUE"""),3.0)</f>
        <v>3</v>
      </c>
      <c r="N11" s="3">
        <f>IFERROR(__xludf.DUMMYFUNCTION("""COMPUTED_VALUE"""),76.2)</f>
        <v>76.2</v>
      </c>
    </row>
    <row r="12">
      <c r="A12" s="1"/>
      <c r="B12" s="1" t="str">
        <f>IFERROR(__xludf.DUMMYFUNCTION("""COMPUTED_VALUE"""),"Total")</f>
        <v>Total</v>
      </c>
      <c r="C12" s="1">
        <f>IFERROR(__xludf.DUMMYFUNCTION("""COMPUTED_VALUE"""),144.0)</f>
        <v>144</v>
      </c>
      <c r="D12" s="5">
        <f>IFERROR(__xludf.DUMMYFUNCTION("""COMPUTED_VALUE"""),4876.0)</f>
        <v>4876</v>
      </c>
      <c r="E12" s="5">
        <f>IFERROR(__xludf.DUMMYFUNCTION("""COMPUTED_VALUE"""),8249.0)</f>
        <v>8249</v>
      </c>
      <c r="F12" s="1">
        <f>IFERROR(__xludf.DUMMYFUNCTION("""COMPUTED_VALUE"""),128.0)</f>
        <v>128</v>
      </c>
      <c r="G12" s="1">
        <f>IFERROR(__xludf.DUMMYFUNCTION("""COMPUTED_VALUE"""),38.1)</f>
        <v>38.1</v>
      </c>
      <c r="H12" s="1">
        <f>IFERROR(__xludf.DUMMYFUNCTION("""COMPUTED_VALUE"""),59.1)</f>
        <v>59.1</v>
      </c>
      <c r="I12" s="1">
        <f>IFERROR(__xludf.DUMMYFUNCTION("""COMPUTED_VALUE"""),224.0)</f>
        <v>224</v>
      </c>
      <c r="J12" s="1">
        <f>IFERROR(__xludf.DUMMYFUNCTION("""COMPUTED_VALUE"""),33.0)</f>
        <v>33</v>
      </c>
      <c r="K12" s="1">
        <f>IFERROR(__xludf.DUMMYFUNCTION("""COMPUTED_VALUE"""),6.0)</f>
        <v>6</v>
      </c>
      <c r="L12" s="1">
        <f>IFERROR(__xludf.DUMMYFUNCTION("""COMPUTED_VALUE"""),545.0)</f>
        <v>545</v>
      </c>
      <c r="M12" s="1">
        <f>IFERROR(__xludf.DUMMYFUNCTION("""COMPUTED_VALUE"""),78.0)</f>
        <v>78</v>
      </c>
      <c r="N12" s="1">
        <f>IFERROR(__xludf.DUMMYFUNCTION("""COMPUTED_VALUE"""),70.5)</f>
        <v>70.5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</row>
    <row r="14">
      <c r="A14" s="1"/>
    </row>
    <row r="15">
      <c r="A15" s="1"/>
    </row>
    <row r="16">
      <c r="A16" s="1"/>
    </row>
    <row r="17">
      <c r="A17" s="1"/>
    </row>
    <row r="18">
      <c r="A18" s="1"/>
    </row>
    <row r="19">
      <c r="A19" s="1"/>
      <c r="B19" s="6" t="str">
        <f>IFERROR(__xludf.DUMMYFUNCTION("IMPORTHTML(""http://www.cricmetric.com/playerstats.py?player=MS%20Dhoni"",""table"",3)"),"Year")</f>
        <v>Year</v>
      </c>
      <c r="C19" s="1" t="str">
        <f>IFERROR(__xludf.DUMMYFUNCTION("""COMPUTED_VALUE"""),"Innings")</f>
        <v>Innings</v>
      </c>
      <c r="D19" s="1" t="str">
        <f>IFERROR(__xludf.DUMMYFUNCTION("""COMPUTED_VALUE"""),"Runs")</f>
        <v>Runs</v>
      </c>
      <c r="E19" s="1" t="str">
        <f>IFERROR(__xludf.DUMMYFUNCTION("""COMPUTED_VALUE"""),"Balls")</f>
        <v>Balls</v>
      </c>
      <c r="F19" s="1" t="str">
        <f>IFERROR(__xludf.DUMMYFUNCTION("""COMPUTED_VALUE"""),"Outs")</f>
        <v>Outs</v>
      </c>
      <c r="G19" s="1" t="str">
        <f>IFERROR(__xludf.DUMMYFUNCTION("""COMPUTED_VALUE"""),"Avg")</f>
        <v>Avg</v>
      </c>
      <c r="H19" s="1" t="str">
        <f>IFERROR(__xludf.DUMMYFUNCTION("""COMPUTED_VALUE"""),"SR")</f>
        <v>SR</v>
      </c>
      <c r="I19" s="1" t="str">
        <f>IFERROR(__xludf.DUMMYFUNCTION("""COMPUTED_VALUE"""),"HS")</f>
        <v>HS</v>
      </c>
      <c r="J19" s="1">
        <f>IFERROR(__xludf.DUMMYFUNCTION("""COMPUTED_VALUE"""),50.0)</f>
        <v>50</v>
      </c>
      <c r="K19" s="1">
        <f>IFERROR(__xludf.DUMMYFUNCTION("""COMPUTED_VALUE"""),100.0)</f>
        <v>100</v>
      </c>
      <c r="L19" s="1" t="str">
        <f>IFERROR(__xludf.DUMMYFUNCTION("""COMPUTED_VALUE"""),"4s")</f>
        <v>4s</v>
      </c>
      <c r="M19" s="1" t="str">
        <f>IFERROR(__xludf.DUMMYFUNCTION("""COMPUTED_VALUE"""),"6s")</f>
        <v>6s</v>
      </c>
      <c r="N19" s="1" t="str">
        <f>IFERROR(__xludf.DUMMYFUNCTION("""COMPUTED_VALUE"""),"Dot %")</f>
        <v>Dot %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2" t="s">
        <v>1</v>
      </c>
      <c r="B20" s="3">
        <f>IFERROR(__xludf.DUMMYFUNCTION("""COMPUTED_VALUE"""),2004.0)</f>
        <v>2004</v>
      </c>
      <c r="C20" s="3">
        <f>IFERROR(__xludf.DUMMYFUNCTION("""COMPUTED_VALUE"""),3.0)</f>
        <v>3</v>
      </c>
      <c r="D20" s="3">
        <f>IFERROR(__xludf.DUMMYFUNCTION("""COMPUTED_VALUE"""),19.0)</f>
        <v>19</v>
      </c>
      <c r="E20" s="3">
        <f>IFERROR(__xludf.DUMMYFUNCTION("""COMPUTED_VALUE"""),14.0)</f>
        <v>14</v>
      </c>
      <c r="F20" s="3">
        <f>IFERROR(__xludf.DUMMYFUNCTION("""COMPUTED_VALUE"""),2.0)</f>
        <v>2</v>
      </c>
      <c r="G20" s="3">
        <f>IFERROR(__xludf.DUMMYFUNCTION("""COMPUTED_VALUE"""),9.5)</f>
        <v>9.5</v>
      </c>
      <c r="H20" s="3">
        <f>IFERROR(__xludf.DUMMYFUNCTION("""COMPUTED_VALUE"""),135.7)</f>
        <v>135.7</v>
      </c>
      <c r="I20" s="3">
        <f>IFERROR(__xludf.DUMMYFUNCTION("""COMPUTED_VALUE"""),12.0)</f>
        <v>12</v>
      </c>
      <c r="J20" s="3">
        <f>IFERROR(__xludf.DUMMYFUNCTION("""COMPUTED_VALUE"""),0.0)</f>
        <v>0</v>
      </c>
      <c r="K20" s="3">
        <f>IFERROR(__xludf.DUMMYFUNCTION("""COMPUTED_VALUE"""),0.0)</f>
        <v>0</v>
      </c>
      <c r="L20" s="3">
        <f>IFERROR(__xludf.DUMMYFUNCTION("""COMPUTED_VALUE"""),2.0)</f>
        <v>2</v>
      </c>
      <c r="M20" s="3">
        <f>IFERROR(__xludf.DUMMYFUNCTION("""COMPUTED_VALUE"""),1.0)</f>
        <v>1</v>
      </c>
      <c r="N20" s="3">
        <f>IFERROR(__xludf.DUMMYFUNCTION("""COMPUTED_VALUE"""),42.9)</f>
        <v>42.9</v>
      </c>
    </row>
    <row r="21">
      <c r="A21" s="2" t="s">
        <v>1</v>
      </c>
      <c r="B21" s="3">
        <f>IFERROR(__xludf.DUMMYFUNCTION("""COMPUTED_VALUE"""),2005.0)</f>
        <v>2005</v>
      </c>
      <c r="C21" s="3">
        <f>IFERROR(__xludf.DUMMYFUNCTION("""COMPUTED_VALUE"""),24.0)</f>
        <v>24</v>
      </c>
      <c r="D21" s="3">
        <f>IFERROR(__xludf.DUMMYFUNCTION("""COMPUTED_VALUE"""),895.0)</f>
        <v>895</v>
      </c>
      <c r="E21" s="3">
        <f>IFERROR(__xludf.DUMMYFUNCTION("""COMPUTED_VALUE"""),870.0)</f>
        <v>870</v>
      </c>
      <c r="F21" s="3">
        <f>IFERROR(__xludf.DUMMYFUNCTION("""COMPUTED_VALUE"""),18.0)</f>
        <v>18</v>
      </c>
      <c r="G21" s="3">
        <f>IFERROR(__xludf.DUMMYFUNCTION("""COMPUTED_VALUE"""),49.7)</f>
        <v>49.7</v>
      </c>
      <c r="H21" s="3">
        <f>IFERROR(__xludf.DUMMYFUNCTION("""COMPUTED_VALUE"""),102.9)</f>
        <v>102.9</v>
      </c>
      <c r="I21" s="3">
        <f>IFERROR(__xludf.DUMMYFUNCTION("""COMPUTED_VALUE"""),183.0)</f>
        <v>183</v>
      </c>
      <c r="J21" s="3">
        <f>IFERROR(__xludf.DUMMYFUNCTION("""COMPUTED_VALUE"""),3.0)</f>
        <v>3</v>
      </c>
      <c r="K21" s="3">
        <f>IFERROR(__xludf.DUMMYFUNCTION("""COMPUTED_VALUE"""),2.0)</f>
        <v>2</v>
      </c>
      <c r="L21" s="3">
        <f>IFERROR(__xludf.DUMMYFUNCTION("""COMPUTED_VALUE"""),67.0)</f>
        <v>67</v>
      </c>
      <c r="M21" s="3">
        <f>IFERROR(__xludf.DUMMYFUNCTION("""COMPUTED_VALUE"""),34.0)</f>
        <v>34</v>
      </c>
      <c r="N21" s="3">
        <f>IFERROR(__xludf.DUMMYFUNCTION("""COMPUTED_VALUE"""),47.9)</f>
        <v>47.9</v>
      </c>
    </row>
    <row r="22">
      <c r="A22" s="2" t="s">
        <v>1</v>
      </c>
      <c r="B22" s="3">
        <f>IFERROR(__xludf.DUMMYFUNCTION("""COMPUTED_VALUE"""),2006.0)</f>
        <v>2006</v>
      </c>
      <c r="C22" s="3">
        <f>IFERROR(__xludf.DUMMYFUNCTION("""COMPUTED_VALUE"""),26.0)</f>
        <v>26</v>
      </c>
      <c r="D22" s="3">
        <f>IFERROR(__xludf.DUMMYFUNCTION("""COMPUTED_VALUE"""),821.0)</f>
        <v>821</v>
      </c>
      <c r="E22" s="3">
        <f>IFERROR(__xludf.DUMMYFUNCTION("""COMPUTED_VALUE"""),883.0)</f>
        <v>883</v>
      </c>
      <c r="F22" s="3">
        <f>IFERROR(__xludf.DUMMYFUNCTION("""COMPUTED_VALUE"""),20.0)</f>
        <v>20</v>
      </c>
      <c r="G22" s="3">
        <f>IFERROR(__xludf.DUMMYFUNCTION("""COMPUTED_VALUE"""),41.0)</f>
        <v>41</v>
      </c>
      <c r="H22" s="3">
        <f>IFERROR(__xludf.DUMMYFUNCTION("""COMPUTED_VALUE"""),93.0)</f>
        <v>93</v>
      </c>
      <c r="I22" s="3">
        <f>IFERROR(__xludf.DUMMYFUNCTION("""COMPUTED_VALUE"""),96.0)</f>
        <v>96</v>
      </c>
      <c r="J22" s="3">
        <f>IFERROR(__xludf.DUMMYFUNCTION("""COMPUTED_VALUE"""),7.0)</f>
        <v>7</v>
      </c>
      <c r="K22" s="3">
        <f>IFERROR(__xludf.DUMMYFUNCTION("""COMPUTED_VALUE"""),0.0)</f>
        <v>0</v>
      </c>
      <c r="L22" s="3">
        <f>IFERROR(__xludf.DUMMYFUNCTION("""COMPUTED_VALUE"""),81.0)</f>
        <v>81</v>
      </c>
      <c r="M22" s="3">
        <f>IFERROR(__xludf.DUMMYFUNCTION("""COMPUTED_VALUE"""),20.0)</f>
        <v>20</v>
      </c>
      <c r="N22" s="3">
        <f>IFERROR(__xludf.DUMMYFUNCTION("""COMPUTED_VALUE"""),51.3)</f>
        <v>51.3</v>
      </c>
    </row>
    <row r="23">
      <c r="A23" s="2" t="s">
        <v>1</v>
      </c>
      <c r="B23" s="3">
        <f>IFERROR(__xludf.DUMMYFUNCTION("""COMPUTED_VALUE"""),2007.0)</f>
        <v>2007</v>
      </c>
      <c r="C23" s="3">
        <f>IFERROR(__xludf.DUMMYFUNCTION("""COMPUTED_VALUE"""),33.0)</f>
        <v>33</v>
      </c>
      <c r="D23" s="4">
        <f>IFERROR(__xludf.DUMMYFUNCTION("""COMPUTED_VALUE"""),1103.0)</f>
        <v>1103</v>
      </c>
      <c r="E23" s="4">
        <f>IFERROR(__xludf.DUMMYFUNCTION("""COMPUTED_VALUE"""),1231.0)</f>
        <v>1231</v>
      </c>
      <c r="F23" s="3">
        <f>IFERROR(__xludf.DUMMYFUNCTION("""COMPUTED_VALUE"""),25.0)</f>
        <v>25</v>
      </c>
      <c r="G23" s="3">
        <f>IFERROR(__xludf.DUMMYFUNCTION("""COMPUTED_VALUE"""),44.1)</f>
        <v>44.1</v>
      </c>
      <c r="H23" s="3">
        <f>IFERROR(__xludf.DUMMYFUNCTION("""COMPUTED_VALUE"""),89.6)</f>
        <v>89.6</v>
      </c>
      <c r="I23" s="3">
        <f>IFERROR(__xludf.DUMMYFUNCTION("""COMPUTED_VALUE"""),139.0)</f>
        <v>139</v>
      </c>
      <c r="J23" s="3">
        <f>IFERROR(__xludf.DUMMYFUNCTION("""COMPUTED_VALUE"""),7.0)</f>
        <v>7</v>
      </c>
      <c r="K23" s="3">
        <f>IFERROR(__xludf.DUMMYFUNCTION("""COMPUTED_VALUE"""),1.0)</f>
        <v>1</v>
      </c>
      <c r="L23" s="3">
        <f>IFERROR(__xludf.DUMMYFUNCTION("""COMPUTED_VALUE"""),87.0)</f>
        <v>87</v>
      </c>
      <c r="M23" s="3">
        <f>IFERROR(__xludf.DUMMYFUNCTION("""COMPUTED_VALUE"""),23.0)</f>
        <v>23</v>
      </c>
      <c r="N23" s="3">
        <f>IFERROR(__xludf.DUMMYFUNCTION("""COMPUTED_VALUE"""),45.8)</f>
        <v>45.8</v>
      </c>
    </row>
    <row r="24">
      <c r="A24" s="2" t="s">
        <v>1</v>
      </c>
      <c r="B24" s="3">
        <f>IFERROR(__xludf.DUMMYFUNCTION("""COMPUTED_VALUE"""),2008.0)</f>
        <v>2008</v>
      </c>
      <c r="C24" s="3">
        <f>IFERROR(__xludf.DUMMYFUNCTION("""COMPUTED_VALUE"""),26.0)</f>
        <v>26</v>
      </c>
      <c r="D24" s="4">
        <f>IFERROR(__xludf.DUMMYFUNCTION("""COMPUTED_VALUE"""),1097.0)</f>
        <v>1097</v>
      </c>
      <c r="E24" s="4">
        <f>IFERROR(__xludf.DUMMYFUNCTION("""COMPUTED_VALUE"""),1333.0)</f>
        <v>1333</v>
      </c>
      <c r="F24" s="3">
        <f>IFERROR(__xludf.DUMMYFUNCTION("""COMPUTED_VALUE"""),19.0)</f>
        <v>19</v>
      </c>
      <c r="G24" s="3">
        <f>IFERROR(__xludf.DUMMYFUNCTION("""COMPUTED_VALUE"""),57.7)</f>
        <v>57.7</v>
      </c>
      <c r="H24" s="3">
        <f>IFERROR(__xludf.DUMMYFUNCTION("""COMPUTED_VALUE"""),82.3)</f>
        <v>82.3</v>
      </c>
      <c r="I24" s="3">
        <f>IFERROR(__xludf.DUMMYFUNCTION("""COMPUTED_VALUE"""),109.0)</f>
        <v>109</v>
      </c>
      <c r="J24" s="3">
        <f>IFERROR(__xludf.DUMMYFUNCTION("""COMPUTED_VALUE"""),8.0)</f>
        <v>8</v>
      </c>
      <c r="K24" s="3">
        <f>IFERROR(__xludf.DUMMYFUNCTION("""COMPUTED_VALUE"""),1.0)</f>
        <v>1</v>
      </c>
      <c r="L24" s="3">
        <f>IFERROR(__xludf.DUMMYFUNCTION("""COMPUTED_VALUE"""),74.0)</f>
        <v>74</v>
      </c>
      <c r="M24" s="3">
        <f>IFERROR(__xludf.DUMMYFUNCTION("""COMPUTED_VALUE"""),14.0)</f>
        <v>14</v>
      </c>
      <c r="N24" s="3">
        <f>IFERROR(__xludf.DUMMYFUNCTION("""COMPUTED_VALUE"""),49.4)</f>
        <v>49.4</v>
      </c>
    </row>
    <row r="25">
      <c r="A25" s="2" t="s">
        <v>1</v>
      </c>
      <c r="B25" s="3">
        <f>IFERROR(__xludf.DUMMYFUNCTION("""COMPUTED_VALUE"""),2009.0)</f>
        <v>2009</v>
      </c>
      <c r="C25" s="3">
        <f>IFERROR(__xludf.DUMMYFUNCTION("""COMPUTED_VALUE"""),24.0)</f>
        <v>24</v>
      </c>
      <c r="D25" s="4">
        <f>IFERROR(__xludf.DUMMYFUNCTION("""COMPUTED_VALUE"""),1198.0)</f>
        <v>1198</v>
      </c>
      <c r="E25" s="4">
        <f>IFERROR(__xludf.DUMMYFUNCTION("""COMPUTED_VALUE"""),1400.0)</f>
        <v>1400</v>
      </c>
      <c r="F25" s="3">
        <f>IFERROR(__xludf.DUMMYFUNCTION("""COMPUTED_VALUE"""),17.0)</f>
        <v>17</v>
      </c>
      <c r="G25" s="3">
        <f>IFERROR(__xludf.DUMMYFUNCTION("""COMPUTED_VALUE"""),70.5)</f>
        <v>70.5</v>
      </c>
      <c r="H25" s="3">
        <f>IFERROR(__xludf.DUMMYFUNCTION("""COMPUTED_VALUE"""),85.6)</f>
        <v>85.6</v>
      </c>
      <c r="I25" s="3">
        <f>IFERROR(__xludf.DUMMYFUNCTION("""COMPUTED_VALUE"""),124.0)</f>
        <v>124</v>
      </c>
      <c r="J25" s="3">
        <f>IFERROR(__xludf.DUMMYFUNCTION("""COMPUTED_VALUE"""),9.0)</f>
        <v>9</v>
      </c>
      <c r="K25" s="3">
        <f>IFERROR(__xludf.DUMMYFUNCTION("""COMPUTED_VALUE"""),2.0)</f>
        <v>2</v>
      </c>
      <c r="L25" s="3">
        <f>IFERROR(__xludf.DUMMYFUNCTION("""COMPUTED_VALUE"""),79.0)</f>
        <v>79</v>
      </c>
      <c r="M25" s="3">
        <f>IFERROR(__xludf.DUMMYFUNCTION("""COMPUTED_VALUE"""),18.0)</f>
        <v>18</v>
      </c>
      <c r="N25" s="3">
        <f>IFERROR(__xludf.DUMMYFUNCTION("""COMPUTED_VALUE"""),45.6)</f>
        <v>45.6</v>
      </c>
    </row>
    <row r="26">
      <c r="A26" s="2" t="s">
        <v>1</v>
      </c>
      <c r="B26" s="3">
        <f>IFERROR(__xludf.DUMMYFUNCTION("""COMPUTED_VALUE"""),2010.0)</f>
        <v>2010</v>
      </c>
      <c r="C26" s="3">
        <f>IFERROR(__xludf.DUMMYFUNCTION("""COMPUTED_VALUE"""),17.0)</f>
        <v>17</v>
      </c>
      <c r="D26" s="3">
        <f>IFERROR(__xludf.DUMMYFUNCTION("""COMPUTED_VALUE"""),600.0)</f>
        <v>600</v>
      </c>
      <c r="E26" s="3">
        <f>IFERROR(__xludf.DUMMYFUNCTION("""COMPUTED_VALUE"""),760.0)</f>
        <v>760</v>
      </c>
      <c r="F26" s="3">
        <f>IFERROR(__xludf.DUMMYFUNCTION("""COMPUTED_VALUE"""),13.0)</f>
        <v>13</v>
      </c>
      <c r="G26" s="3">
        <f>IFERROR(__xludf.DUMMYFUNCTION("""COMPUTED_VALUE"""),46.2)</f>
        <v>46.2</v>
      </c>
      <c r="H26" s="3">
        <f>IFERROR(__xludf.DUMMYFUNCTION("""COMPUTED_VALUE"""),78.9)</f>
        <v>78.9</v>
      </c>
      <c r="I26" s="3">
        <f>IFERROR(__xludf.DUMMYFUNCTION("""COMPUTED_VALUE"""),101.0)</f>
        <v>101</v>
      </c>
      <c r="J26" s="3">
        <f>IFERROR(__xludf.DUMMYFUNCTION("""COMPUTED_VALUE"""),3.0)</f>
        <v>3</v>
      </c>
      <c r="K26" s="3">
        <f>IFERROR(__xludf.DUMMYFUNCTION("""COMPUTED_VALUE"""),1.0)</f>
        <v>1</v>
      </c>
      <c r="L26" s="3">
        <f>IFERROR(__xludf.DUMMYFUNCTION("""COMPUTED_VALUE"""),52.0)</f>
        <v>52</v>
      </c>
      <c r="M26" s="3">
        <f>IFERROR(__xludf.DUMMYFUNCTION("""COMPUTED_VALUE"""),9.0)</f>
        <v>9</v>
      </c>
      <c r="N26" s="3">
        <f>IFERROR(__xludf.DUMMYFUNCTION("""COMPUTED_VALUE"""),52.1)</f>
        <v>52.1</v>
      </c>
    </row>
    <row r="27">
      <c r="A27" s="2" t="s">
        <v>1</v>
      </c>
      <c r="B27" s="3">
        <f>IFERROR(__xludf.DUMMYFUNCTION("""COMPUTED_VALUE"""),2011.0)</f>
        <v>2011</v>
      </c>
      <c r="C27" s="3">
        <f>IFERROR(__xludf.DUMMYFUNCTION("""COMPUTED_VALUE"""),22.0)</f>
        <v>22</v>
      </c>
      <c r="D27" s="3">
        <f>IFERROR(__xludf.DUMMYFUNCTION("""COMPUTED_VALUE"""),764.0)</f>
        <v>764</v>
      </c>
      <c r="E27" s="3">
        <f>IFERROR(__xludf.DUMMYFUNCTION("""COMPUTED_VALUE"""),850.0)</f>
        <v>850</v>
      </c>
      <c r="F27" s="3">
        <f>IFERROR(__xludf.DUMMYFUNCTION("""COMPUTED_VALUE"""),13.0)</f>
        <v>13</v>
      </c>
      <c r="G27" s="3">
        <f>IFERROR(__xludf.DUMMYFUNCTION("""COMPUTED_VALUE"""),58.8)</f>
        <v>58.8</v>
      </c>
      <c r="H27" s="3">
        <f>IFERROR(__xludf.DUMMYFUNCTION("""COMPUTED_VALUE"""),89.9)</f>
        <v>89.9</v>
      </c>
      <c r="I27" s="3">
        <f>IFERROR(__xludf.DUMMYFUNCTION("""COMPUTED_VALUE"""),91.0)</f>
        <v>91</v>
      </c>
      <c r="J27" s="3">
        <f>IFERROR(__xludf.DUMMYFUNCTION("""COMPUTED_VALUE"""),6.0)</f>
        <v>6</v>
      </c>
      <c r="K27" s="3">
        <f>IFERROR(__xludf.DUMMYFUNCTION("""COMPUTED_VALUE"""),0.0)</f>
        <v>0</v>
      </c>
      <c r="L27" s="3">
        <f>IFERROR(__xludf.DUMMYFUNCTION("""COMPUTED_VALUE"""),59.0)</f>
        <v>59</v>
      </c>
      <c r="M27" s="3">
        <f>IFERROR(__xludf.DUMMYFUNCTION("""COMPUTED_VALUE"""),14.0)</f>
        <v>14</v>
      </c>
      <c r="N27" s="3">
        <f>IFERROR(__xludf.DUMMYFUNCTION("""COMPUTED_VALUE"""),46.8)</f>
        <v>46.8</v>
      </c>
    </row>
    <row r="28">
      <c r="A28" s="2" t="s">
        <v>1</v>
      </c>
      <c r="B28" s="3">
        <f>IFERROR(__xludf.DUMMYFUNCTION("""COMPUTED_VALUE"""),2012.0)</f>
        <v>2012</v>
      </c>
      <c r="C28" s="3">
        <f>IFERROR(__xludf.DUMMYFUNCTION("""COMPUTED_VALUE"""),14.0)</f>
        <v>14</v>
      </c>
      <c r="D28" s="3">
        <f>IFERROR(__xludf.DUMMYFUNCTION("""COMPUTED_VALUE"""),524.0)</f>
        <v>524</v>
      </c>
      <c r="E28" s="3">
        <f>IFERROR(__xludf.DUMMYFUNCTION("""COMPUTED_VALUE"""),598.0)</f>
        <v>598</v>
      </c>
      <c r="F28" s="3">
        <f>IFERROR(__xludf.DUMMYFUNCTION("""COMPUTED_VALUE"""),8.0)</f>
        <v>8</v>
      </c>
      <c r="G28" s="3">
        <f>IFERROR(__xludf.DUMMYFUNCTION("""COMPUTED_VALUE"""),65.5)</f>
        <v>65.5</v>
      </c>
      <c r="H28" s="3">
        <f>IFERROR(__xludf.DUMMYFUNCTION("""COMPUTED_VALUE"""),87.6)</f>
        <v>87.6</v>
      </c>
      <c r="I28" s="3">
        <f>IFERROR(__xludf.DUMMYFUNCTION("""COMPUTED_VALUE"""),113.0)</f>
        <v>113</v>
      </c>
      <c r="J28" s="3">
        <f>IFERROR(__xludf.DUMMYFUNCTION("""COMPUTED_VALUE"""),3.0)</f>
        <v>3</v>
      </c>
      <c r="K28" s="3">
        <f>IFERROR(__xludf.DUMMYFUNCTION("""COMPUTED_VALUE"""),1.0)</f>
        <v>1</v>
      </c>
      <c r="L28" s="3">
        <f>IFERROR(__xludf.DUMMYFUNCTION("""COMPUTED_VALUE"""),37.0)</f>
        <v>37</v>
      </c>
      <c r="M28" s="3">
        <f>IFERROR(__xludf.DUMMYFUNCTION("""COMPUTED_VALUE"""),9.0)</f>
        <v>9</v>
      </c>
      <c r="N28" s="3">
        <f>IFERROR(__xludf.DUMMYFUNCTION("""COMPUTED_VALUE"""),48.0)</f>
        <v>48</v>
      </c>
    </row>
    <row r="29">
      <c r="A29" s="2" t="s">
        <v>1</v>
      </c>
      <c r="B29" s="3">
        <f>IFERROR(__xludf.DUMMYFUNCTION("""COMPUTED_VALUE"""),2013.0)</f>
        <v>2013</v>
      </c>
      <c r="C29" s="3">
        <f>IFERROR(__xludf.DUMMYFUNCTION("""COMPUTED_VALUE"""),20.0)</f>
        <v>20</v>
      </c>
      <c r="D29" s="3">
        <f>IFERROR(__xludf.DUMMYFUNCTION("""COMPUTED_VALUE"""),753.0)</f>
        <v>753</v>
      </c>
      <c r="E29" s="3">
        <f>IFERROR(__xludf.DUMMYFUNCTION("""COMPUTED_VALUE"""),784.0)</f>
        <v>784</v>
      </c>
      <c r="F29" s="3">
        <f>IFERROR(__xludf.DUMMYFUNCTION("""COMPUTED_VALUE"""),12.0)</f>
        <v>12</v>
      </c>
      <c r="G29" s="3">
        <f>IFERROR(__xludf.DUMMYFUNCTION("""COMPUTED_VALUE"""),62.8)</f>
        <v>62.8</v>
      </c>
      <c r="H29" s="3">
        <f>IFERROR(__xludf.DUMMYFUNCTION("""COMPUTED_VALUE"""),96.0)</f>
        <v>96</v>
      </c>
      <c r="I29" s="3">
        <f>IFERROR(__xludf.DUMMYFUNCTION("""COMPUTED_VALUE"""),139.0)</f>
        <v>139</v>
      </c>
      <c r="J29" s="3">
        <f>IFERROR(__xludf.DUMMYFUNCTION("""COMPUTED_VALUE"""),5.0)</f>
        <v>5</v>
      </c>
      <c r="K29" s="3">
        <f>IFERROR(__xludf.DUMMYFUNCTION("""COMPUTED_VALUE"""),1.0)</f>
        <v>1</v>
      </c>
      <c r="L29" s="3">
        <f>IFERROR(__xludf.DUMMYFUNCTION("""COMPUTED_VALUE"""),67.0)</f>
        <v>67</v>
      </c>
      <c r="M29" s="3">
        <f>IFERROR(__xludf.DUMMYFUNCTION("""COMPUTED_VALUE"""),24.0)</f>
        <v>24</v>
      </c>
      <c r="N29" s="3">
        <f>IFERROR(__xludf.DUMMYFUNCTION("""COMPUTED_VALUE"""),50.0)</f>
        <v>50</v>
      </c>
    </row>
    <row r="30">
      <c r="A30" s="2" t="s">
        <v>1</v>
      </c>
      <c r="B30" s="3">
        <f>IFERROR(__xludf.DUMMYFUNCTION("""COMPUTED_VALUE"""),2014.0)</f>
        <v>2014</v>
      </c>
      <c r="C30" s="3">
        <f>IFERROR(__xludf.DUMMYFUNCTION("""COMPUTED_VALUE"""),10.0)</f>
        <v>10</v>
      </c>
      <c r="D30" s="3">
        <f>IFERROR(__xludf.DUMMYFUNCTION("""COMPUTED_VALUE"""),418.0)</f>
        <v>418</v>
      </c>
      <c r="E30" s="3">
        <f>IFERROR(__xludf.DUMMYFUNCTION("""COMPUTED_VALUE"""),454.0)</f>
        <v>454</v>
      </c>
      <c r="F30" s="3">
        <f>IFERROR(__xludf.DUMMYFUNCTION("""COMPUTED_VALUE"""),8.0)</f>
        <v>8</v>
      </c>
      <c r="G30" s="3">
        <f>IFERROR(__xludf.DUMMYFUNCTION("""COMPUTED_VALUE"""),52.2)</f>
        <v>52.2</v>
      </c>
      <c r="H30" s="3">
        <f>IFERROR(__xludf.DUMMYFUNCTION("""COMPUTED_VALUE"""),92.1)</f>
        <v>92.1</v>
      </c>
      <c r="I30" s="3">
        <f>IFERROR(__xludf.DUMMYFUNCTION("""COMPUTED_VALUE"""),79.0)</f>
        <v>79</v>
      </c>
      <c r="J30" s="3">
        <f>IFERROR(__xludf.DUMMYFUNCTION("""COMPUTED_VALUE"""),5.0)</f>
        <v>5</v>
      </c>
      <c r="K30" s="3">
        <f>IFERROR(__xludf.DUMMYFUNCTION("""COMPUTED_VALUE"""),0.0)</f>
        <v>0</v>
      </c>
      <c r="L30" s="3">
        <f>IFERROR(__xludf.DUMMYFUNCTION("""COMPUTED_VALUE"""),32.0)</f>
        <v>32</v>
      </c>
      <c r="M30" s="3">
        <f>IFERROR(__xludf.DUMMYFUNCTION("""COMPUTED_VALUE"""),11.0)</f>
        <v>11</v>
      </c>
      <c r="N30" s="3">
        <f>IFERROR(__xludf.DUMMYFUNCTION("""COMPUTED_VALUE"""),47.1)</f>
        <v>47.1</v>
      </c>
    </row>
    <row r="31">
      <c r="A31" s="2" t="s">
        <v>1</v>
      </c>
      <c r="B31" s="3">
        <f>IFERROR(__xludf.DUMMYFUNCTION("""COMPUTED_VALUE"""),2015.0)</f>
        <v>2015</v>
      </c>
      <c r="C31" s="3">
        <f>IFERROR(__xludf.DUMMYFUNCTION("""COMPUTED_VALUE"""),17.0)</f>
        <v>17</v>
      </c>
      <c r="D31" s="3">
        <f>IFERROR(__xludf.DUMMYFUNCTION("""COMPUTED_VALUE"""),640.0)</f>
        <v>640</v>
      </c>
      <c r="E31" s="3">
        <f>IFERROR(__xludf.DUMMYFUNCTION("""COMPUTED_VALUE"""),737.0)</f>
        <v>737</v>
      </c>
      <c r="F31" s="3">
        <f>IFERROR(__xludf.DUMMYFUNCTION("""COMPUTED_VALUE"""),14.0)</f>
        <v>14</v>
      </c>
      <c r="G31" s="3">
        <f>IFERROR(__xludf.DUMMYFUNCTION("""COMPUTED_VALUE"""),45.7)</f>
        <v>45.7</v>
      </c>
      <c r="H31" s="3">
        <f>IFERROR(__xludf.DUMMYFUNCTION("""COMPUTED_VALUE"""),86.8)</f>
        <v>86.8</v>
      </c>
      <c r="I31" s="3">
        <f>IFERROR(__xludf.DUMMYFUNCTION("""COMPUTED_VALUE"""),92.0)</f>
        <v>92</v>
      </c>
      <c r="J31" s="3">
        <f>IFERROR(__xludf.DUMMYFUNCTION("""COMPUTED_VALUE"""),4.0)</f>
        <v>4</v>
      </c>
      <c r="K31" s="3">
        <f>IFERROR(__xludf.DUMMYFUNCTION("""COMPUTED_VALUE"""),0.0)</f>
        <v>0</v>
      </c>
      <c r="L31" s="3">
        <f>IFERROR(__xludf.DUMMYFUNCTION("""COMPUTED_VALUE"""),50.0)</f>
        <v>50</v>
      </c>
      <c r="M31" s="3">
        <f>IFERROR(__xludf.DUMMYFUNCTION("""COMPUTED_VALUE"""),11.0)</f>
        <v>11</v>
      </c>
      <c r="N31" s="3">
        <f>IFERROR(__xludf.DUMMYFUNCTION("""COMPUTED_VALUE"""),47.6)</f>
        <v>47.6</v>
      </c>
    </row>
    <row r="32">
      <c r="A32" s="2" t="s">
        <v>1</v>
      </c>
      <c r="B32" s="3">
        <f>IFERROR(__xludf.DUMMYFUNCTION("""COMPUTED_VALUE"""),2016.0)</f>
        <v>2016</v>
      </c>
      <c r="C32" s="3">
        <f>IFERROR(__xludf.DUMMYFUNCTION("""COMPUTED_VALUE"""),10.0)</f>
        <v>10</v>
      </c>
      <c r="D32" s="3">
        <f>IFERROR(__xludf.DUMMYFUNCTION("""COMPUTED_VALUE"""),278.0)</f>
        <v>278</v>
      </c>
      <c r="E32" s="3">
        <f>IFERROR(__xludf.DUMMYFUNCTION("""COMPUTED_VALUE"""),347.0)</f>
        <v>347</v>
      </c>
      <c r="F32" s="3">
        <f>IFERROR(__xludf.DUMMYFUNCTION("""COMPUTED_VALUE"""),10.0)</f>
        <v>10</v>
      </c>
      <c r="G32" s="3">
        <f>IFERROR(__xludf.DUMMYFUNCTION("""COMPUTED_VALUE"""),27.8)</f>
        <v>27.8</v>
      </c>
      <c r="H32" s="3">
        <f>IFERROR(__xludf.DUMMYFUNCTION("""COMPUTED_VALUE"""),80.1)</f>
        <v>80.1</v>
      </c>
      <c r="I32" s="3">
        <f>IFERROR(__xludf.DUMMYFUNCTION("""COMPUTED_VALUE"""),80.0)</f>
        <v>80</v>
      </c>
      <c r="J32" s="3">
        <f>IFERROR(__xludf.DUMMYFUNCTION("""COMPUTED_VALUE"""),1.0)</f>
        <v>1</v>
      </c>
      <c r="K32" s="3">
        <f>IFERROR(__xludf.DUMMYFUNCTION("""COMPUTED_VALUE"""),0.0)</f>
        <v>0</v>
      </c>
      <c r="L32" s="3">
        <f>IFERROR(__xludf.DUMMYFUNCTION("""COMPUTED_VALUE"""),18.0)</f>
        <v>18</v>
      </c>
      <c r="M32" s="3">
        <f>IFERROR(__xludf.DUMMYFUNCTION("""COMPUTED_VALUE"""),9.0)</f>
        <v>9</v>
      </c>
      <c r="N32" s="3">
        <f>IFERROR(__xludf.DUMMYFUNCTION("""COMPUTED_VALUE"""),53.6)</f>
        <v>53.6</v>
      </c>
    </row>
    <row r="33">
      <c r="A33" s="2" t="s">
        <v>1</v>
      </c>
      <c r="B33" s="3">
        <f>IFERROR(__xludf.DUMMYFUNCTION("""COMPUTED_VALUE"""),2017.0)</f>
        <v>2017</v>
      </c>
      <c r="C33" s="3">
        <f>IFERROR(__xludf.DUMMYFUNCTION("""COMPUTED_VALUE"""),22.0)</f>
        <v>22</v>
      </c>
      <c r="D33" s="3">
        <f>IFERROR(__xludf.DUMMYFUNCTION("""COMPUTED_VALUE"""),788.0)</f>
        <v>788</v>
      </c>
      <c r="E33" s="3">
        <f>IFERROR(__xludf.DUMMYFUNCTION("""COMPUTED_VALUE"""),930.0)</f>
        <v>930</v>
      </c>
      <c r="F33" s="3">
        <f>IFERROR(__xludf.DUMMYFUNCTION("""COMPUTED_VALUE"""),13.0)</f>
        <v>13</v>
      </c>
      <c r="G33" s="3">
        <f>IFERROR(__xludf.DUMMYFUNCTION("""COMPUTED_VALUE"""),60.6)</f>
        <v>60.6</v>
      </c>
      <c r="H33" s="3">
        <f>IFERROR(__xludf.DUMMYFUNCTION("""COMPUTED_VALUE"""),84.7)</f>
        <v>84.7</v>
      </c>
      <c r="I33" s="3">
        <f>IFERROR(__xludf.DUMMYFUNCTION("""COMPUTED_VALUE"""),134.0)</f>
        <v>134</v>
      </c>
      <c r="J33" s="3">
        <f>IFERROR(__xludf.DUMMYFUNCTION("""COMPUTED_VALUE"""),6.0)</f>
        <v>6</v>
      </c>
      <c r="K33" s="3">
        <f>IFERROR(__xludf.DUMMYFUNCTION("""COMPUTED_VALUE"""),1.0)</f>
        <v>1</v>
      </c>
      <c r="L33" s="3">
        <f>IFERROR(__xludf.DUMMYFUNCTION("""COMPUTED_VALUE"""),60.0)</f>
        <v>60</v>
      </c>
      <c r="M33" s="3">
        <f>IFERROR(__xludf.DUMMYFUNCTION("""COMPUTED_VALUE"""),19.0)</f>
        <v>19</v>
      </c>
      <c r="N33" s="3">
        <f>IFERROR(__xludf.DUMMYFUNCTION("""COMPUTED_VALUE"""),50.1)</f>
        <v>50.1</v>
      </c>
    </row>
    <row r="34">
      <c r="A34" s="2" t="s">
        <v>1</v>
      </c>
      <c r="B34" s="3">
        <f>IFERROR(__xludf.DUMMYFUNCTION("""COMPUTED_VALUE"""),2018.0)</f>
        <v>2018</v>
      </c>
      <c r="C34" s="3">
        <f>IFERROR(__xludf.DUMMYFUNCTION("""COMPUTED_VALUE"""),13.0)</f>
        <v>13</v>
      </c>
      <c r="D34" s="3">
        <f>IFERROR(__xludf.DUMMYFUNCTION("""COMPUTED_VALUE"""),275.0)</f>
        <v>275</v>
      </c>
      <c r="E34" s="3">
        <f>IFERROR(__xludf.DUMMYFUNCTION("""COMPUTED_VALUE"""),385.0)</f>
        <v>385</v>
      </c>
      <c r="F34" s="3">
        <f>IFERROR(__xludf.DUMMYFUNCTION("""COMPUTED_VALUE"""),11.0)</f>
        <v>11</v>
      </c>
      <c r="G34" s="3">
        <f>IFERROR(__xludf.DUMMYFUNCTION("""COMPUTED_VALUE"""),25.0)</f>
        <v>25</v>
      </c>
      <c r="H34" s="3">
        <f>IFERROR(__xludf.DUMMYFUNCTION("""COMPUTED_VALUE"""),71.4)</f>
        <v>71.4</v>
      </c>
      <c r="I34" s="3">
        <f>IFERROR(__xludf.DUMMYFUNCTION("""COMPUTED_VALUE"""),42.0)</f>
        <v>42</v>
      </c>
      <c r="J34" s="3">
        <f>IFERROR(__xludf.DUMMYFUNCTION("""COMPUTED_VALUE"""),0.0)</f>
        <v>0</v>
      </c>
      <c r="K34" s="3">
        <f>IFERROR(__xludf.DUMMYFUNCTION("""COMPUTED_VALUE"""),0.0)</f>
        <v>0</v>
      </c>
      <c r="L34" s="3">
        <f>IFERROR(__xludf.DUMMYFUNCTION("""COMPUTED_VALUE"""),19.0)</f>
        <v>19</v>
      </c>
      <c r="M34" s="3">
        <f>IFERROR(__xludf.DUMMYFUNCTION("""COMPUTED_VALUE"""),2.0)</f>
        <v>2</v>
      </c>
      <c r="N34" s="3">
        <f>IFERROR(__xludf.DUMMYFUNCTION("""COMPUTED_VALUE"""),52.2)</f>
        <v>52.2</v>
      </c>
    </row>
    <row r="35">
      <c r="A35" s="2" t="s">
        <v>1</v>
      </c>
      <c r="B35" s="3">
        <f>IFERROR(__xludf.DUMMYFUNCTION("""COMPUTED_VALUE"""),2019.0)</f>
        <v>2019</v>
      </c>
      <c r="C35" s="3">
        <f>IFERROR(__xludf.DUMMYFUNCTION("""COMPUTED_VALUE"""),16.0)</f>
        <v>16</v>
      </c>
      <c r="D35" s="3">
        <f>IFERROR(__xludf.DUMMYFUNCTION("""COMPUTED_VALUE"""),600.0)</f>
        <v>600</v>
      </c>
      <c r="E35" s="3">
        <f>IFERROR(__xludf.DUMMYFUNCTION("""COMPUTED_VALUE"""),729.0)</f>
        <v>729</v>
      </c>
      <c r="F35" s="3">
        <f>IFERROR(__xludf.DUMMYFUNCTION("""COMPUTED_VALUE"""),10.0)</f>
        <v>10</v>
      </c>
      <c r="G35" s="3">
        <f>IFERROR(__xludf.DUMMYFUNCTION("""COMPUTED_VALUE"""),60.0)</f>
        <v>60</v>
      </c>
      <c r="H35" s="3">
        <f>IFERROR(__xludf.DUMMYFUNCTION("""COMPUTED_VALUE"""),82.3)</f>
        <v>82.3</v>
      </c>
      <c r="I35" s="3">
        <f>IFERROR(__xludf.DUMMYFUNCTION("""COMPUTED_VALUE"""),87.0)</f>
        <v>87</v>
      </c>
      <c r="J35" s="3">
        <f>IFERROR(__xludf.DUMMYFUNCTION("""COMPUTED_VALUE"""),6.0)</f>
        <v>6</v>
      </c>
      <c r="K35" s="3">
        <f>IFERROR(__xludf.DUMMYFUNCTION("""COMPUTED_VALUE"""),0.0)</f>
        <v>0</v>
      </c>
      <c r="L35" s="3">
        <f>IFERROR(__xludf.DUMMYFUNCTION("""COMPUTED_VALUE"""),42.0)</f>
        <v>42</v>
      </c>
      <c r="M35" s="3">
        <f>IFERROR(__xludf.DUMMYFUNCTION("""COMPUTED_VALUE"""),11.0)</f>
        <v>11</v>
      </c>
      <c r="N35" s="3">
        <f>IFERROR(__xludf.DUMMYFUNCTION("""COMPUTED_VALUE"""),50.9)</f>
        <v>50.9</v>
      </c>
    </row>
    <row r="36">
      <c r="A36" s="1"/>
      <c r="B36" s="1" t="str">
        <f>IFERROR(__xludf.DUMMYFUNCTION("""COMPUTED_VALUE"""),"Total")</f>
        <v>Total</v>
      </c>
      <c r="C36" s="1">
        <f>IFERROR(__xludf.DUMMYFUNCTION("""COMPUTED_VALUE"""),297.0)</f>
        <v>297</v>
      </c>
      <c r="D36" s="5">
        <f>IFERROR(__xludf.DUMMYFUNCTION("""COMPUTED_VALUE"""),10773.0)</f>
        <v>10773</v>
      </c>
      <c r="E36" s="5">
        <f>IFERROR(__xludf.DUMMYFUNCTION("""COMPUTED_VALUE"""),12305.0)</f>
        <v>12305</v>
      </c>
      <c r="F36" s="1">
        <f>IFERROR(__xludf.DUMMYFUNCTION("""COMPUTED_VALUE"""),213.0)</f>
        <v>213</v>
      </c>
      <c r="G36" s="1">
        <f>IFERROR(__xludf.DUMMYFUNCTION("""COMPUTED_VALUE"""),50.6)</f>
        <v>50.6</v>
      </c>
      <c r="H36" s="1">
        <f>IFERROR(__xludf.DUMMYFUNCTION("""COMPUTED_VALUE"""),87.5)</f>
        <v>87.5</v>
      </c>
      <c r="I36" s="1">
        <f>IFERROR(__xludf.DUMMYFUNCTION("""COMPUTED_VALUE"""),183.0)</f>
        <v>183</v>
      </c>
      <c r="J36" s="1">
        <f>IFERROR(__xludf.DUMMYFUNCTION("""COMPUTED_VALUE"""),73.0)</f>
        <v>73</v>
      </c>
      <c r="K36" s="1">
        <f>IFERROR(__xludf.DUMMYFUNCTION("""COMPUTED_VALUE"""),10.0)</f>
        <v>10</v>
      </c>
      <c r="L36" s="1">
        <f>IFERROR(__xludf.DUMMYFUNCTION("""COMPUTED_VALUE"""),826.0)</f>
        <v>826</v>
      </c>
      <c r="M36" s="1">
        <f>IFERROR(__xludf.DUMMYFUNCTION("""COMPUTED_VALUE"""),229.0)</f>
        <v>229</v>
      </c>
      <c r="N36" s="1">
        <f>IFERROR(__xludf.DUMMYFUNCTION("""COMPUTED_VALUE"""),48.8)</f>
        <v>48.8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  <c r="B41" s="6" t="str">
        <f>IFERROR(__xludf.DUMMYFUNCTION("IMPORTHTML(""http://www.cricmetric.com/playerstats.py?player=MS%20Dhoni"",""table"",5)"),"Year")</f>
        <v>Year</v>
      </c>
      <c r="C41" s="1" t="str">
        <f>IFERROR(__xludf.DUMMYFUNCTION("""COMPUTED_VALUE"""),"Innings")</f>
        <v>Innings</v>
      </c>
      <c r="D41" s="1" t="str">
        <f>IFERROR(__xludf.DUMMYFUNCTION("""COMPUTED_VALUE"""),"Runs")</f>
        <v>Runs</v>
      </c>
      <c r="E41" s="1" t="str">
        <f>IFERROR(__xludf.DUMMYFUNCTION("""COMPUTED_VALUE"""),"Balls")</f>
        <v>Balls</v>
      </c>
      <c r="F41" s="1" t="str">
        <f>IFERROR(__xludf.DUMMYFUNCTION("""COMPUTED_VALUE"""),"Outs")</f>
        <v>Outs</v>
      </c>
      <c r="G41" s="1" t="str">
        <f>IFERROR(__xludf.DUMMYFUNCTION("""COMPUTED_VALUE"""),"Avg")</f>
        <v>Avg</v>
      </c>
      <c r="H41" s="1" t="str">
        <f>IFERROR(__xludf.DUMMYFUNCTION("""COMPUTED_VALUE"""),"SR")</f>
        <v>SR</v>
      </c>
      <c r="I41" s="1" t="str">
        <f>IFERROR(__xludf.DUMMYFUNCTION("""COMPUTED_VALUE"""),"HS")</f>
        <v>HS</v>
      </c>
      <c r="J41" s="1">
        <f>IFERROR(__xludf.DUMMYFUNCTION("""COMPUTED_VALUE"""),50.0)</f>
        <v>50</v>
      </c>
      <c r="K41" s="1">
        <f>IFERROR(__xludf.DUMMYFUNCTION("""COMPUTED_VALUE"""),100.0)</f>
        <v>100</v>
      </c>
      <c r="L41" s="1" t="str">
        <f>IFERROR(__xludf.DUMMYFUNCTION("""COMPUTED_VALUE"""),"4s")</f>
        <v>4s</v>
      </c>
      <c r="M41" s="1" t="str">
        <f>IFERROR(__xludf.DUMMYFUNCTION("""COMPUTED_VALUE"""),"6s")</f>
        <v>6s</v>
      </c>
      <c r="N41" s="1" t="str">
        <f>IFERROR(__xludf.DUMMYFUNCTION("""COMPUTED_VALUE"""),"Dot %")</f>
        <v>Dot %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2" t="s">
        <v>2</v>
      </c>
      <c r="B42" s="3">
        <f>IFERROR(__xludf.DUMMYFUNCTION("""COMPUTED_VALUE"""),2006.0)</f>
        <v>2006</v>
      </c>
      <c r="C42" s="3">
        <f>IFERROR(__xludf.DUMMYFUNCTION("""COMPUTED_VALUE"""),1.0)</f>
        <v>1</v>
      </c>
      <c r="D42" s="3">
        <f>IFERROR(__xludf.DUMMYFUNCTION("""COMPUTED_VALUE"""),0.0)</f>
        <v>0</v>
      </c>
      <c r="E42" s="3">
        <f>IFERROR(__xludf.DUMMYFUNCTION("""COMPUTED_VALUE"""),2.0)</f>
        <v>2</v>
      </c>
      <c r="F42" s="3">
        <f>IFERROR(__xludf.DUMMYFUNCTION("""COMPUTED_VALUE"""),1.0)</f>
        <v>1</v>
      </c>
      <c r="G42" s="3">
        <f>IFERROR(__xludf.DUMMYFUNCTION("""COMPUTED_VALUE"""),0.0)</f>
        <v>0</v>
      </c>
      <c r="H42" s="3">
        <f>IFERROR(__xludf.DUMMYFUNCTION("""COMPUTED_VALUE"""),0.0)</f>
        <v>0</v>
      </c>
      <c r="I42" s="3">
        <f>IFERROR(__xludf.DUMMYFUNCTION("""COMPUTED_VALUE"""),0.0)</f>
        <v>0</v>
      </c>
      <c r="J42" s="3">
        <f>IFERROR(__xludf.DUMMYFUNCTION("""COMPUTED_VALUE"""),0.0)</f>
        <v>0</v>
      </c>
      <c r="K42" s="3">
        <f>IFERROR(__xludf.DUMMYFUNCTION("""COMPUTED_VALUE"""),0.0)</f>
        <v>0</v>
      </c>
      <c r="L42" s="3">
        <f>IFERROR(__xludf.DUMMYFUNCTION("""COMPUTED_VALUE"""),0.0)</f>
        <v>0</v>
      </c>
      <c r="M42" s="3">
        <f>IFERROR(__xludf.DUMMYFUNCTION("""COMPUTED_VALUE"""),0.0)</f>
        <v>0</v>
      </c>
      <c r="N42" s="3">
        <f>IFERROR(__xludf.DUMMYFUNCTION("""COMPUTED_VALUE"""),100.0)</f>
        <v>100</v>
      </c>
    </row>
    <row r="43">
      <c r="A43" s="2" t="s">
        <v>2</v>
      </c>
      <c r="B43" s="3">
        <f>IFERROR(__xludf.DUMMYFUNCTION("""COMPUTED_VALUE"""),2007.0)</f>
        <v>2007</v>
      </c>
      <c r="C43" s="3">
        <f>IFERROR(__xludf.DUMMYFUNCTION("""COMPUTED_VALUE"""),7.0)</f>
        <v>7</v>
      </c>
      <c r="D43" s="3">
        <f>IFERROR(__xludf.DUMMYFUNCTION("""COMPUTED_VALUE"""),163.0)</f>
        <v>163</v>
      </c>
      <c r="E43" s="3">
        <f>IFERROR(__xludf.DUMMYFUNCTION("""COMPUTED_VALUE"""),125.0)</f>
        <v>125</v>
      </c>
      <c r="F43" s="3">
        <f>IFERROR(__xludf.DUMMYFUNCTION("""COMPUTED_VALUE"""),5.0)</f>
        <v>5</v>
      </c>
      <c r="G43" s="3">
        <f>IFERROR(__xludf.DUMMYFUNCTION("""COMPUTED_VALUE"""),32.6)</f>
        <v>32.6</v>
      </c>
      <c r="H43" s="3">
        <f>IFERROR(__xludf.DUMMYFUNCTION("""COMPUTED_VALUE"""),130.4)</f>
        <v>130.4</v>
      </c>
      <c r="I43" s="3">
        <f>IFERROR(__xludf.DUMMYFUNCTION("""COMPUTED_VALUE"""),45.0)</f>
        <v>45</v>
      </c>
      <c r="J43" s="3">
        <f>IFERROR(__xludf.DUMMYFUNCTION("""COMPUTED_VALUE"""),0.0)</f>
        <v>0</v>
      </c>
      <c r="K43" s="3">
        <f>IFERROR(__xludf.DUMMYFUNCTION("""COMPUTED_VALUE"""),0.0)</f>
        <v>0</v>
      </c>
      <c r="L43" s="3">
        <f>IFERROR(__xludf.DUMMYFUNCTION("""COMPUTED_VALUE"""),13.0)</f>
        <v>13</v>
      </c>
      <c r="M43" s="3">
        <f>IFERROR(__xludf.DUMMYFUNCTION("""COMPUTED_VALUE"""),4.0)</f>
        <v>4</v>
      </c>
      <c r="N43" s="3">
        <f>IFERROR(__xludf.DUMMYFUNCTION("""COMPUTED_VALUE"""),26.4)</f>
        <v>26.4</v>
      </c>
    </row>
    <row r="44">
      <c r="A44" s="2" t="s">
        <v>2</v>
      </c>
      <c r="B44" s="3">
        <f>IFERROR(__xludf.DUMMYFUNCTION("""COMPUTED_VALUE"""),2008.0)</f>
        <v>2008</v>
      </c>
      <c r="C44" s="3">
        <f>IFERROR(__xludf.DUMMYFUNCTION("""COMPUTED_VALUE"""),1.0)</f>
        <v>1</v>
      </c>
      <c r="D44" s="3">
        <f>IFERROR(__xludf.DUMMYFUNCTION("""COMPUTED_VALUE"""),9.0)</f>
        <v>9</v>
      </c>
      <c r="E44" s="3">
        <f>IFERROR(__xludf.DUMMYFUNCTION("""COMPUTED_VALUE"""),27.0)</f>
        <v>27</v>
      </c>
      <c r="F44" s="3">
        <f>IFERROR(__xludf.DUMMYFUNCTION("""COMPUTED_VALUE"""),1.0)</f>
        <v>1</v>
      </c>
      <c r="G44" s="3">
        <f>IFERROR(__xludf.DUMMYFUNCTION("""COMPUTED_VALUE"""),9.0)</f>
        <v>9</v>
      </c>
      <c r="H44" s="3">
        <f>IFERROR(__xludf.DUMMYFUNCTION("""COMPUTED_VALUE"""),33.3)</f>
        <v>33.3</v>
      </c>
      <c r="I44" s="3">
        <f>IFERROR(__xludf.DUMMYFUNCTION("""COMPUTED_VALUE"""),9.0)</f>
        <v>9</v>
      </c>
      <c r="J44" s="3">
        <f>IFERROR(__xludf.DUMMYFUNCTION("""COMPUTED_VALUE"""),0.0)</f>
        <v>0</v>
      </c>
      <c r="K44" s="3">
        <f>IFERROR(__xludf.DUMMYFUNCTION("""COMPUTED_VALUE"""),0.0)</f>
        <v>0</v>
      </c>
      <c r="L44" s="3">
        <f>IFERROR(__xludf.DUMMYFUNCTION("""COMPUTED_VALUE"""),0.0)</f>
        <v>0</v>
      </c>
      <c r="M44" s="3">
        <f>IFERROR(__xludf.DUMMYFUNCTION("""COMPUTED_VALUE"""),0.0)</f>
        <v>0</v>
      </c>
      <c r="N44" s="3">
        <f>IFERROR(__xludf.DUMMYFUNCTION("""COMPUTED_VALUE"""),66.7)</f>
        <v>66.7</v>
      </c>
    </row>
    <row r="45">
      <c r="A45" s="2" t="s">
        <v>2</v>
      </c>
      <c r="B45" s="3">
        <f>IFERROR(__xludf.DUMMYFUNCTION("""COMPUTED_VALUE"""),2009.0)</f>
        <v>2009</v>
      </c>
      <c r="C45" s="3">
        <f>IFERROR(__xludf.DUMMYFUNCTION("""COMPUTED_VALUE"""),10.0)</f>
        <v>10</v>
      </c>
      <c r="D45" s="3">
        <f>IFERROR(__xludf.DUMMYFUNCTION("""COMPUTED_VALUE"""),184.0)</f>
        <v>184</v>
      </c>
      <c r="E45" s="3">
        <f>IFERROR(__xludf.DUMMYFUNCTION("""COMPUTED_VALUE"""),182.0)</f>
        <v>182</v>
      </c>
      <c r="F45" s="3">
        <f>IFERROR(__xludf.DUMMYFUNCTION("""COMPUTED_VALUE"""),8.0)</f>
        <v>8</v>
      </c>
      <c r="G45" s="3">
        <f>IFERROR(__xludf.DUMMYFUNCTION("""COMPUTED_VALUE"""),23.0)</f>
        <v>23</v>
      </c>
      <c r="H45" s="3">
        <f>IFERROR(__xludf.DUMMYFUNCTION("""COMPUTED_VALUE"""),101.1)</f>
        <v>101.1</v>
      </c>
      <c r="I45" s="3">
        <f>IFERROR(__xludf.DUMMYFUNCTION("""COMPUTED_VALUE"""),46.0)</f>
        <v>46</v>
      </c>
      <c r="J45" s="3">
        <f>IFERROR(__xludf.DUMMYFUNCTION("""COMPUTED_VALUE"""),0.0)</f>
        <v>0</v>
      </c>
      <c r="K45" s="3">
        <f>IFERROR(__xludf.DUMMYFUNCTION("""COMPUTED_VALUE"""),0.0)</f>
        <v>0</v>
      </c>
      <c r="L45" s="3">
        <f>IFERROR(__xludf.DUMMYFUNCTION("""COMPUTED_VALUE"""),10.0)</f>
        <v>10</v>
      </c>
      <c r="M45" s="3">
        <f>IFERROR(__xludf.DUMMYFUNCTION("""COMPUTED_VALUE"""),3.0)</f>
        <v>3</v>
      </c>
      <c r="N45" s="3">
        <f>IFERROR(__xludf.DUMMYFUNCTION("""COMPUTED_VALUE"""),35.2)</f>
        <v>35.2</v>
      </c>
    </row>
    <row r="46">
      <c r="A46" s="2" t="s">
        <v>2</v>
      </c>
      <c r="B46" s="3">
        <f>IFERROR(__xludf.DUMMYFUNCTION("""COMPUTED_VALUE"""),2010.0)</f>
        <v>2010</v>
      </c>
      <c r="C46" s="3">
        <f>IFERROR(__xludf.DUMMYFUNCTION("""COMPUTED_VALUE"""),5.0)</f>
        <v>5</v>
      </c>
      <c r="D46" s="3">
        <f>IFERROR(__xludf.DUMMYFUNCTION("""COMPUTED_VALUE"""),85.0)</f>
        <v>85</v>
      </c>
      <c r="E46" s="3">
        <f>IFERROR(__xludf.DUMMYFUNCTION("""COMPUTED_VALUE"""),57.0)</f>
        <v>57</v>
      </c>
      <c r="F46" s="3">
        <f>IFERROR(__xludf.DUMMYFUNCTION("""COMPUTED_VALUE"""),2.0)</f>
        <v>2</v>
      </c>
      <c r="G46" s="3">
        <f>IFERROR(__xludf.DUMMYFUNCTION("""COMPUTED_VALUE"""),42.5)</f>
        <v>42.5</v>
      </c>
      <c r="H46" s="3">
        <f>IFERROR(__xludf.DUMMYFUNCTION("""COMPUTED_VALUE"""),149.1)</f>
        <v>149.1</v>
      </c>
      <c r="I46" s="3">
        <f>IFERROR(__xludf.DUMMYFUNCTION("""COMPUTED_VALUE"""),29.0)</f>
        <v>29</v>
      </c>
      <c r="J46" s="3">
        <f>IFERROR(__xludf.DUMMYFUNCTION("""COMPUTED_VALUE"""),0.0)</f>
        <v>0</v>
      </c>
      <c r="K46" s="3">
        <f>IFERROR(__xludf.DUMMYFUNCTION("""COMPUTED_VALUE"""),0.0)</f>
        <v>0</v>
      </c>
      <c r="L46" s="3">
        <f>IFERROR(__xludf.DUMMYFUNCTION("""COMPUTED_VALUE"""),3.0)</f>
        <v>3</v>
      </c>
      <c r="M46" s="3">
        <f>IFERROR(__xludf.DUMMYFUNCTION("""COMPUTED_VALUE"""),6.0)</f>
        <v>6</v>
      </c>
      <c r="N46" s="3">
        <f>IFERROR(__xludf.DUMMYFUNCTION("""COMPUTED_VALUE"""),29.8)</f>
        <v>29.8</v>
      </c>
    </row>
    <row r="47">
      <c r="A47" s="2" t="s">
        <v>2</v>
      </c>
      <c r="B47" s="3">
        <f>IFERROR(__xludf.DUMMYFUNCTION("""COMPUTED_VALUE"""),2011.0)</f>
        <v>2011</v>
      </c>
      <c r="C47" s="3">
        <f>IFERROR(__xludf.DUMMYFUNCTION("""COMPUTED_VALUE"""),3.0)</f>
        <v>3</v>
      </c>
      <c r="D47" s="3">
        <f>IFERROR(__xludf.DUMMYFUNCTION("""COMPUTED_VALUE"""),39.0)</f>
        <v>39</v>
      </c>
      <c r="E47" s="3">
        <f>IFERROR(__xludf.DUMMYFUNCTION("""COMPUTED_VALUE"""),45.0)</f>
        <v>45</v>
      </c>
      <c r="F47" s="3">
        <f>IFERROR(__xludf.DUMMYFUNCTION("""COMPUTED_VALUE"""),2.0)</f>
        <v>2</v>
      </c>
      <c r="G47" s="3">
        <f>IFERROR(__xludf.DUMMYFUNCTION("""COMPUTED_VALUE"""),19.5)</f>
        <v>19.5</v>
      </c>
      <c r="H47" s="3">
        <f>IFERROR(__xludf.DUMMYFUNCTION("""COMPUTED_VALUE"""),86.7)</f>
        <v>86.7</v>
      </c>
      <c r="I47" s="3">
        <f>IFERROR(__xludf.DUMMYFUNCTION("""COMPUTED_VALUE"""),21.0)</f>
        <v>21</v>
      </c>
      <c r="J47" s="3">
        <f>IFERROR(__xludf.DUMMYFUNCTION("""COMPUTED_VALUE"""),0.0)</f>
        <v>0</v>
      </c>
      <c r="K47" s="3">
        <f>IFERROR(__xludf.DUMMYFUNCTION("""COMPUTED_VALUE"""),0.0)</f>
        <v>0</v>
      </c>
      <c r="L47" s="3">
        <f>IFERROR(__xludf.DUMMYFUNCTION("""COMPUTED_VALUE"""),1.0)</f>
        <v>1</v>
      </c>
      <c r="M47" s="3">
        <f>IFERROR(__xludf.DUMMYFUNCTION("""COMPUTED_VALUE"""),1.0)</f>
        <v>1</v>
      </c>
      <c r="N47" s="3">
        <f>IFERROR(__xludf.DUMMYFUNCTION("""COMPUTED_VALUE"""),44.4)</f>
        <v>44.4</v>
      </c>
    </row>
    <row r="48">
      <c r="A48" s="2" t="s">
        <v>2</v>
      </c>
      <c r="B48" s="3">
        <f>IFERROR(__xludf.DUMMYFUNCTION("""COMPUTED_VALUE"""),2012.0)</f>
        <v>2012</v>
      </c>
      <c r="C48" s="3">
        <f>IFERROR(__xludf.DUMMYFUNCTION("""COMPUTED_VALUE"""),12.0)</f>
        <v>12</v>
      </c>
      <c r="D48" s="3">
        <f>IFERROR(__xludf.DUMMYFUNCTION("""COMPUTED_VALUE"""),268.0)</f>
        <v>268</v>
      </c>
      <c r="E48" s="3">
        <f>IFERROR(__xludf.DUMMYFUNCTION("""COMPUTED_VALUE"""),213.0)</f>
        <v>213</v>
      </c>
      <c r="F48" s="3">
        <f>IFERROR(__xludf.DUMMYFUNCTION("""COMPUTED_VALUE"""),5.0)</f>
        <v>5</v>
      </c>
      <c r="G48" s="3">
        <f>IFERROR(__xludf.DUMMYFUNCTION("""COMPUTED_VALUE"""),53.6)</f>
        <v>53.6</v>
      </c>
      <c r="H48" s="3">
        <f>IFERROR(__xludf.DUMMYFUNCTION("""COMPUTED_VALUE"""),125.8)</f>
        <v>125.8</v>
      </c>
      <c r="I48" s="3">
        <f>IFERROR(__xludf.DUMMYFUNCTION("""COMPUTED_VALUE"""),48.0)</f>
        <v>48</v>
      </c>
      <c r="J48" s="3">
        <f>IFERROR(__xludf.DUMMYFUNCTION("""COMPUTED_VALUE"""),0.0)</f>
        <v>0</v>
      </c>
      <c r="K48" s="3">
        <f>IFERROR(__xludf.DUMMYFUNCTION("""COMPUTED_VALUE"""),0.0)</f>
        <v>0</v>
      </c>
      <c r="L48" s="3">
        <f>IFERROR(__xludf.DUMMYFUNCTION("""COMPUTED_VALUE"""),24.0)</f>
        <v>24</v>
      </c>
      <c r="M48" s="3">
        <f>IFERROR(__xludf.DUMMYFUNCTION("""COMPUTED_VALUE"""),6.0)</f>
        <v>6</v>
      </c>
      <c r="N48" s="3">
        <f>IFERROR(__xludf.DUMMYFUNCTION("""COMPUTED_VALUE"""),36.6)</f>
        <v>36.6</v>
      </c>
    </row>
    <row r="49">
      <c r="A49" s="2" t="s">
        <v>2</v>
      </c>
      <c r="B49" s="3">
        <f>IFERROR(__xludf.DUMMYFUNCTION("""COMPUTED_VALUE"""),2013.0)</f>
        <v>2013</v>
      </c>
      <c r="C49" s="3">
        <f>IFERROR(__xludf.DUMMYFUNCTION("""COMPUTED_VALUE"""),1.0)</f>
        <v>1</v>
      </c>
      <c r="D49" s="3">
        <f>IFERROR(__xludf.DUMMYFUNCTION("""COMPUTED_VALUE"""),24.0)</f>
        <v>24</v>
      </c>
      <c r="E49" s="3">
        <f>IFERROR(__xludf.DUMMYFUNCTION("""COMPUTED_VALUE"""),21.0)</f>
        <v>21</v>
      </c>
      <c r="F49" s="3">
        <f>IFERROR(__xludf.DUMMYFUNCTION("""COMPUTED_VALUE"""),0.0)</f>
        <v>0</v>
      </c>
      <c r="G49" s="3" t="str">
        <f>IFERROR(__xludf.DUMMYFUNCTION("""COMPUTED_VALUE"""),"-")</f>
        <v>-</v>
      </c>
      <c r="H49" s="3">
        <f>IFERROR(__xludf.DUMMYFUNCTION("""COMPUTED_VALUE"""),114.3)</f>
        <v>114.3</v>
      </c>
      <c r="I49" s="3">
        <f>IFERROR(__xludf.DUMMYFUNCTION("""COMPUTED_VALUE"""),24.0)</f>
        <v>24</v>
      </c>
      <c r="J49" s="3">
        <f>IFERROR(__xludf.DUMMYFUNCTION("""COMPUTED_VALUE"""),0.0)</f>
        <v>0</v>
      </c>
      <c r="K49" s="3">
        <f>IFERROR(__xludf.DUMMYFUNCTION("""COMPUTED_VALUE"""),0.0)</f>
        <v>0</v>
      </c>
      <c r="L49" s="3">
        <f>IFERROR(__xludf.DUMMYFUNCTION("""COMPUTED_VALUE"""),2.0)</f>
        <v>2</v>
      </c>
      <c r="M49" s="3">
        <f>IFERROR(__xludf.DUMMYFUNCTION("""COMPUTED_VALUE"""),0.0)</f>
        <v>0</v>
      </c>
      <c r="N49" s="3">
        <f>IFERROR(__xludf.DUMMYFUNCTION("""COMPUTED_VALUE"""),23.8)</f>
        <v>23.8</v>
      </c>
    </row>
    <row r="50">
      <c r="A50" s="2" t="s">
        <v>2</v>
      </c>
      <c r="B50" s="3">
        <f>IFERROR(__xludf.DUMMYFUNCTION("""COMPUTED_VALUE"""),2014.0)</f>
        <v>2014</v>
      </c>
      <c r="C50" s="3">
        <f>IFERROR(__xludf.DUMMYFUNCTION("""COMPUTED_VALUE"""),5.0)</f>
        <v>5</v>
      </c>
      <c r="D50" s="3">
        <f>IFERROR(__xludf.DUMMYFUNCTION("""COMPUTED_VALUE"""),77.0)</f>
        <v>77</v>
      </c>
      <c r="E50" s="3">
        <f>IFERROR(__xludf.DUMMYFUNCTION("""COMPUTED_VALUE"""),58.0)</f>
        <v>58</v>
      </c>
      <c r="F50" s="3">
        <f>IFERROR(__xludf.DUMMYFUNCTION("""COMPUTED_VALUE"""),1.0)</f>
        <v>1</v>
      </c>
      <c r="G50" s="3">
        <f>IFERROR(__xludf.DUMMYFUNCTION("""COMPUTED_VALUE"""),77.0)</f>
        <v>77</v>
      </c>
      <c r="H50" s="3">
        <f>IFERROR(__xludf.DUMMYFUNCTION("""COMPUTED_VALUE"""),132.8)</f>
        <v>132.8</v>
      </c>
      <c r="I50" s="3">
        <f>IFERROR(__xludf.DUMMYFUNCTION("""COMPUTED_VALUE"""),27.0)</f>
        <v>27</v>
      </c>
      <c r="J50" s="3">
        <f>IFERROR(__xludf.DUMMYFUNCTION("""COMPUTED_VALUE"""),0.0)</f>
        <v>0</v>
      </c>
      <c r="K50" s="3">
        <f>IFERROR(__xludf.DUMMYFUNCTION("""COMPUTED_VALUE"""),0.0)</f>
        <v>0</v>
      </c>
      <c r="L50" s="3">
        <f>IFERROR(__xludf.DUMMYFUNCTION("""COMPUTED_VALUE"""),4.0)</f>
        <v>4</v>
      </c>
      <c r="M50" s="3">
        <f>IFERROR(__xludf.DUMMYFUNCTION("""COMPUTED_VALUE"""),4.0)</f>
        <v>4</v>
      </c>
      <c r="N50" s="3">
        <f>IFERROR(__xludf.DUMMYFUNCTION("""COMPUTED_VALUE"""),34.5)</f>
        <v>34.5</v>
      </c>
    </row>
    <row r="51">
      <c r="A51" s="2" t="s">
        <v>2</v>
      </c>
      <c r="B51" s="3">
        <f>IFERROR(__xludf.DUMMYFUNCTION("""COMPUTED_VALUE"""),2015.0)</f>
        <v>2015</v>
      </c>
      <c r="C51" s="3">
        <f>IFERROR(__xludf.DUMMYFUNCTION("""COMPUTED_VALUE"""),2.0)</f>
        <v>2</v>
      </c>
      <c r="D51" s="3">
        <f>IFERROR(__xludf.DUMMYFUNCTION("""COMPUTED_VALUE"""),25.0)</f>
        <v>25</v>
      </c>
      <c r="E51" s="3">
        <f>IFERROR(__xludf.DUMMYFUNCTION("""COMPUTED_VALUE"""),20.0)</f>
        <v>20</v>
      </c>
      <c r="F51" s="3">
        <f>IFERROR(__xludf.DUMMYFUNCTION("""COMPUTED_VALUE"""),1.0)</f>
        <v>1</v>
      </c>
      <c r="G51" s="3">
        <f>IFERROR(__xludf.DUMMYFUNCTION("""COMPUTED_VALUE"""),25.0)</f>
        <v>25</v>
      </c>
      <c r="H51" s="3">
        <f>IFERROR(__xludf.DUMMYFUNCTION("""COMPUTED_VALUE"""),125.0)</f>
        <v>125</v>
      </c>
      <c r="I51" s="3">
        <f>IFERROR(__xludf.DUMMYFUNCTION("""COMPUTED_VALUE"""),20.0)</f>
        <v>20</v>
      </c>
      <c r="J51" s="3">
        <f>IFERROR(__xludf.DUMMYFUNCTION("""COMPUTED_VALUE"""),0.0)</f>
        <v>0</v>
      </c>
      <c r="K51" s="3">
        <f>IFERROR(__xludf.DUMMYFUNCTION("""COMPUTED_VALUE"""),0.0)</f>
        <v>0</v>
      </c>
      <c r="L51" s="3">
        <f>IFERROR(__xludf.DUMMYFUNCTION("""COMPUTED_VALUE"""),2.0)</f>
        <v>2</v>
      </c>
      <c r="M51" s="3">
        <f>IFERROR(__xludf.DUMMYFUNCTION("""COMPUTED_VALUE"""),1.0)</f>
        <v>1</v>
      </c>
      <c r="N51" s="3">
        <f>IFERROR(__xludf.DUMMYFUNCTION("""COMPUTED_VALUE"""),30.0)</f>
        <v>30</v>
      </c>
    </row>
    <row r="52">
      <c r="A52" s="2" t="s">
        <v>2</v>
      </c>
      <c r="B52" s="3">
        <f>IFERROR(__xludf.DUMMYFUNCTION("""COMPUTED_VALUE"""),2016.0)</f>
        <v>2016</v>
      </c>
      <c r="C52" s="3">
        <f>IFERROR(__xludf.DUMMYFUNCTION("""COMPUTED_VALUE"""),16.0)</f>
        <v>16</v>
      </c>
      <c r="D52" s="3">
        <f>IFERROR(__xludf.DUMMYFUNCTION("""COMPUTED_VALUE"""),238.0)</f>
        <v>238</v>
      </c>
      <c r="E52" s="3">
        <f>IFERROR(__xludf.DUMMYFUNCTION("""COMPUTED_VALUE"""),159.0)</f>
        <v>159</v>
      </c>
      <c r="F52" s="3">
        <f>IFERROR(__xludf.DUMMYFUNCTION("""COMPUTED_VALUE"""),5.0)</f>
        <v>5</v>
      </c>
      <c r="G52" s="3">
        <f>IFERROR(__xludf.DUMMYFUNCTION("""COMPUTED_VALUE"""),47.6)</f>
        <v>47.6</v>
      </c>
      <c r="H52" s="3">
        <f>IFERROR(__xludf.DUMMYFUNCTION("""COMPUTED_VALUE"""),149.7)</f>
        <v>149.7</v>
      </c>
      <c r="I52" s="3">
        <f>IFERROR(__xludf.DUMMYFUNCTION("""COMPUTED_VALUE"""),43.0)</f>
        <v>43</v>
      </c>
      <c r="J52" s="3">
        <f>IFERROR(__xludf.DUMMYFUNCTION("""COMPUTED_VALUE"""),0.0)</f>
        <v>0</v>
      </c>
      <c r="K52" s="3">
        <f>IFERROR(__xludf.DUMMYFUNCTION("""COMPUTED_VALUE"""),0.0)</f>
        <v>0</v>
      </c>
      <c r="L52" s="3">
        <f>IFERROR(__xludf.DUMMYFUNCTION("""COMPUTED_VALUE"""),16.0)</f>
        <v>16</v>
      </c>
      <c r="M52" s="3">
        <f>IFERROR(__xludf.DUMMYFUNCTION("""COMPUTED_VALUE"""),9.0)</f>
        <v>9</v>
      </c>
      <c r="N52" s="3">
        <f>IFERROR(__xludf.DUMMYFUNCTION("""COMPUTED_VALUE"""),23.9)</f>
        <v>23.9</v>
      </c>
    </row>
    <row r="53">
      <c r="A53" s="2" t="s">
        <v>2</v>
      </c>
      <c r="B53" s="3">
        <f>IFERROR(__xludf.DUMMYFUNCTION("""COMPUTED_VALUE"""),2017.0)</f>
        <v>2017</v>
      </c>
      <c r="C53" s="3">
        <f>IFERROR(__xludf.DUMMYFUNCTION("""COMPUTED_VALUE"""),11.0)</f>
        <v>11</v>
      </c>
      <c r="D53" s="3">
        <f>IFERROR(__xludf.DUMMYFUNCTION("""COMPUTED_VALUE"""),252.0)</f>
        <v>252</v>
      </c>
      <c r="E53" s="3">
        <f>IFERROR(__xludf.DUMMYFUNCTION("""COMPUTED_VALUE"""),182.0)</f>
        <v>182</v>
      </c>
      <c r="F53" s="3">
        <f>IFERROR(__xludf.DUMMYFUNCTION("""COMPUTED_VALUE"""),6.0)</f>
        <v>6</v>
      </c>
      <c r="G53" s="3">
        <f>IFERROR(__xludf.DUMMYFUNCTION("""COMPUTED_VALUE"""),42.0)</f>
        <v>42</v>
      </c>
      <c r="H53" s="3">
        <f>IFERROR(__xludf.DUMMYFUNCTION("""COMPUTED_VALUE"""),138.5)</f>
        <v>138.5</v>
      </c>
      <c r="I53" s="3">
        <f>IFERROR(__xludf.DUMMYFUNCTION("""COMPUTED_VALUE"""),56.0)</f>
        <v>56</v>
      </c>
      <c r="J53" s="3">
        <f>IFERROR(__xludf.DUMMYFUNCTION("""COMPUTED_VALUE"""),1.0)</f>
        <v>1</v>
      </c>
      <c r="K53" s="3">
        <f>IFERROR(__xludf.DUMMYFUNCTION("""COMPUTED_VALUE"""),0.0)</f>
        <v>0</v>
      </c>
      <c r="L53" s="3">
        <f>IFERROR(__xludf.DUMMYFUNCTION("""COMPUTED_VALUE"""),19.0)</f>
        <v>19</v>
      </c>
      <c r="M53" s="3">
        <f>IFERROR(__xludf.DUMMYFUNCTION("""COMPUTED_VALUE"""),9.0)</f>
        <v>9</v>
      </c>
      <c r="N53" s="3">
        <f>IFERROR(__xludf.DUMMYFUNCTION("""COMPUTED_VALUE"""),26.9)</f>
        <v>26.9</v>
      </c>
    </row>
    <row r="54">
      <c r="A54" s="2" t="s">
        <v>2</v>
      </c>
      <c r="B54" s="3">
        <f>IFERROR(__xludf.DUMMYFUNCTION("""COMPUTED_VALUE"""),2018.0)</f>
        <v>2018</v>
      </c>
      <c r="C54" s="3">
        <f>IFERROR(__xludf.DUMMYFUNCTION("""COMPUTED_VALUE"""),5.0)</f>
        <v>5</v>
      </c>
      <c r="D54" s="3">
        <f>IFERROR(__xludf.DUMMYFUNCTION("""COMPUTED_VALUE"""),123.0)</f>
        <v>123</v>
      </c>
      <c r="E54" s="3">
        <f>IFERROR(__xludf.DUMMYFUNCTION("""COMPUTED_VALUE"""),79.0)</f>
        <v>79</v>
      </c>
      <c r="F54" s="3">
        <f>IFERROR(__xludf.DUMMYFUNCTION("""COMPUTED_VALUE"""),3.0)</f>
        <v>3</v>
      </c>
      <c r="G54" s="3">
        <f>IFERROR(__xludf.DUMMYFUNCTION("""COMPUTED_VALUE"""),41.0)</f>
        <v>41</v>
      </c>
      <c r="H54" s="3">
        <f>IFERROR(__xludf.DUMMYFUNCTION("""COMPUTED_VALUE"""),155.7)</f>
        <v>155.7</v>
      </c>
      <c r="I54" s="3">
        <f>IFERROR(__xludf.DUMMYFUNCTION("""COMPUTED_VALUE"""),52.0)</f>
        <v>52</v>
      </c>
      <c r="J54" s="3">
        <f>IFERROR(__xludf.DUMMYFUNCTION("""COMPUTED_VALUE"""),1.0)</f>
        <v>1</v>
      </c>
      <c r="K54" s="3">
        <f>IFERROR(__xludf.DUMMYFUNCTION("""COMPUTED_VALUE"""),0.0)</f>
        <v>0</v>
      </c>
      <c r="L54" s="3">
        <f>IFERROR(__xludf.DUMMYFUNCTION("""COMPUTED_VALUE"""),13.0)</f>
        <v>13</v>
      </c>
      <c r="M54" s="3">
        <f>IFERROR(__xludf.DUMMYFUNCTION("""COMPUTED_VALUE"""),4.0)</f>
        <v>4</v>
      </c>
      <c r="N54" s="3">
        <f>IFERROR(__xludf.DUMMYFUNCTION("""COMPUTED_VALUE"""),29.1)</f>
        <v>29.1</v>
      </c>
    </row>
    <row r="55">
      <c r="A55" s="2" t="s">
        <v>2</v>
      </c>
      <c r="B55" s="3">
        <f>IFERROR(__xludf.DUMMYFUNCTION("""COMPUTED_VALUE"""),2019.0)</f>
        <v>2019</v>
      </c>
      <c r="C55" s="3">
        <f>IFERROR(__xludf.DUMMYFUNCTION("""COMPUTED_VALUE"""),5.0)</f>
        <v>5</v>
      </c>
      <c r="D55" s="3">
        <f>IFERROR(__xludf.DUMMYFUNCTION("""COMPUTED_VALUE"""),130.0)</f>
        <v>130</v>
      </c>
      <c r="E55" s="3">
        <f>IFERROR(__xludf.DUMMYFUNCTION("""COMPUTED_VALUE"""),112.0)</f>
        <v>112</v>
      </c>
      <c r="F55" s="3">
        <f>IFERROR(__xludf.DUMMYFUNCTION("""COMPUTED_VALUE"""),3.0)</f>
        <v>3</v>
      </c>
      <c r="G55" s="3">
        <f>IFERROR(__xludf.DUMMYFUNCTION("""COMPUTED_VALUE"""),43.3)</f>
        <v>43.3</v>
      </c>
      <c r="H55" s="3">
        <f>IFERROR(__xludf.DUMMYFUNCTION("""COMPUTED_VALUE"""),116.1)</f>
        <v>116.1</v>
      </c>
      <c r="I55" s="3">
        <f>IFERROR(__xludf.DUMMYFUNCTION("""COMPUTED_VALUE"""),40.0)</f>
        <v>40</v>
      </c>
      <c r="J55" s="3">
        <f>IFERROR(__xludf.DUMMYFUNCTION("""COMPUTED_VALUE"""),0.0)</f>
        <v>0</v>
      </c>
      <c r="K55" s="3">
        <f>IFERROR(__xludf.DUMMYFUNCTION("""COMPUTED_VALUE"""),0.0)</f>
        <v>0</v>
      </c>
      <c r="L55" s="3">
        <f>IFERROR(__xludf.DUMMYFUNCTION("""COMPUTED_VALUE"""),9.0)</f>
        <v>9</v>
      </c>
      <c r="M55" s="3">
        <f>IFERROR(__xludf.DUMMYFUNCTION("""COMPUTED_VALUE"""),5.0)</f>
        <v>5</v>
      </c>
      <c r="N55" s="3">
        <f>IFERROR(__xludf.DUMMYFUNCTION("""COMPUTED_VALUE"""),39.3)</f>
        <v>39.3</v>
      </c>
    </row>
    <row r="56">
      <c r="A56" s="1"/>
      <c r="B56" s="1" t="str">
        <f>IFERROR(__xludf.DUMMYFUNCTION("""COMPUTED_VALUE"""),"Total")</f>
        <v>Total</v>
      </c>
      <c r="C56" s="1">
        <f>IFERROR(__xludf.DUMMYFUNCTION("""COMPUTED_VALUE"""),84.0)</f>
        <v>84</v>
      </c>
      <c r="D56" s="5">
        <f>IFERROR(__xludf.DUMMYFUNCTION("""COMPUTED_VALUE"""),1617.0)</f>
        <v>1617</v>
      </c>
      <c r="E56" s="5">
        <f>IFERROR(__xludf.DUMMYFUNCTION("""COMPUTED_VALUE"""),1282.0)</f>
        <v>1282</v>
      </c>
      <c r="F56" s="1">
        <f>IFERROR(__xludf.DUMMYFUNCTION("""COMPUTED_VALUE"""),43.0)</f>
        <v>43</v>
      </c>
      <c r="G56" s="1">
        <f>IFERROR(__xludf.DUMMYFUNCTION("""COMPUTED_VALUE"""),37.6)</f>
        <v>37.6</v>
      </c>
      <c r="H56" s="1">
        <f>IFERROR(__xludf.DUMMYFUNCTION("""COMPUTED_VALUE"""),126.1)</f>
        <v>126.1</v>
      </c>
      <c r="I56" s="1">
        <f>IFERROR(__xludf.DUMMYFUNCTION("""COMPUTED_VALUE"""),56.0)</f>
        <v>56</v>
      </c>
      <c r="J56" s="1">
        <f>IFERROR(__xludf.DUMMYFUNCTION("""COMPUTED_VALUE"""),2.0)</f>
        <v>2</v>
      </c>
      <c r="K56" s="1">
        <f>IFERROR(__xludf.DUMMYFUNCTION("""COMPUTED_VALUE"""),0.0)</f>
        <v>0</v>
      </c>
      <c r="L56" s="1">
        <f>IFERROR(__xludf.DUMMYFUNCTION("""COMPUTED_VALUE"""),116.0)</f>
        <v>116</v>
      </c>
      <c r="M56" s="1">
        <f>IFERROR(__xludf.DUMMYFUNCTION("""COMPUTED_VALUE"""),52.0)</f>
        <v>52</v>
      </c>
      <c r="N56" s="1">
        <f>IFERROR(__xludf.DUMMYFUNCTION("""COMPUTED_VALUE"""),32.5)</f>
        <v>32.5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3</v>
      </c>
      <c r="B1" s="2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8">
        <v>50.0</v>
      </c>
      <c r="K1" s="8">
        <v>100.0</v>
      </c>
      <c r="L1" s="8" t="s">
        <v>12</v>
      </c>
      <c r="M1" s="8" t="s">
        <v>13</v>
      </c>
      <c r="N1" s="8" t="s">
        <v>14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>
        <v>2005.0</v>
      </c>
      <c r="B2" s="10" t="s">
        <v>0</v>
      </c>
      <c r="C2" s="9">
        <v>5.0</v>
      </c>
      <c r="D2" s="9">
        <v>149.0</v>
      </c>
      <c r="E2" s="9">
        <v>199.0</v>
      </c>
      <c r="F2" s="9">
        <v>4.0</v>
      </c>
      <c r="G2" s="9">
        <v>37.2</v>
      </c>
      <c r="H2" s="9">
        <v>74.9</v>
      </c>
      <c r="I2" s="9">
        <v>51.0</v>
      </c>
      <c r="J2" s="9">
        <v>1.0</v>
      </c>
      <c r="K2" s="9">
        <v>0.0</v>
      </c>
      <c r="L2" s="9">
        <v>20.0</v>
      </c>
      <c r="M2" s="9">
        <v>2.0</v>
      </c>
      <c r="N2" s="9">
        <v>64.3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9">
        <v>2006.0</v>
      </c>
      <c r="B3" s="10" t="s">
        <v>0</v>
      </c>
      <c r="C3" s="9">
        <v>19.0</v>
      </c>
      <c r="D3" s="9">
        <v>557.0</v>
      </c>
      <c r="E3" s="9">
        <v>778.0</v>
      </c>
      <c r="F3" s="9">
        <v>19.0</v>
      </c>
      <c r="G3" s="9">
        <v>29.3</v>
      </c>
      <c r="H3" s="9">
        <v>71.6</v>
      </c>
      <c r="I3" s="9">
        <v>148.0</v>
      </c>
      <c r="J3" s="9">
        <v>2.0</v>
      </c>
      <c r="K3" s="9">
        <v>1.0</v>
      </c>
      <c r="L3" s="9">
        <v>76.0</v>
      </c>
      <c r="M3" s="9">
        <v>12.0</v>
      </c>
      <c r="N3" s="9">
        <v>69.5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9">
        <v>2007.0</v>
      </c>
      <c r="B4" s="10" t="s">
        <v>0</v>
      </c>
      <c r="C4" s="9">
        <v>13.0</v>
      </c>
      <c r="D4" s="9">
        <v>468.0</v>
      </c>
      <c r="E4" s="9">
        <v>690.0</v>
      </c>
      <c r="F4" s="9">
        <v>9.0</v>
      </c>
      <c r="G4" s="9">
        <v>52.0</v>
      </c>
      <c r="H4" s="9">
        <v>67.8</v>
      </c>
      <c r="I4" s="9">
        <v>92.0</v>
      </c>
      <c r="J4" s="9">
        <v>5.0</v>
      </c>
      <c r="K4" s="9">
        <v>0.0</v>
      </c>
      <c r="L4" s="9">
        <v>52.0</v>
      </c>
      <c r="M4" s="9">
        <v>10.0</v>
      </c>
      <c r="N4" s="9">
        <v>65.7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9">
        <v>2008.0</v>
      </c>
      <c r="B5" s="10" t="s">
        <v>0</v>
      </c>
      <c r="C5" s="9">
        <v>19.0</v>
      </c>
      <c r="D5" s="9">
        <v>633.0</v>
      </c>
      <c r="E5" s="11">
        <v>1206.0</v>
      </c>
      <c r="F5" s="9">
        <v>18.0</v>
      </c>
      <c r="G5" s="9">
        <v>35.2</v>
      </c>
      <c r="H5" s="9">
        <v>52.5</v>
      </c>
      <c r="I5" s="9">
        <v>92.0</v>
      </c>
      <c r="J5" s="9">
        <v>6.0</v>
      </c>
      <c r="K5" s="9">
        <v>0.0</v>
      </c>
      <c r="L5" s="9">
        <v>60.0</v>
      </c>
      <c r="M5" s="9">
        <v>8.0</v>
      </c>
      <c r="N5" s="9">
        <v>72.4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9">
        <v>2009.0</v>
      </c>
      <c r="B6" s="10" t="s">
        <v>0</v>
      </c>
      <c r="C6" s="9">
        <v>6.0</v>
      </c>
      <c r="D6" s="9">
        <v>369.0</v>
      </c>
      <c r="E6" s="9">
        <v>623.0</v>
      </c>
      <c r="F6" s="9">
        <v>4.0</v>
      </c>
      <c r="G6" s="9">
        <v>92.2</v>
      </c>
      <c r="H6" s="9">
        <v>59.2</v>
      </c>
      <c r="I6" s="9">
        <v>110.0</v>
      </c>
      <c r="J6" s="9">
        <v>2.0</v>
      </c>
      <c r="K6" s="9">
        <v>2.0</v>
      </c>
      <c r="L6" s="9">
        <v>34.0</v>
      </c>
      <c r="M6" s="9">
        <v>8.0</v>
      </c>
      <c r="N6" s="9">
        <v>69.7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9">
        <v>2010.0</v>
      </c>
      <c r="B7" s="10" t="s">
        <v>0</v>
      </c>
      <c r="C7" s="9">
        <v>19.0</v>
      </c>
      <c r="D7" s="9">
        <v>749.0</v>
      </c>
      <c r="E7" s="11">
        <v>1350.0</v>
      </c>
      <c r="F7" s="9">
        <v>18.0</v>
      </c>
      <c r="G7" s="9">
        <v>41.6</v>
      </c>
      <c r="H7" s="9">
        <v>55.5</v>
      </c>
      <c r="I7" s="9">
        <v>132.0</v>
      </c>
      <c r="J7" s="9">
        <v>4.0</v>
      </c>
      <c r="K7" s="9">
        <v>1.0</v>
      </c>
      <c r="L7" s="9">
        <v>79.0</v>
      </c>
      <c r="M7" s="9">
        <v>11.0</v>
      </c>
      <c r="N7" s="9">
        <v>70.0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9">
        <v>2011.0</v>
      </c>
      <c r="B8" s="10" t="s">
        <v>0</v>
      </c>
      <c r="C8" s="9">
        <v>21.0</v>
      </c>
      <c r="D8" s="9">
        <v>511.0</v>
      </c>
      <c r="E8" s="9">
        <v>880.0</v>
      </c>
      <c r="F8" s="9">
        <v>19.0</v>
      </c>
      <c r="G8" s="9">
        <v>26.9</v>
      </c>
      <c r="H8" s="9">
        <v>58.1</v>
      </c>
      <c r="I8" s="9">
        <v>144.0</v>
      </c>
      <c r="J8" s="9">
        <v>3.0</v>
      </c>
      <c r="K8" s="9">
        <v>1.0</v>
      </c>
      <c r="L8" s="9">
        <v>47.0</v>
      </c>
      <c r="M8" s="9">
        <v>10.0</v>
      </c>
      <c r="N8" s="9">
        <v>68.3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9">
        <v>2012.0</v>
      </c>
      <c r="B9" s="10" t="s">
        <v>0</v>
      </c>
      <c r="C9" s="9">
        <v>13.0</v>
      </c>
      <c r="D9" s="9">
        <v>447.0</v>
      </c>
      <c r="E9" s="9">
        <v>908.0</v>
      </c>
      <c r="F9" s="9">
        <v>11.0</v>
      </c>
      <c r="G9" s="9">
        <v>40.6</v>
      </c>
      <c r="H9" s="9">
        <v>49.2</v>
      </c>
      <c r="I9" s="9">
        <v>99.0</v>
      </c>
      <c r="J9" s="9">
        <v>5.0</v>
      </c>
      <c r="K9" s="9">
        <v>0.0</v>
      </c>
      <c r="L9" s="9">
        <v>45.0</v>
      </c>
      <c r="M9" s="9">
        <v>8.0</v>
      </c>
      <c r="N9" s="9">
        <v>74.9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>
        <v>2013.0</v>
      </c>
      <c r="B10" s="10" t="s">
        <v>0</v>
      </c>
      <c r="C10" s="9">
        <v>12.0</v>
      </c>
      <c r="D10" s="9">
        <v>459.0</v>
      </c>
      <c r="E10" s="9">
        <v>634.0</v>
      </c>
      <c r="F10" s="9">
        <v>10.0</v>
      </c>
      <c r="G10" s="9">
        <v>45.9</v>
      </c>
      <c r="H10" s="9">
        <v>72.4</v>
      </c>
      <c r="I10" s="9">
        <v>224.0</v>
      </c>
      <c r="J10" s="9">
        <v>0.0</v>
      </c>
      <c r="K10" s="9">
        <v>1.0</v>
      </c>
      <c r="L10" s="9">
        <v>56.0</v>
      </c>
      <c r="M10" s="9">
        <v>6.0</v>
      </c>
      <c r="N10" s="9">
        <v>65.1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>
        <v>2014.0</v>
      </c>
      <c r="B11" s="10" t="s">
        <v>0</v>
      </c>
      <c r="C11" s="9">
        <v>17.0</v>
      </c>
      <c r="D11" s="9">
        <v>534.0</v>
      </c>
      <c r="E11" s="9">
        <v>981.0</v>
      </c>
      <c r="F11" s="9">
        <v>16.0</v>
      </c>
      <c r="G11" s="9">
        <v>33.4</v>
      </c>
      <c r="H11" s="9">
        <v>54.4</v>
      </c>
      <c r="I11" s="9">
        <v>82.0</v>
      </c>
      <c r="J11" s="9">
        <v>5.0</v>
      </c>
      <c r="K11" s="9">
        <v>0.0</v>
      </c>
      <c r="L11" s="9">
        <v>76.0</v>
      </c>
      <c r="M11" s="9">
        <v>3.0</v>
      </c>
      <c r="N11" s="9">
        <v>76.2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>
        <v>2004.0</v>
      </c>
      <c r="B12" s="10" t="s">
        <v>1</v>
      </c>
      <c r="C12" s="9">
        <v>3.0</v>
      </c>
      <c r="D12" s="9">
        <v>19.0</v>
      </c>
      <c r="E12" s="9">
        <v>14.0</v>
      </c>
      <c r="F12" s="9">
        <v>2.0</v>
      </c>
      <c r="G12" s="9">
        <v>9.5</v>
      </c>
      <c r="H12" s="9">
        <v>135.7</v>
      </c>
      <c r="I12" s="9">
        <v>12.0</v>
      </c>
      <c r="J12" s="9">
        <v>0.0</v>
      </c>
      <c r="K12" s="9">
        <v>0.0</v>
      </c>
      <c r="L12" s="9">
        <v>2.0</v>
      </c>
      <c r="M12" s="9">
        <v>1.0</v>
      </c>
      <c r="N12" s="9">
        <v>42.9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>
        <v>2005.0</v>
      </c>
      <c r="B13" s="10" t="s">
        <v>1</v>
      </c>
      <c r="C13" s="9">
        <v>24.0</v>
      </c>
      <c r="D13" s="9">
        <v>895.0</v>
      </c>
      <c r="E13" s="9">
        <v>870.0</v>
      </c>
      <c r="F13" s="9">
        <v>18.0</v>
      </c>
      <c r="G13" s="9">
        <v>49.7</v>
      </c>
      <c r="H13" s="9">
        <v>102.9</v>
      </c>
      <c r="I13" s="9">
        <v>183.0</v>
      </c>
      <c r="J13" s="9">
        <v>3.0</v>
      </c>
      <c r="K13" s="9">
        <v>2.0</v>
      </c>
      <c r="L13" s="9">
        <v>67.0</v>
      </c>
      <c r="M13" s="9">
        <v>34.0</v>
      </c>
      <c r="N13" s="9">
        <v>47.9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>
        <v>2006.0</v>
      </c>
      <c r="B14" s="10" t="s">
        <v>1</v>
      </c>
      <c r="C14" s="9">
        <v>26.0</v>
      </c>
      <c r="D14" s="9">
        <v>821.0</v>
      </c>
      <c r="E14" s="9">
        <v>883.0</v>
      </c>
      <c r="F14" s="9">
        <v>20.0</v>
      </c>
      <c r="G14" s="9">
        <v>41.0</v>
      </c>
      <c r="H14" s="9">
        <v>93.0</v>
      </c>
      <c r="I14" s="9">
        <v>96.0</v>
      </c>
      <c r="J14" s="9">
        <v>7.0</v>
      </c>
      <c r="K14" s="9">
        <v>0.0</v>
      </c>
      <c r="L14" s="9">
        <v>81.0</v>
      </c>
      <c r="M14" s="9">
        <v>20.0</v>
      </c>
      <c r="N14" s="9">
        <v>51.3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>
        <v>2007.0</v>
      </c>
      <c r="B15" s="10" t="s">
        <v>1</v>
      </c>
      <c r="C15" s="9">
        <v>33.0</v>
      </c>
      <c r="D15" s="11">
        <v>1103.0</v>
      </c>
      <c r="E15" s="11">
        <v>1231.0</v>
      </c>
      <c r="F15" s="9">
        <v>25.0</v>
      </c>
      <c r="G15" s="9">
        <v>44.1</v>
      </c>
      <c r="H15" s="9">
        <v>89.6</v>
      </c>
      <c r="I15" s="9">
        <v>139.0</v>
      </c>
      <c r="J15" s="9">
        <v>7.0</v>
      </c>
      <c r="K15" s="9">
        <v>1.0</v>
      </c>
      <c r="L15" s="9">
        <v>87.0</v>
      </c>
      <c r="M15" s="9">
        <v>23.0</v>
      </c>
      <c r="N15" s="9">
        <v>45.8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>
        <v>2008.0</v>
      </c>
      <c r="B16" s="10" t="s">
        <v>1</v>
      </c>
      <c r="C16" s="9">
        <v>26.0</v>
      </c>
      <c r="D16" s="11">
        <v>1097.0</v>
      </c>
      <c r="E16" s="11">
        <v>1333.0</v>
      </c>
      <c r="F16" s="9">
        <v>19.0</v>
      </c>
      <c r="G16" s="9">
        <v>57.7</v>
      </c>
      <c r="H16" s="9">
        <v>82.3</v>
      </c>
      <c r="I16" s="9">
        <v>109.0</v>
      </c>
      <c r="J16" s="9">
        <v>8.0</v>
      </c>
      <c r="K16" s="9">
        <v>1.0</v>
      </c>
      <c r="L16" s="9">
        <v>74.0</v>
      </c>
      <c r="M16" s="9">
        <v>14.0</v>
      </c>
      <c r="N16" s="9">
        <v>49.4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>
        <v>2009.0</v>
      </c>
      <c r="B17" s="10" t="s">
        <v>1</v>
      </c>
      <c r="C17" s="9">
        <v>24.0</v>
      </c>
      <c r="D17" s="11">
        <v>1198.0</v>
      </c>
      <c r="E17" s="11">
        <v>1400.0</v>
      </c>
      <c r="F17" s="9">
        <v>17.0</v>
      </c>
      <c r="G17" s="9">
        <v>70.5</v>
      </c>
      <c r="H17" s="9">
        <v>85.6</v>
      </c>
      <c r="I17" s="9">
        <v>124.0</v>
      </c>
      <c r="J17" s="9">
        <v>9.0</v>
      </c>
      <c r="K17" s="9">
        <v>2.0</v>
      </c>
      <c r="L17" s="9">
        <v>79.0</v>
      </c>
      <c r="M17" s="9">
        <v>18.0</v>
      </c>
      <c r="N17" s="9">
        <v>45.6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>
        <v>2010.0</v>
      </c>
      <c r="B18" s="10" t="s">
        <v>1</v>
      </c>
      <c r="C18" s="9">
        <v>17.0</v>
      </c>
      <c r="D18" s="9">
        <v>600.0</v>
      </c>
      <c r="E18" s="9">
        <v>760.0</v>
      </c>
      <c r="F18" s="9">
        <v>13.0</v>
      </c>
      <c r="G18" s="9">
        <v>46.2</v>
      </c>
      <c r="H18" s="9">
        <v>78.9</v>
      </c>
      <c r="I18" s="9">
        <v>101.0</v>
      </c>
      <c r="J18" s="9">
        <v>3.0</v>
      </c>
      <c r="K18" s="9">
        <v>1.0</v>
      </c>
      <c r="L18" s="9">
        <v>52.0</v>
      </c>
      <c r="M18" s="9">
        <v>9.0</v>
      </c>
      <c r="N18" s="9">
        <v>52.1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>
        <v>2011.0</v>
      </c>
      <c r="B19" s="10" t="s">
        <v>1</v>
      </c>
      <c r="C19" s="9">
        <v>22.0</v>
      </c>
      <c r="D19" s="9">
        <v>764.0</v>
      </c>
      <c r="E19" s="9">
        <v>850.0</v>
      </c>
      <c r="F19" s="9">
        <v>13.0</v>
      </c>
      <c r="G19" s="9">
        <v>58.8</v>
      </c>
      <c r="H19" s="9">
        <v>89.9</v>
      </c>
      <c r="I19" s="9">
        <v>91.0</v>
      </c>
      <c r="J19" s="9">
        <v>6.0</v>
      </c>
      <c r="K19" s="9">
        <v>0.0</v>
      </c>
      <c r="L19" s="9">
        <v>59.0</v>
      </c>
      <c r="M19" s="9">
        <v>14.0</v>
      </c>
      <c r="N19" s="9">
        <v>46.8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>
        <v>2012.0</v>
      </c>
      <c r="B20" s="10" t="s">
        <v>1</v>
      </c>
      <c r="C20" s="9">
        <v>14.0</v>
      </c>
      <c r="D20" s="9">
        <v>524.0</v>
      </c>
      <c r="E20" s="9">
        <v>598.0</v>
      </c>
      <c r="F20" s="9">
        <v>8.0</v>
      </c>
      <c r="G20" s="9">
        <v>65.5</v>
      </c>
      <c r="H20" s="9">
        <v>87.6</v>
      </c>
      <c r="I20" s="9">
        <v>113.0</v>
      </c>
      <c r="J20" s="9">
        <v>3.0</v>
      </c>
      <c r="K20" s="9">
        <v>1.0</v>
      </c>
      <c r="L20" s="9">
        <v>37.0</v>
      </c>
      <c r="M20" s="9">
        <v>9.0</v>
      </c>
      <c r="N20" s="9">
        <v>48.0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>
        <v>2013.0</v>
      </c>
      <c r="B21" s="10" t="s">
        <v>1</v>
      </c>
      <c r="C21" s="9">
        <v>20.0</v>
      </c>
      <c r="D21" s="9">
        <v>753.0</v>
      </c>
      <c r="E21" s="9">
        <v>784.0</v>
      </c>
      <c r="F21" s="9">
        <v>12.0</v>
      </c>
      <c r="G21" s="9">
        <v>62.8</v>
      </c>
      <c r="H21" s="9">
        <v>96.0</v>
      </c>
      <c r="I21" s="9">
        <v>139.0</v>
      </c>
      <c r="J21" s="9">
        <v>5.0</v>
      </c>
      <c r="K21" s="9">
        <v>1.0</v>
      </c>
      <c r="L21" s="9">
        <v>67.0</v>
      </c>
      <c r="M21" s="9">
        <v>24.0</v>
      </c>
      <c r="N21" s="9">
        <v>50.0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>
        <v>2014.0</v>
      </c>
      <c r="B22" s="10" t="s">
        <v>1</v>
      </c>
      <c r="C22" s="9">
        <v>10.0</v>
      </c>
      <c r="D22" s="9">
        <v>418.0</v>
      </c>
      <c r="E22" s="9">
        <v>454.0</v>
      </c>
      <c r="F22" s="9">
        <v>8.0</v>
      </c>
      <c r="G22" s="9">
        <v>52.2</v>
      </c>
      <c r="H22" s="9">
        <v>92.1</v>
      </c>
      <c r="I22" s="9">
        <v>79.0</v>
      </c>
      <c r="J22" s="9">
        <v>5.0</v>
      </c>
      <c r="K22" s="9">
        <v>0.0</v>
      </c>
      <c r="L22" s="9">
        <v>32.0</v>
      </c>
      <c r="M22" s="9">
        <v>11.0</v>
      </c>
      <c r="N22" s="9">
        <v>47.1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>
        <v>2015.0</v>
      </c>
      <c r="B23" s="10" t="s">
        <v>1</v>
      </c>
      <c r="C23" s="9">
        <v>17.0</v>
      </c>
      <c r="D23" s="9">
        <v>640.0</v>
      </c>
      <c r="E23" s="9">
        <v>737.0</v>
      </c>
      <c r="F23" s="9">
        <v>14.0</v>
      </c>
      <c r="G23" s="9">
        <v>45.7</v>
      </c>
      <c r="H23" s="9">
        <v>86.8</v>
      </c>
      <c r="I23" s="9">
        <v>92.0</v>
      </c>
      <c r="J23" s="9">
        <v>4.0</v>
      </c>
      <c r="K23" s="9">
        <v>0.0</v>
      </c>
      <c r="L23" s="9">
        <v>50.0</v>
      </c>
      <c r="M23" s="9">
        <v>11.0</v>
      </c>
      <c r="N23" s="9">
        <v>47.6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>
        <v>2016.0</v>
      </c>
      <c r="B24" s="10" t="s">
        <v>1</v>
      </c>
      <c r="C24" s="9">
        <v>10.0</v>
      </c>
      <c r="D24" s="9">
        <v>278.0</v>
      </c>
      <c r="E24" s="9">
        <v>347.0</v>
      </c>
      <c r="F24" s="9">
        <v>10.0</v>
      </c>
      <c r="G24" s="9">
        <v>27.8</v>
      </c>
      <c r="H24" s="9">
        <v>80.1</v>
      </c>
      <c r="I24" s="9">
        <v>80.0</v>
      </c>
      <c r="J24" s="9">
        <v>1.0</v>
      </c>
      <c r="K24" s="9">
        <v>0.0</v>
      </c>
      <c r="L24" s="9">
        <v>18.0</v>
      </c>
      <c r="M24" s="9">
        <v>9.0</v>
      </c>
      <c r="N24" s="9">
        <v>53.6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>
        <v>2017.0</v>
      </c>
      <c r="B25" s="10" t="s">
        <v>1</v>
      </c>
      <c r="C25" s="9">
        <v>22.0</v>
      </c>
      <c r="D25" s="9">
        <v>788.0</v>
      </c>
      <c r="E25" s="9">
        <v>930.0</v>
      </c>
      <c r="F25" s="9">
        <v>13.0</v>
      </c>
      <c r="G25" s="9">
        <v>60.6</v>
      </c>
      <c r="H25" s="9">
        <v>84.7</v>
      </c>
      <c r="I25" s="9">
        <v>134.0</v>
      </c>
      <c r="J25" s="9">
        <v>6.0</v>
      </c>
      <c r="K25" s="9">
        <v>1.0</v>
      </c>
      <c r="L25" s="9">
        <v>60.0</v>
      </c>
      <c r="M25" s="9">
        <v>19.0</v>
      </c>
      <c r="N25" s="9">
        <v>50.1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>
        <v>2018.0</v>
      </c>
      <c r="B26" s="10" t="s">
        <v>1</v>
      </c>
      <c r="C26" s="9">
        <v>13.0</v>
      </c>
      <c r="D26" s="9">
        <v>275.0</v>
      </c>
      <c r="E26" s="9">
        <v>385.0</v>
      </c>
      <c r="F26" s="9">
        <v>11.0</v>
      </c>
      <c r="G26" s="9">
        <v>25.0</v>
      </c>
      <c r="H26" s="9">
        <v>71.4</v>
      </c>
      <c r="I26" s="9">
        <v>42.0</v>
      </c>
      <c r="J26" s="9">
        <v>0.0</v>
      </c>
      <c r="K26" s="9">
        <v>0.0</v>
      </c>
      <c r="L26" s="9">
        <v>19.0</v>
      </c>
      <c r="M26" s="9">
        <v>2.0</v>
      </c>
      <c r="N26" s="9">
        <v>52.2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>
        <v>2019.0</v>
      </c>
      <c r="B27" s="10" t="s">
        <v>1</v>
      </c>
      <c r="C27" s="9">
        <v>16.0</v>
      </c>
      <c r="D27" s="9">
        <v>600.0</v>
      </c>
      <c r="E27" s="9">
        <v>729.0</v>
      </c>
      <c r="F27" s="9">
        <v>10.0</v>
      </c>
      <c r="G27" s="9">
        <v>60.0</v>
      </c>
      <c r="H27" s="9">
        <v>82.3</v>
      </c>
      <c r="I27" s="9">
        <v>87.0</v>
      </c>
      <c r="J27" s="9">
        <v>6.0</v>
      </c>
      <c r="K27" s="9">
        <v>0.0</v>
      </c>
      <c r="L27" s="9">
        <v>42.0</v>
      </c>
      <c r="M27" s="9">
        <v>11.0</v>
      </c>
      <c r="N27" s="9">
        <v>50.9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>
        <v>2006.0</v>
      </c>
      <c r="B28" s="10" t="s">
        <v>2</v>
      </c>
      <c r="C28" s="9">
        <v>1.0</v>
      </c>
      <c r="D28" s="9">
        <v>0.0</v>
      </c>
      <c r="E28" s="9">
        <v>2.0</v>
      </c>
      <c r="F28" s="9">
        <v>1.0</v>
      </c>
      <c r="G28" s="9">
        <v>0.0</v>
      </c>
      <c r="H28" s="9">
        <v>0.0</v>
      </c>
      <c r="I28" s="9">
        <v>0.0</v>
      </c>
      <c r="J28" s="9">
        <v>0.0</v>
      </c>
      <c r="K28" s="9">
        <v>0.0</v>
      </c>
      <c r="L28" s="9">
        <v>0.0</v>
      </c>
      <c r="M28" s="9">
        <v>0.0</v>
      </c>
      <c r="N28" s="9">
        <v>100.0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>
        <v>2007.0</v>
      </c>
      <c r="B29" s="10" t="s">
        <v>2</v>
      </c>
      <c r="C29" s="9">
        <v>7.0</v>
      </c>
      <c r="D29" s="9">
        <v>163.0</v>
      </c>
      <c r="E29" s="9">
        <v>125.0</v>
      </c>
      <c r="F29" s="9">
        <v>5.0</v>
      </c>
      <c r="G29" s="9">
        <v>32.6</v>
      </c>
      <c r="H29" s="9">
        <v>130.4</v>
      </c>
      <c r="I29" s="9">
        <v>45.0</v>
      </c>
      <c r="J29" s="9">
        <v>0.0</v>
      </c>
      <c r="K29" s="9">
        <v>0.0</v>
      </c>
      <c r="L29" s="9">
        <v>13.0</v>
      </c>
      <c r="M29" s="9">
        <v>4.0</v>
      </c>
      <c r="N29" s="9">
        <v>26.4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>
        <v>2008.0</v>
      </c>
      <c r="B30" s="10" t="s">
        <v>2</v>
      </c>
      <c r="C30" s="9">
        <v>1.0</v>
      </c>
      <c r="D30" s="9">
        <v>9.0</v>
      </c>
      <c r="E30" s="9">
        <v>27.0</v>
      </c>
      <c r="F30" s="9">
        <v>1.0</v>
      </c>
      <c r="G30" s="9">
        <v>9.0</v>
      </c>
      <c r="H30" s="9">
        <v>33.3</v>
      </c>
      <c r="I30" s="9">
        <v>9.0</v>
      </c>
      <c r="J30" s="9">
        <v>0.0</v>
      </c>
      <c r="K30" s="9">
        <v>0.0</v>
      </c>
      <c r="L30" s="9">
        <v>0.0</v>
      </c>
      <c r="M30" s="9">
        <v>0.0</v>
      </c>
      <c r="N30" s="9">
        <v>66.7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>
        <v>2009.0</v>
      </c>
      <c r="B31" s="10" t="s">
        <v>2</v>
      </c>
      <c r="C31" s="9">
        <v>10.0</v>
      </c>
      <c r="D31" s="9">
        <v>184.0</v>
      </c>
      <c r="E31" s="9">
        <v>182.0</v>
      </c>
      <c r="F31" s="9">
        <v>8.0</v>
      </c>
      <c r="G31" s="9">
        <v>23.0</v>
      </c>
      <c r="H31" s="9">
        <v>101.1</v>
      </c>
      <c r="I31" s="9">
        <v>46.0</v>
      </c>
      <c r="J31" s="9">
        <v>0.0</v>
      </c>
      <c r="K31" s="9">
        <v>0.0</v>
      </c>
      <c r="L31" s="9">
        <v>10.0</v>
      </c>
      <c r="M31" s="9">
        <v>3.0</v>
      </c>
      <c r="N31" s="9">
        <v>35.2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>
        <v>2010.0</v>
      </c>
      <c r="B32" s="10" t="s">
        <v>2</v>
      </c>
      <c r="C32" s="9">
        <v>5.0</v>
      </c>
      <c r="D32" s="9">
        <v>85.0</v>
      </c>
      <c r="E32" s="9">
        <v>57.0</v>
      </c>
      <c r="F32" s="9">
        <v>2.0</v>
      </c>
      <c r="G32" s="9">
        <v>42.5</v>
      </c>
      <c r="H32" s="9">
        <v>149.1</v>
      </c>
      <c r="I32" s="9">
        <v>29.0</v>
      </c>
      <c r="J32" s="9">
        <v>0.0</v>
      </c>
      <c r="K32" s="9">
        <v>0.0</v>
      </c>
      <c r="L32" s="9">
        <v>3.0</v>
      </c>
      <c r="M32" s="9">
        <v>6.0</v>
      </c>
      <c r="N32" s="9">
        <v>29.8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>
        <v>2011.0</v>
      </c>
      <c r="B33" s="10" t="s">
        <v>2</v>
      </c>
      <c r="C33" s="9">
        <v>3.0</v>
      </c>
      <c r="D33" s="9">
        <v>39.0</v>
      </c>
      <c r="E33" s="9">
        <v>45.0</v>
      </c>
      <c r="F33" s="9">
        <v>2.0</v>
      </c>
      <c r="G33" s="9">
        <v>19.5</v>
      </c>
      <c r="H33" s="9">
        <v>86.7</v>
      </c>
      <c r="I33" s="9">
        <v>21.0</v>
      </c>
      <c r="J33" s="9">
        <v>0.0</v>
      </c>
      <c r="K33" s="9">
        <v>0.0</v>
      </c>
      <c r="L33" s="9">
        <v>1.0</v>
      </c>
      <c r="M33" s="9">
        <v>1.0</v>
      </c>
      <c r="N33" s="9">
        <v>44.4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>
        <v>2012.0</v>
      </c>
      <c r="B34" s="10" t="s">
        <v>2</v>
      </c>
      <c r="C34" s="9">
        <v>12.0</v>
      </c>
      <c r="D34" s="9">
        <v>268.0</v>
      </c>
      <c r="E34" s="9">
        <v>213.0</v>
      </c>
      <c r="F34" s="9">
        <v>5.0</v>
      </c>
      <c r="G34" s="9">
        <v>53.6</v>
      </c>
      <c r="H34" s="9">
        <v>125.8</v>
      </c>
      <c r="I34" s="9">
        <v>48.0</v>
      </c>
      <c r="J34" s="9">
        <v>0.0</v>
      </c>
      <c r="K34" s="9">
        <v>0.0</v>
      </c>
      <c r="L34" s="9">
        <v>24.0</v>
      </c>
      <c r="M34" s="9">
        <v>6.0</v>
      </c>
      <c r="N34" s="9">
        <v>36.6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>
        <v>2013.0</v>
      </c>
      <c r="B35" s="10" t="s">
        <v>2</v>
      </c>
      <c r="C35" s="9">
        <v>1.0</v>
      </c>
      <c r="D35" s="9">
        <v>24.0</v>
      </c>
      <c r="E35" s="9">
        <v>21.0</v>
      </c>
      <c r="F35" s="9">
        <v>0.0</v>
      </c>
      <c r="G35" s="9" t="s">
        <v>15</v>
      </c>
      <c r="H35" s="9">
        <v>114.3</v>
      </c>
      <c r="I35" s="9">
        <v>24.0</v>
      </c>
      <c r="J35" s="9">
        <v>0.0</v>
      </c>
      <c r="K35" s="9">
        <v>0.0</v>
      </c>
      <c r="L35" s="9">
        <v>2.0</v>
      </c>
      <c r="M35" s="9">
        <v>0.0</v>
      </c>
      <c r="N35" s="9">
        <v>23.8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>
        <v>2014.0</v>
      </c>
      <c r="B36" s="10" t="s">
        <v>2</v>
      </c>
      <c r="C36" s="9">
        <v>5.0</v>
      </c>
      <c r="D36" s="9">
        <v>77.0</v>
      </c>
      <c r="E36" s="9">
        <v>58.0</v>
      </c>
      <c r="F36" s="9">
        <v>1.0</v>
      </c>
      <c r="G36" s="9">
        <v>77.0</v>
      </c>
      <c r="H36" s="9">
        <v>132.8</v>
      </c>
      <c r="I36" s="9">
        <v>27.0</v>
      </c>
      <c r="J36" s="9">
        <v>0.0</v>
      </c>
      <c r="K36" s="9">
        <v>0.0</v>
      </c>
      <c r="L36" s="9">
        <v>4.0</v>
      </c>
      <c r="M36" s="9">
        <v>4.0</v>
      </c>
      <c r="N36" s="9">
        <v>34.5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>
        <v>2015.0</v>
      </c>
      <c r="B37" s="10" t="s">
        <v>2</v>
      </c>
      <c r="C37" s="9">
        <v>2.0</v>
      </c>
      <c r="D37" s="9">
        <v>25.0</v>
      </c>
      <c r="E37" s="9">
        <v>20.0</v>
      </c>
      <c r="F37" s="9">
        <v>1.0</v>
      </c>
      <c r="G37" s="9">
        <v>25.0</v>
      </c>
      <c r="H37" s="9">
        <v>125.0</v>
      </c>
      <c r="I37" s="9">
        <v>20.0</v>
      </c>
      <c r="J37" s="9">
        <v>0.0</v>
      </c>
      <c r="K37" s="9">
        <v>0.0</v>
      </c>
      <c r="L37" s="9">
        <v>2.0</v>
      </c>
      <c r="M37" s="9">
        <v>1.0</v>
      </c>
      <c r="N37" s="9">
        <v>30.0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>
        <v>2016.0</v>
      </c>
      <c r="B38" s="10" t="s">
        <v>2</v>
      </c>
      <c r="C38" s="9">
        <v>16.0</v>
      </c>
      <c r="D38" s="9">
        <v>238.0</v>
      </c>
      <c r="E38" s="9">
        <v>159.0</v>
      </c>
      <c r="F38" s="9">
        <v>5.0</v>
      </c>
      <c r="G38" s="9">
        <v>47.6</v>
      </c>
      <c r="H38" s="9">
        <v>149.7</v>
      </c>
      <c r="I38" s="9">
        <v>43.0</v>
      </c>
      <c r="J38" s="9">
        <v>0.0</v>
      </c>
      <c r="K38" s="9">
        <v>0.0</v>
      </c>
      <c r="L38" s="9">
        <v>16.0</v>
      </c>
      <c r="M38" s="9">
        <v>9.0</v>
      </c>
      <c r="N38" s="9">
        <v>23.9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>
        <v>2017.0</v>
      </c>
      <c r="B39" s="10" t="s">
        <v>2</v>
      </c>
      <c r="C39" s="9">
        <v>11.0</v>
      </c>
      <c r="D39" s="9">
        <v>252.0</v>
      </c>
      <c r="E39" s="9">
        <v>182.0</v>
      </c>
      <c r="F39" s="9">
        <v>6.0</v>
      </c>
      <c r="G39" s="9">
        <v>42.0</v>
      </c>
      <c r="H39" s="9">
        <v>138.5</v>
      </c>
      <c r="I39" s="9">
        <v>56.0</v>
      </c>
      <c r="J39" s="9">
        <v>1.0</v>
      </c>
      <c r="K39" s="9">
        <v>0.0</v>
      </c>
      <c r="L39" s="9">
        <v>19.0</v>
      </c>
      <c r="M39" s="9">
        <v>9.0</v>
      </c>
      <c r="N39" s="9">
        <v>26.9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>
        <v>2018.0</v>
      </c>
      <c r="B40" s="10" t="s">
        <v>2</v>
      </c>
      <c r="C40" s="9">
        <v>5.0</v>
      </c>
      <c r="D40" s="9">
        <v>123.0</v>
      </c>
      <c r="E40" s="9">
        <v>79.0</v>
      </c>
      <c r="F40" s="9">
        <v>3.0</v>
      </c>
      <c r="G40" s="9">
        <v>41.0</v>
      </c>
      <c r="H40" s="9">
        <v>155.7</v>
      </c>
      <c r="I40" s="9">
        <v>52.0</v>
      </c>
      <c r="J40" s="9">
        <v>1.0</v>
      </c>
      <c r="K40" s="9">
        <v>0.0</v>
      </c>
      <c r="L40" s="9">
        <v>13.0</v>
      </c>
      <c r="M40" s="9">
        <v>4.0</v>
      </c>
      <c r="N40" s="9">
        <v>29.1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>
        <v>2019.0</v>
      </c>
      <c r="B41" s="10" t="s">
        <v>2</v>
      </c>
      <c r="C41" s="9">
        <v>5.0</v>
      </c>
      <c r="D41" s="9">
        <v>130.0</v>
      </c>
      <c r="E41" s="9">
        <v>112.0</v>
      </c>
      <c r="F41" s="9">
        <v>3.0</v>
      </c>
      <c r="G41" s="9">
        <v>43.3</v>
      </c>
      <c r="H41" s="9">
        <v>116.1</v>
      </c>
      <c r="I41" s="9">
        <v>40.0</v>
      </c>
      <c r="J41" s="9">
        <v>0.0</v>
      </c>
      <c r="K41" s="9">
        <v>0.0</v>
      </c>
      <c r="L41" s="9">
        <v>9.0</v>
      </c>
      <c r="M41" s="9">
        <v>5.0</v>
      </c>
      <c r="N41" s="9">
        <v>39.3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