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rendanmc/Library/Mobile Documents/com~apple~CloudDocs/Lucky Aviation/ProStandards/"/>
    </mc:Choice>
  </mc:AlternateContent>
  <xr:revisionPtr revIDLastSave="0" documentId="13_ncr:1_{0E158466-59B1-D343-AAAE-2F21CEFE59F7}" xr6:coauthVersionLast="47" xr6:coauthVersionMax="47" xr10:uidLastSave="{00000000-0000-0000-0000-000000000000}"/>
  <bookViews>
    <workbookView xWindow="0" yWindow="500" windowWidth="28800" windowHeight="16260" xr2:uid="{2A735F61-3D5F-1A4F-A3BE-358E092C1A86}"/>
  </bookViews>
  <sheets>
    <sheet name="Document Information" sheetId="8" r:id="rId1"/>
    <sheet name="Runway Performance" sheetId="6" r:id="rId2"/>
    <sheet name="Wind and Temperature" sheetId="1" r:id="rId3"/>
    <sheet name="TOC" sheetId="7" r:id="rId4"/>
    <sheet name="Cruise Performance" sheetId="5" r:id="rId5"/>
    <sheet name="TOD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7" l="1"/>
  <c r="H18" i="7"/>
  <c r="H14" i="7"/>
  <c r="K44" i="10"/>
  <c r="K43" i="10"/>
  <c r="K42" i="10"/>
  <c r="K41" i="10"/>
  <c r="K40" i="10"/>
  <c r="K39" i="10"/>
  <c r="K38" i="10"/>
  <c r="K37" i="10"/>
  <c r="K36" i="10"/>
  <c r="K35" i="10"/>
  <c r="K34" i="10"/>
  <c r="H16" i="10" s="1"/>
  <c r="H19" i="10" s="1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C20" i="10"/>
  <c r="E21" i="10" s="1"/>
  <c r="D20" i="10"/>
  <c r="H14" i="10" s="1"/>
  <c r="D15" i="7"/>
  <c r="D17" i="7"/>
  <c r="F11" i="10"/>
  <c r="G11" i="10" s="1"/>
  <c r="H11" i="10" s="1"/>
  <c r="G7" i="10" s="1"/>
  <c r="K7" i="10" s="1"/>
  <c r="C11" i="10"/>
  <c r="D11" i="10" s="1"/>
  <c r="E11" i="10" s="1"/>
  <c r="D7" i="10" s="1"/>
  <c r="I7" i="10" s="1"/>
  <c r="F10" i="10"/>
  <c r="G10" i="10" s="1"/>
  <c r="H10" i="10" s="1"/>
  <c r="G6" i="10" s="1"/>
  <c r="K6" i="10" s="1"/>
  <c r="C10" i="10"/>
  <c r="D10" i="10" s="1"/>
  <c r="E10" i="10" s="1"/>
  <c r="D6" i="10" s="1"/>
  <c r="I6" i="10" s="1"/>
  <c r="F9" i="10"/>
  <c r="G9" i="10" s="1"/>
  <c r="H9" i="10" s="1"/>
  <c r="G5" i="10" s="1"/>
  <c r="K5" i="10" s="1"/>
  <c r="C9" i="10"/>
  <c r="D9" i="10" s="1"/>
  <c r="E9" i="10" s="1"/>
  <c r="D5" i="10" s="1"/>
  <c r="I5" i="10" s="1"/>
  <c r="K4" i="10"/>
  <c r="I4" i="10"/>
  <c r="F10" i="7"/>
  <c r="I14" i="1"/>
  <c r="I15" i="1" s="1"/>
  <c r="I16" i="1" s="1"/>
  <c r="I13" i="1" s="1"/>
  <c r="C20" i="7"/>
  <c r="E21" i="7" s="1"/>
  <c r="I4" i="7"/>
  <c r="K4" i="7"/>
  <c r="J4" i="7" s="1"/>
  <c r="F11" i="7"/>
  <c r="G11" i="7" s="1"/>
  <c r="H11" i="7" s="1"/>
  <c r="G7" i="7" s="1"/>
  <c r="K7" i="7" s="1"/>
  <c r="G10" i="7"/>
  <c r="H10" i="7" s="1"/>
  <c r="G6" i="7" s="1"/>
  <c r="K6" i="7" s="1"/>
  <c r="F9" i="7"/>
  <c r="G9" i="7" s="1"/>
  <c r="H9" i="7" s="1"/>
  <c r="G5" i="7" s="1"/>
  <c r="K5" i="7" s="1"/>
  <c r="C10" i="7"/>
  <c r="D10" i="7" s="1"/>
  <c r="E10" i="7" s="1"/>
  <c r="D6" i="7" s="1"/>
  <c r="I6" i="7" s="1"/>
  <c r="C11" i="7"/>
  <c r="D11" i="7" s="1"/>
  <c r="E11" i="7" s="1"/>
  <c r="D7" i="7" s="1"/>
  <c r="I7" i="7" s="1"/>
  <c r="C9" i="7"/>
  <c r="D9" i="7" s="1"/>
  <c r="E9" i="7" s="1"/>
  <c r="D5" i="7" s="1"/>
  <c r="I5" i="7" s="1"/>
  <c r="J5" i="7" s="1"/>
  <c r="C14" i="6"/>
  <c r="F8" i="6"/>
  <c r="C15" i="6"/>
  <c r="H11" i="6"/>
  <c r="F13" i="6" s="1"/>
  <c r="D11" i="6"/>
  <c r="C11" i="6"/>
  <c r="H10" i="6"/>
  <c r="F10" i="6" s="1"/>
  <c r="D10" i="6"/>
  <c r="C10" i="6"/>
  <c r="C15" i="5"/>
  <c r="C14" i="5"/>
  <c r="I11" i="5"/>
  <c r="H11" i="5"/>
  <c r="E11" i="5"/>
  <c r="D11" i="5"/>
  <c r="C11" i="5"/>
  <c r="I10" i="5"/>
  <c r="I12" i="5" s="1"/>
  <c r="H10" i="5"/>
  <c r="E10" i="5"/>
  <c r="D10" i="5"/>
  <c r="C10" i="5"/>
  <c r="F8" i="5"/>
  <c r="E4" i="1"/>
  <c r="F4" i="1" s="1"/>
  <c r="G4" i="1" s="1"/>
  <c r="E13" i="1"/>
  <c r="F13" i="1" s="1"/>
  <c r="H13" i="1" s="1"/>
  <c r="E7" i="1"/>
  <c r="E5" i="1"/>
  <c r="F5" i="1" s="1"/>
  <c r="J7" i="7" l="1"/>
  <c r="J6" i="7"/>
  <c r="J4" i="10"/>
  <c r="D15" i="10"/>
  <c r="D17" i="10" s="1"/>
  <c r="E22" i="10" s="1"/>
  <c r="E23" i="10" s="1"/>
  <c r="E24" i="10" s="1"/>
  <c r="D19" i="10" s="1"/>
  <c r="H17" i="10"/>
  <c r="H22" i="10"/>
  <c r="H20" i="10" s="1"/>
  <c r="C21" i="10"/>
  <c r="J6" i="10"/>
  <c r="J5" i="10"/>
  <c r="J7" i="10"/>
  <c r="E22" i="7"/>
  <c r="E23" i="7" s="1"/>
  <c r="E24" i="7" s="1"/>
  <c r="D19" i="7" s="1"/>
  <c r="F14" i="6"/>
  <c r="F15" i="6" s="1"/>
  <c r="H14" i="6"/>
  <c r="C21" i="7"/>
  <c r="C22" i="7" s="1"/>
  <c r="C23" i="7" s="1"/>
  <c r="C24" i="7" s="1"/>
  <c r="D18" i="7" s="1"/>
  <c r="F13" i="5"/>
  <c r="F14" i="5" s="1"/>
  <c r="F15" i="5" s="1"/>
  <c r="F10" i="5"/>
  <c r="G13" i="5"/>
  <c r="G10" i="5"/>
  <c r="G11" i="5" s="1"/>
  <c r="G12" i="5" s="1"/>
  <c r="F11" i="5"/>
  <c r="F12" i="5" s="1"/>
  <c r="J13" i="1"/>
  <c r="F11" i="6"/>
  <c r="F12" i="6" s="1"/>
  <c r="D14" i="6"/>
  <c r="D12" i="6"/>
  <c r="C12" i="6"/>
  <c r="D13" i="6" s="1"/>
  <c r="H12" i="6"/>
  <c r="E12" i="5"/>
  <c r="E14" i="5"/>
  <c r="G14" i="5"/>
  <c r="G15" i="5" s="1"/>
  <c r="D12" i="5"/>
  <c r="H14" i="5"/>
  <c r="I14" i="5"/>
  <c r="C12" i="5"/>
  <c r="D14" i="5"/>
  <c r="H12" i="5"/>
  <c r="H4" i="1"/>
  <c r="I4" i="1" s="1"/>
  <c r="G5" i="1"/>
  <c r="H5" i="1" s="1"/>
  <c r="I5" i="1" s="1"/>
  <c r="C22" i="10" l="1"/>
  <c r="C23" i="10" s="1"/>
  <c r="C24" i="10" s="1"/>
  <c r="D18" i="10" s="1"/>
  <c r="D15" i="6"/>
  <c r="D16" i="6" s="1"/>
  <c r="H13" i="6"/>
  <c r="H15" i="6" s="1"/>
  <c r="H16" i="6" s="1"/>
  <c r="F16" i="6" s="1"/>
  <c r="F17" i="6" s="1"/>
  <c r="F18" i="6" s="1"/>
  <c r="F4" i="6" s="1"/>
  <c r="D13" i="5"/>
  <c r="D15" i="5" s="1"/>
  <c r="D16" i="5" s="1"/>
  <c r="D17" i="5" s="1"/>
  <c r="H13" i="5"/>
  <c r="H15" i="5" s="1"/>
  <c r="H16" i="5" s="1"/>
  <c r="H17" i="5" s="1"/>
  <c r="I13" i="5"/>
  <c r="I15" i="5" s="1"/>
  <c r="I16" i="5" s="1"/>
  <c r="I17" i="5" s="1"/>
  <c r="E13" i="5"/>
  <c r="E15" i="5" s="1"/>
  <c r="E16" i="5" s="1"/>
  <c r="E17" i="5" s="1"/>
  <c r="F16" i="5" l="1"/>
  <c r="F17" i="5" s="1"/>
  <c r="F18" i="5" s="1"/>
  <c r="H4" i="5" s="1"/>
  <c r="G16" i="5"/>
  <c r="G17" i="5" s="1"/>
  <c r="G18" i="5" s="1"/>
  <c r="I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McReynolds, Brendan</author>
  </authors>
  <commentList>
    <comment ref="D19" authorId="0" shapeId="0" xr:uid="{470E863F-D423-4C4C-BB85-6B318BBAC1D5}">
      <text>
        <r>
          <rPr>
            <b/>
            <sz val="10"/>
            <color rgb="FF000000"/>
            <rFont val="Tahoma"/>
            <family val="2"/>
          </rPr>
          <t>McReynolds, Brendan: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Value changes if wind increases or decreases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McReynolds, Brendan</author>
  </authors>
  <commentList>
    <comment ref="D19" authorId="0" shapeId="0" xr:uid="{0758A44E-D9FA-5C45-B344-95182D5AEA97}">
      <text>
        <r>
          <rPr>
            <b/>
            <sz val="10"/>
            <color rgb="FF000000"/>
            <rFont val="Tahoma"/>
            <family val="2"/>
          </rPr>
          <t>McReynolds, Brendan: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Value changes if wind increases or decreases
</t>
        </r>
      </text>
    </comment>
  </commentList>
</comments>
</file>

<file path=xl/sharedStrings.xml><?xml version="1.0" encoding="utf-8"?>
<sst xmlns="http://schemas.openxmlformats.org/spreadsheetml/2006/main" count="136" uniqueCount="66">
  <si>
    <t>Direction</t>
  </si>
  <si>
    <t>Temperature</t>
  </si>
  <si>
    <t>Velocity</t>
  </si>
  <si>
    <t>A</t>
  </si>
  <si>
    <t>B</t>
  </si>
  <si>
    <t>Out</t>
  </si>
  <si>
    <t>Difference</t>
  </si>
  <si>
    <t>Altitude</t>
  </si>
  <si>
    <t>Result</t>
  </si>
  <si>
    <t>ISA</t>
  </si>
  <si>
    <t>Alt to find</t>
  </si>
  <si>
    <t>Alt temp</t>
  </si>
  <si>
    <t>DALR</t>
  </si>
  <si>
    <t>Change</t>
  </si>
  <si>
    <t>For</t>
  </si>
  <si>
    <t>From</t>
  </si>
  <si>
    <t>Δ °/ft</t>
  </si>
  <si>
    <t>Δ</t>
  </si>
  <si>
    <t>Temp</t>
  </si>
  <si>
    <t>TAS</t>
  </si>
  <si>
    <t>speed</t>
  </si>
  <si>
    <t>fuel</t>
  </si>
  <si>
    <t>Alt</t>
  </si>
  <si>
    <t>Temp a</t>
  </si>
  <si>
    <t>Temp b</t>
  </si>
  <si>
    <t>gph</t>
  </si>
  <si>
    <t>differential</t>
  </si>
  <si>
    <t>Cruise alt</t>
  </si>
  <si>
    <t>Δ /ft</t>
  </si>
  <si>
    <t>Temp diff</t>
  </si>
  <si>
    <t>FF</t>
  </si>
  <si>
    <t>OAT</t>
  </si>
  <si>
    <t>Output</t>
  </si>
  <si>
    <t>Cruise Alt</t>
  </si>
  <si>
    <t>Wind</t>
  </si>
  <si>
    <t>Runway Alt</t>
  </si>
  <si>
    <t>Distance</t>
  </si>
  <si>
    <t>Rwy alt</t>
  </si>
  <si>
    <t>time</t>
  </si>
  <si>
    <t>distance</t>
  </si>
  <si>
    <t>alt</t>
  </si>
  <si>
    <t>Bottom</t>
  </si>
  <si>
    <t>Top</t>
  </si>
  <si>
    <t>Total</t>
  </si>
  <si>
    <t>Takeoff</t>
  </si>
  <si>
    <t>2/3rd</t>
  </si>
  <si>
    <t>Cruise</t>
  </si>
  <si>
    <t>Winds</t>
  </si>
  <si>
    <t>Created by Lucky Aviation // Pro Standards</t>
  </si>
  <si>
    <t>OAT ISA</t>
  </si>
  <si>
    <t>Time Fuel &amp; Distance</t>
  </si>
  <si>
    <t>1/2 Alt</t>
  </si>
  <si>
    <t>FPA</t>
  </si>
  <si>
    <t>FPNM</t>
  </si>
  <si>
    <t>TPA</t>
  </si>
  <si>
    <t>Alt to lose</t>
  </si>
  <si>
    <t>TOD</t>
  </si>
  <si>
    <t>GS</t>
  </si>
  <si>
    <t>Dis Alt Loss</t>
  </si>
  <si>
    <t>ROD FPM</t>
  </si>
  <si>
    <t>Time</t>
  </si>
  <si>
    <t>Rate</t>
  </si>
  <si>
    <t>TOD/FPM</t>
  </si>
  <si>
    <t>1/2 Altitude Winds &amp; Temp</t>
  </si>
  <si>
    <t>Distance/Rate/Time</t>
  </si>
  <si>
    <t>2/3rd Altitude Winds &amp;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</si>
</sst>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65" fontId="0" fillId="0" borderId="0" xfId="0" applyNumberFormat="1"/>
    <xf numFmtId="1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 applyAlignment="1">
      <alignment horizontal="left"/>
    </xf>
    <xf numFmtId="165" fontId="0" fillId="0" borderId="0" xfId="0" applyNumberFormat="1" applyFill="1"/>
    <xf numFmtId="1" fontId="0" fillId="0" borderId="0" xfId="0" applyNumberFormat="1" applyFill="1"/>
    <xf numFmtId="0" fontId="0" fillId="0" borderId="1" xfId="0" applyBorder="1"/>
    <xf numFmtId="0" fontId="0" fillId="0" borderId="2" xfId="0" applyBorder="1"/>
    <xf numFmtId="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 applyAlignment="1">
      <alignment horizontal="left"/>
    </xf>
    <xf numFmtId="165" fontId="0" fillId="0" borderId="0" xfId="0" applyNumberFormat="1" applyBorder="1"/>
    <xf numFmtId="1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2" borderId="6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165" fontId="0" fillId="3" borderId="8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7" xfId="0" applyNumberFormat="1" applyBorder="1"/>
    <xf numFmtId="0" fontId="1" fillId="0" borderId="1" xfId="0" applyFont="1" applyBorder="1"/>
    <xf numFmtId="0" fontId="0" fillId="2" borderId="6" xfId="0" applyFill="1" applyBorder="1" applyAlignment="1"/>
    <xf numFmtId="0" fontId="0" fillId="2" borderId="8" xfId="0" applyFill="1" applyBorder="1" applyAlignment="1"/>
    <xf numFmtId="0" fontId="0" fillId="0" borderId="0" xfId="0" applyFill="1" applyBorder="1"/>
    <xf numFmtId="0" fontId="0" fillId="0" borderId="5" xfId="0" applyFill="1" applyBorder="1"/>
    <xf numFmtId="2" fontId="0" fillId="0" borderId="0" xfId="0" applyNumberFormat="1" applyBorder="1"/>
    <xf numFmtId="164" fontId="0" fillId="0" borderId="2" xfId="0" applyNumberFormat="1" applyBorder="1"/>
    <xf numFmtId="165" fontId="0" fillId="0" borderId="2" xfId="0" applyNumberFormat="1" applyBorder="1" applyAlignment="1">
      <alignment horizontal="left"/>
    </xf>
    <xf numFmtId="0" fontId="0" fillId="3" borderId="0" xfId="0" applyFill="1" applyBorder="1"/>
    <xf numFmtId="2" fontId="0" fillId="3" borderId="0" xfId="0" applyNumberFormat="1" applyFill="1" applyBorder="1"/>
    <xf numFmtId="0" fontId="0" fillId="0" borderId="4" xfId="0" applyFill="1" applyBorder="1"/>
    <xf numFmtId="1" fontId="0" fillId="3" borderId="5" xfId="0" applyNumberFormat="1" applyFill="1" applyBorder="1"/>
    <xf numFmtId="1" fontId="0" fillId="3" borderId="7" xfId="0" applyNumberFormat="1" applyFont="1" applyFill="1" applyBorder="1"/>
    <xf numFmtId="2" fontId="0" fillId="0" borderId="10" xfId="0" applyNumberFormat="1" applyFill="1" applyBorder="1"/>
    <xf numFmtId="0" fontId="0" fillId="0" borderId="11" xfId="0" applyBorder="1"/>
    <xf numFmtId="1" fontId="0" fillId="0" borderId="1" xfId="0" applyNumberFormat="1" applyBorder="1"/>
    <xf numFmtId="0" fontId="0" fillId="0" borderId="12" xfId="0" applyFill="1" applyBorder="1"/>
    <xf numFmtId="0" fontId="0" fillId="2" borderId="13" xfId="0" applyFill="1" applyBorder="1"/>
    <xf numFmtId="0" fontId="0" fillId="0" borderId="6" xfId="0" applyFill="1" applyBorder="1"/>
    <xf numFmtId="2" fontId="0" fillId="3" borderId="7" xfId="0" applyNumberFormat="1" applyFill="1" applyBorder="1"/>
    <xf numFmtId="0" fontId="0" fillId="0" borderId="8" xfId="0" applyFill="1" applyBorder="1"/>
    <xf numFmtId="164" fontId="0" fillId="0" borderId="5" xfId="0" applyNumberFormat="1" applyBorder="1"/>
    <xf numFmtId="165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3" borderId="0" xfId="0" applyNumberForma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165" fontId="0" fillId="3" borderId="5" xfId="0" applyNumberFormat="1" applyFill="1" applyBorder="1"/>
    <xf numFmtId="165" fontId="0" fillId="0" borderId="4" xfId="0" applyNumberFormat="1" applyBorder="1"/>
    <xf numFmtId="1" fontId="0" fillId="0" borderId="5" xfId="0" applyNumberFormat="1" applyBorder="1"/>
    <xf numFmtId="165" fontId="0" fillId="0" borderId="6" xfId="0" applyNumberFormat="1" applyBorder="1"/>
    <xf numFmtId="164" fontId="0" fillId="3" borderId="8" xfId="0" applyNumberFormat="1" applyFill="1" applyBorder="1"/>
    <xf numFmtId="2" fontId="0" fillId="3" borderId="3" xfId="0" applyNumberFormat="1" applyFill="1" applyBorder="1"/>
    <xf numFmtId="1" fontId="0" fillId="3" borderId="8" xfId="0" applyNumberFormat="1" applyFill="1" applyBorder="1"/>
    <xf numFmtId="1" fontId="0" fillId="3" borderId="3" xfId="0" applyNumberFormat="1" applyFill="1" applyBorder="1"/>
    <xf numFmtId="0" fontId="0" fillId="0" borderId="14" xfId="0" applyBorder="1"/>
    <xf numFmtId="0" fontId="0" fillId="0" borderId="15" xfId="0" applyBorder="1"/>
    <xf numFmtId="2" fontId="0" fillId="2" borderId="3" xfId="0" applyNumberFormat="1" applyFill="1" applyBorder="1"/>
    <xf numFmtId="2" fontId="0" fillId="3" borderId="5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5" fontId="0" fillId="3" borderId="7" xfId="0" applyNumberFormat="1" applyFont="1" applyFill="1" applyBorder="1" applyAlignment="1">
      <alignment horizontal="center"/>
    </xf>
    <xf numFmtId="165" fontId="0" fillId="3" borderId="8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288A-67DF-F34D-BEDD-6BB1A65AC036}">
  <sheetPr codeName="Sheet1"/>
  <dimension ref="A1:B2"/>
  <sheetViews>
    <sheetView tabSelected="1" workbookViewId="0">
      <selection activeCell="B6" sqref="B6"/>
    </sheetView>
  </sheetViews>
  <sheetFormatPr baseColWidth="10" defaultRowHeight="16" x14ac:dyDescent="0.2"/>
  <sheetData>
    <row r="1" spans="1:2" x14ac:dyDescent="0.2">
      <c r="A1">
        <v>1.1000000000000001</v>
      </c>
      <c r="B1">
        <v>2022022</v>
      </c>
    </row>
    <row r="2" spans="1:2" x14ac:dyDescent="0.2">
      <c r="A2" t="s">
        <v>48</v>
      </c>
    </row>
  </sheetData>
  <sheetProtection algorithmName="SHA-512" hashValue="oFiI99Xg6a0MQj1zxBja9hSPpdhMRNHNzW4I97IAWOG5g/KMDa/PGHVNd9JfLPBs+6ZGRVWGTNOcnL7c6tfsiw==" saltValue="8jODsH7XwpzBZPwZDdTtCQ==" spinCount="100000" sheet="1" objects="1" scenarios="1"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D1602-2978-F743-AF84-813BE094AD41}">
  <sheetPr codeName="Sheet3"/>
  <dimension ref="B2:I30"/>
  <sheetViews>
    <sheetView zoomScale="120" zoomScaleNormal="120" workbookViewId="0">
      <selection activeCell="E6" sqref="E6"/>
    </sheetView>
  </sheetViews>
  <sheetFormatPr baseColWidth="10" defaultRowHeight="16" x14ac:dyDescent="0.2"/>
  <sheetData>
    <row r="2" spans="2:9" x14ac:dyDescent="0.2">
      <c r="B2" s="84" t="s">
        <v>7</v>
      </c>
      <c r="C2" s="83" t="s">
        <v>1</v>
      </c>
      <c r="D2" s="80"/>
      <c r="E2" s="9" t="s">
        <v>35</v>
      </c>
      <c r="F2" s="87">
        <v>500</v>
      </c>
      <c r="G2" s="88"/>
    </row>
    <row r="3" spans="2:9" x14ac:dyDescent="0.2">
      <c r="B3" s="85"/>
      <c r="C3" s="33">
        <v>0</v>
      </c>
      <c r="D3" s="34">
        <v>10</v>
      </c>
      <c r="E3" s="13" t="s">
        <v>31</v>
      </c>
      <c r="F3" s="92">
        <v>3</v>
      </c>
      <c r="G3" s="93"/>
    </row>
    <row r="4" spans="2:9" x14ac:dyDescent="0.2">
      <c r="B4" s="86"/>
      <c r="C4" s="83" t="s">
        <v>36</v>
      </c>
      <c r="D4" s="80"/>
      <c r="E4" s="21" t="s">
        <v>32</v>
      </c>
      <c r="F4" s="94">
        <f>F18</f>
        <v>1476.25</v>
      </c>
      <c r="G4" s="95"/>
    </row>
    <row r="5" spans="2:9" x14ac:dyDescent="0.2">
      <c r="B5" s="25">
        <v>0</v>
      </c>
      <c r="C5" s="23">
        <v>1352</v>
      </c>
      <c r="D5" s="26">
        <v>1461</v>
      </c>
      <c r="E5" s="3"/>
      <c r="F5" s="35"/>
      <c r="G5" s="35"/>
    </row>
    <row r="6" spans="2:9" x14ac:dyDescent="0.2">
      <c r="B6" s="24">
        <v>1000</v>
      </c>
      <c r="C6" s="20">
        <v>1443</v>
      </c>
      <c r="D6" s="27">
        <v>1559</v>
      </c>
      <c r="E6" s="3"/>
      <c r="F6" s="35"/>
      <c r="G6" s="35"/>
    </row>
    <row r="8" spans="2:9" x14ac:dyDescent="0.2">
      <c r="B8" s="8"/>
      <c r="C8" s="9"/>
      <c r="D8" s="79" t="s">
        <v>23</v>
      </c>
      <c r="E8" s="79"/>
      <c r="F8" s="79">
        <f>F3</f>
        <v>3</v>
      </c>
      <c r="G8" s="79"/>
      <c r="H8" s="79" t="s">
        <v>24</v>
      </c>
      <c r="I8" s="80"/>
    </row>
    <row r="9" spans="2:9" x14ac:dyDescent="0.2">
      <c r="B9" s="12"/>
      <c r="C9" s="13"/>
      <c r="D9" s="13"/>
      <c r="E9" s="13"/>
      <c r="F9" s="13"/>
      <c r="G9" s="13"/>
      <c r="H9" s="13"/>
      <c r="I9" s="18"/>
    </row>
    <row r="10" spans="2:9" x14ac:dyDescent="0.2">
      <c r="B10" s="12" t="s">
        <v>22</v>
      </c>
      <c r="C10" s="13">
        <f>B5</f>
        <v>0</v>
      </c>
      <c r="D10" s="13">
        <f>C5</f>
        <v>1352</v>
      </c>
      <c r="E10" s="13"/>
      <c r="F10" s="13">
        <f>(H10-D10)/C15</f>
        <v>10.9</v>
      </c>
      <c r="G10" s="13"/>
      <c r="H10" s="13">
        <f>D5</f>
        <v>1461</v>
      </c>
      <c r="I10" s="18"/>
    </row>
    <row r="11" spans="2:9" x14ac:dyDescent="0.2">
      <c r="B11" s="12" t="s">
        <v>22</v>
      </c>
      <c r="C11" s="13">
        <f>B6</f>
        <v>1000</v>
      </c>
      <c r="D11" s="13">
        <f>C6</f>
        <v>1443</v>
      </c>
      <c r="E11" s="13"/>
      <c r="F11" s="13">
        <f>F10*F8</f>
        <v>32.700000000000003</v>
      </c>
      <c r="G11" s="13"/>
      <c r="H11" s="13">
        <f>D6</f>
        <v>1559</v>
      </c>
      <c r="I11" s="18"/>
    </row>
    <row r="12" spans="2:9" x14ac:dyDescent="0.2">
      <c r="B12" s="12" t="s">
        <v>26</v>
      </c>
      <c r="C12" s="13">
        <f>C11-C10</f>
        <v>1000</v>
      </c>
      <c r="D12" s="13">
        <f>D11-D10</f>
        <v>91</v>
      </c>
      <c r="E12" s="13"/>
      <c r="F12" s="13">
        <f>H10-F11</f>
        <v>1428.3</v>
      </c>
      <c r="G12" s="13"/>
      <c r="H12" s="13">
        <f>H11-H10</f>
        <v>98</v>
      </c>
      <c r="I12" s="18"/>
    </row>
    <row r="13" spans="2:9" x14ac:dyDescent="0.2">
      <c r="B13" s="12" t="s">
        <v>28</v>
      </c>
      <c r="C13" s="13"/>
      <c r="D13" s="13">
        <f>D12/C12</f>
        <v>9.0999999999999998E-2</v>
      </c>
      <c r="E13" s="13"/>
      <c r="F13" s="13">
        <f>(H11-D11)/C15</f>
        <v>11.6</v>
      </c>
      <c r="G13" s="13"/>
      <c r="H13" s="13">
        <f>H12/C12</f>
        <v>9.8000000000000004E-2</v>
      </c>
      <c r="I13" s="18"/>
    </row>
    <row r="14" spans="2:9" x14ac:dyDescent="0.2">
      <c r="B14" s="12" t="s">
        <v>37</v>
      </c>
      <c r="C14" s="35">
        <f>F2</f>
        <v>500</v>
      </c>
      <c r="D14" s="13">
        <f>C14-C10</f>
        <v>500</v>
      </c>
      <c r="E14" s="13"/>
      <c r="F14" s="13">
        <f>F13*F8</f>
        <v>34.799999999999997</v>
      </c>
      <c r="G14" s="13"/>
      <c r="H14" s="13">
        <f>C14-C10</f>
        <v>500</v>
      </c>
      <c r="I14" s="18"/>
    </row>
    <row r="15" spans="2:9" x14ac:dyDescent="0.2">
      <c r="B15" s="12" t="s">
        <v>29</v>
      </c>
      <c r="C15" s="13">
        <f>D3-C3</f>
        <v>10</v>
      </c>
      <c r="D15" s="13">
        <f>D14*D13</f>
        <v>45.5</v>
      </c>
      <c r="E15" s="13"/>
      <c r="F15" s="13">
        <f>H11-F14</f>
        <v>1524.2</v>
      </c>
      <c r="G15" s="13"/>
      <c r="H15" s="13">
        <f>H13*H14</f>
        <v>49</v>
      </c>
      <c r="I15" s="18"/>
    </row>
    <row r="16" spans="2:9" x14ac:dyDescent="0.2">
      <c r="B16" s="12"/>
      <c r="C16" s="13"/>
      <c r="D16" s="16">
        <f>D15+D10</f>
        <v>1397.5</v>
      </c>
      <c r="E16" s="13"/>
      <c r="F16" s="13">
        <f>(H16-D16)/C15</f>
        <v>11.25</v>
      </c>
      <c r="G16" s="13"/>
      <c r="H16" s="16">
        <f>H15+H10</f>
        <v>1510</v>
      </c>
      <c r="I16" s="18"/>
    </row>
    <row r="17" spans="2:9" x14ac:dyDescent="0.2">
      <c r="B17" s="12"/>
      <c r="C17" s="13"/>
      <c r="D17" s="37"/>
      <c r="E17" s="16"/>
      <c r="F17" s="16">
        <f>F16*F8</f>
        <v>33.75</v>
      </c>
      <c r="G17" s="16"/>
      <c r="H17" s="37"/>
      <c r="I17" s="18"/>
    </row>
    <row r="18" spans="2:9" x14ac:dyDescent="0.2">
      <c r="B18" s="19"/>
      <c r="C18" s="21"/>
      <c r="D18" s="21"/>
      <c r="E18" s="21"/>
      <c r="F18" s="31">
        <f>H16-F17</f>
        <v>1476.25</v>
      </c>
      <c r="G18" s="31"/>
      <c r="H18" s="21"/>
      <c r="I18" s="22"/>
    </row>
    <row r="24" spans="2:9" x14ac:dyDescent="0.2">
      <c r="E24" s="13"/>
      <c r="F24" s="13"/>
      <c r="G24" s="13"/>
    </row>
    <row r="25" spans="2:9" x14ac:dyDescent="0.2">
      <c r="E25" s="13"/>
      <c r="F25" s="13"/>
      <c r="G25" s="13"/>
    </row>
    <row r="26" spans="2:9" x14ac:dyDescent="0.2">
      <c r="B26" s="13"/>
      <c r="C26" s="13"/>
      <c r="D26" s="13"/>
      <c r="E26" s="13"/>
      <c r="F26" s="13"/>
      <c r="G26" s="13"/>
    </row>
    <row r="27" spans="2:9" x14ac:dyDescent="0.2">
      <c r="E27" s="13"/>
      <c r="F27" s="13"/>
      <c r="G27" s="13"/>
    </row>
    <row r="28" spans="2:9" x14ac:dyDescent="0.2">
      <c r="E28" s="13"/>
      <c r="F28" s="13"/>
      <c r="G28" s="13"/>
    </row>
    <row r="29" spans="2:9" x14ac:dyDescent="0.2">
      <c r="E29" s="13"/>
    </row>
    <row r="30" spans="2:9" x14ac:dyDescent="0.2">
      <c r="B30" s="13"/>
      <c r="C30" s="13"/>
      <c r="D30" s="13"/>
      <c r="E30" s="13"/>
    </row>
  </sheetData>
  <mergeCells count="9">
    <mergeCell ref="H8:I8"/>
    <mergeCell ref="C2:D2"/>
    <mergeCell ref="F4:G4"/>
    <mergeCell ref="C4:D4"/>
    <mergeCell ref="B2:B4"/>
    <mergeCell ref="F2:G2"/>
    <mergeCell ref="F3:G3"/>
    <mergeCell ref="D8:E8"/>
    <mergeCell ref="F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F453B-5060-A342-A676-EDFB5B861602}">
  <sheetPr codeName="Sheet5"/>
  <dimension ref="A3:J23"/>
  <sheetViews>
    <sheetView zoomScale="120" zoomScaleNormal="120" workbookViewId="0">
      <selection activeCell="E20" sqref="E20"/>
    </sheetView>
  </sheetViews>
  <sheetFormatPr baseColWidth="10" defaultRowHeight="16" x14ac:dyDescent="0.2"/>
  <cols>
    <col min="1" max="1" width="13.83203125" customWidth="1"/>
    <col min="5" max="5" width="11.6640625" bestFit="1" customWidth="1"/>
    <col min="6" max="6" width="12.83203125" customWidth="1"/>
  </cols>
  <sheetData>
    <row r="3" spans="1:10" x14ac:dyDescent="0.2">
      <c r="B3" s="32" t="s">
        <v>34</v>
      </c>
      <c r="C3" s="9" t="s">
        <v>3</v>
      </c>
      <c r="D3" s="9" t="s">
        <v>4</v>
      </c>
      <c r="E3" s="9" t="s">
        <v>6</v>
      </c>
      <c r="F3" s="9" t="s">
        <v>16</v>
      </c>
      <c r="G3" s="9" t="s">
        <v>13</v>
      </c>
      <c r="H3" s="79" t="s">
        <v>8</v>
      </c>
      <c r="I3" s="80"/>
    </row>
    <row r="4" spans="1:10" x14ac:dyDescent="0.2">
      <c r="B4" s="12" t="s">
        <v>0</v>
      </c>
      <c r="C4" s="23">
        <v>70</v>
      </c>
      <c r="D4" s="23">
        <v>70</v>
      </c>
      <c r="E4" s="13">
        <f>C4-D4</f>
        <v>0</v>
      </c>
      <c r="F4" s="14">
        <f>E4/3000</f>
        <v>0</v>
      </c>
      <c r="G4" s="15">
        <f>F4*E7</f>
        <v>0</v>
      </c>
      <c r="H4" s="16">
        <f>D4+G4</f>
        <v>70</v>
      </c>
      <c r="I4" s="43">
        <f>H4</f>
        <v>70</v>
      </c>
    </row>
    <row r="5" spans="1:10" x14ac:dyDescent="0.2">
      <c r="B5" s="12" t="s">
        <v>2</v>
      </c>
      <c r="C5" s="23">
        <v>20</v>
      </c>
      <c r="D5" s="23">
        <v>16</v>
      </c>
      <c r="E5" s="13">
        <f>C5-D5</f>
        <v>4</v>
      </c>
      <c r="F5" s="14">
        <f>E5/3000</f>
        <v>1.3333333333333333E-3</v>
      </c>
      <c r="G5" s="15">
        <f>F5*E7</f>
        <v>2</v>
      </c>
      <c r="H5" s="16">
        <f>D5+G5</f>
        <v>18</v>
      </c>
      <c r="I5" s="43">
        <f>H5</f>
        <v>18</v>
      </c>
    </row>
    <row r="6" spans="1:10" x14ac:dyDescent="0.2">
      <c r="B6" s="12"/>
      <c r="C6" t="s">
        <v>14</v>
      </c>
      <c r="D6" t="s">
        <v>15</v>
      </c>
      <c r="F6" s="8"/>
      <c r="G6" s="9"/>
      <c r="H6" s="9"/>
      <c r="I6" s="10"/>
    </row>
    <row r="7" spans="1:10" x14ac:dyDescent="0.2">
      <c r="B7" s="19" t="s">
        <v>7</v>
      </c>
      <c r="C7" s="20">
        <v>10500</v>
      </c>
      <c r="D7" s="20">
        <v>9000</v>
      </c>
      <c r="E7" s="22">
        <f>C7-D7</f>
        <v>1500</v>
      </c>
    </row>
    <row r="11" spans="1:10" x14ac:dyDescent="0.2">
      <c r="A11" s="13"/>
      <c r="B11" s="13"/>
      <c r="C11" s="13"/>
      <c r="D11" s="13"/>
      <c r="E11" s="13"/>
      <c r="F11" s="13"/>
      <c r="G11" s="13"/>
      <c r="H11" s="17"/>
      <c r="I11" s="13"/>
    </row>
    <row r="12" spans="1:10" x14ac:dyDescent="0.2">
      <c r="A12" s="13"/>
      <c r="B12" s="32" t="s">
        <v>18</v>
      </c>
      <c r="C12" s="9" t="s">
        <v>10</v>
      </c>
      <c r="D12" s="9" t="s">
        <v>11</v>
      </c>
      <c r="E12" s="9" t="s">
        <v>6</v>
      </c>
      <c r="F12" s="38" t="s">
        <v>12</v>
      </c>
      <c r="G12" s="39" t="s">
        <v>1</v>
      </c>
      <c r="H12" s="9" t="s">
        <v>17</v>
      </c>
      <c r="I12" s="47" t="s">
        <v>9</v>
      </c>
      <c r="J12" s="11" t="s">
        <v>17</v>
      </c>
    </row>
    <row r="13" spans="1:10" x14ac:dyDescent="0.2">
      <c r="B13" s="19" t="s">
        <v>7</v>
      </c>
      <c r="C13" s="20">
        <v>10500</v>
      </c>
      <c r="D13" s="20">
        <v>9000</v>
      </c>
      <c r="E13" s="21">
        <f>C13-D13</f>
        <v>1500</v>
      </c>
      <c r="F13" s="21">
        <f>E13/1000*2</f>
        <v>3</v>
      </c>
      <c r="G13" s="20">
        <v>2</v>
      </c>
      <c r="H13" s="21">
        <f>G13-F13</f>
        <v>-1</v>
      </c>
      <c r="I13" s="49">
        <f>I16</f>
        <v>-6</v>
      </c>
      <c r="J13" s="22">
        <f>H13-I13</f>
        <v>5</v>
      </c>
    </row>
    <row r="14" spans="1:10" x14ac:dyDescent="0.2">
      <c r="A14" s="3"/>
      <c r="B14" s="3"/>
      <c r="C14" s="3"/>
      <c r="D14" s="3"/>
      <c r="E14" s="4"/>
      <c r="F14" s="5"/>
      <c r="G14" s="6"/>
      <c r="H14" s="7"/>
      <c r="I14" s="48">
        <f>C13/1000</f>
        <v>10.5</v>
      </c>
    </row>
    <row r="15" spans="1:10" x14ac:dyDescent="0.2">
      <c r="A15" s="3"/>
      <c r="B15" s="3"/>
      <c r="D15" s="7"/>
      <c r="E15" s="3"/>
      <c r="F15" s="3"/>
      <c r="G15" s="3"/>
      <c r="H15" s="7"/>
      <c r="I15" s="45">
        <f>(I14*2)-15</f>
        <v>6</v>
      </c>
    </row>
    <row r="16" spans="1:10" x14ac:dyDescent="0.2">
      <c r="A16" s="3"/>
      <c r="B16" s="3"/>
      <c r="D16" s="3"/>
      <c r="E16" s="3"/>
      <c r="F16" s="3"/>
      <c r="G16" s="3"/>
      <c r="H16" s="7"/>
      <c r="I16" s="46">
        <f>I15*-1</f>
        <v>-6</v>
      </c>
    </row>
    <row r="17" spans="1:9" x14ac:dyDescent="0.2">
      <c r="A17" s="3"/>
      <c r="B17" s="3"/>
      <c r="D17" s="3"/>
      <c r="E17" s="3"/>
      <c r="F17" s="3"/>
      <c r="G17" s="3"/>
      <c r="H17" s="7"/>
      <c r="I17" s="3"/>
    </row>
    <row r="18" spans="1:9" x14ac:dyDescent="0.2">
      <c r="A18" s="3"/>
      <c r="B18" s="3"/>
      <c r="C18" s="3"/>
      <c r="D18" s="3"/>
      <c r="E18" s="4"/>
      <c r="F18" s="5"/>
      <c r="G18" s="6"/>
      <c r="H18" s="7"/>
      <c r="I18" s="3"/>
    </row>
    <row r="19" spans="1:9" x14ac:dyDescent="0.2">
      <c r="A19" s="3"/>
      <c r="B19" s="3"/>
      <c r="C19" s="3"/>
      <c r="D19" s="3"/>
      <c r="E19" s="3"/>
      <c r="F19" s="3"/>
      <c r="G19" s="3"/>
      <c r="H19" s="7"/>
    </row>
    <row r="20" spans="1:9" x14ac:dyDescent="0.2">
      <c r="A20" s="3"/>
      <c r="B20" s="3"/>
      <c r="C20" s="3"/>
      <c r="D20" s="3"/>
      <c r="E20" s="3"/>
      <c r="F20" s="3"/>
      <c r="G20" s="3"/>
      <c r="H20" s="7"/>
      <c r="I20" s="3"/>
    </row>
    <row r="21" spans="1:9" x14ac:dyDescent="0.2">
      <c r="A21" s="3"/>
      <c r="B21" s="3"/>
      <c r="C21" s="3"/>
      <c r="D21" s="3"/>
      <c r="E21" s="3"/>
      <c r="F21" s="3"/>
      <c r="G21" s="3"/>
      <c r="H21" s="7"/>
      <c r="I21" s="3"/>
    </row>
    <row r="22" spans="1:9" x14ac:dyDescent="0.2">
      <c r="A22" s="3"/>
      <c r="B22" s="3"/>
      <c r="C22" s="3"/>
      <c r="D22" s="3"/>
      <c r="E22" s="4"/>
      <c r="F22" s="5"/>
      <c r="G22" s="6"/>
      <c r="H22" s="7"/>
      <c r="I22" s="3"/>
    </row>
    <row r="23" spans="1:9" x14ac:dyDescent="0.2">
      <c r="A23" s="3"/>
      <c r="B23" s="3"/>
      <c r="C23" s="3"/>
      <c r="D23" s="3"/>
      <c r="E23" s="3"/>
      <c r="F23" s="3"/>
      <c r="G23" s="3"/>
      <c r="H23" s="3"/>
      <c r="I23" s="3"/>
    </row>
  </sheetData>
  <mergeCells count="1">
    <mergeCell ref="H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EBDD-14C5-C747-B075-680B7B2289B0}">
  <sheetPr codeName="Sheet2"/>
  <dimension ref="B2:K24"/>
  <sheetViews>
    <sheetView zoomScale="114" zoomScaleNormal="150" workbookViewId="0">
      <selection activeCell="E28" sqref="E28"/>
    </sheetView>
  </sheetViews>
  <sheetFormatPr baseColWidth="10" defaultRowHeight="16" x14ac:dyDescent="0.2"/>
  <sheetData>
    <row r="2" spans="2:11" x14ac:dyDescent="0.2">
      <c r="B2" t="s">
        <v>50</v>
      </c>
      <c r="E2" s="13"/>
      <c r="F2" s="13"/>
      <c r="G2" s="13"/>
    </row>
    <row r="3" spans="2:11" x14ac:dyDescent="0.2">
      <c r="B3" s="8"/>
      <c r="C3" s="83" t="s">
        <v>41</v>
      </c>
      <c r="D3" s="79"/>
      <c r="E3" s="80"/>
      <c r="F3" s="79" t="s">
        <v>42</v>
      </c>
      <c r="G3" s="79"/>
      <c r="H3" s="79"/>
      <c r="I3" s="83" t="s">
        <v>43</v>
      </c>
      <c r="J3" s="79"/>
      <c r="K3" s="80"/>
    </row>
    <row r="4" spans="2:11" x14ac:dyDescent="0.2">
      <c r="B4" s="12" t="s">
        <v>40</v>
      </c>
      <c r="C4" s="25">
        <v>0</v>
      </c>
      <c r="D4" s="23">
        <v>331</v>
      </c>
      <c r="E4" s="26">
        <v>1000</v>
      </c>
      <c r="F4" s="23">
        <v>10000</v>
      </c>
      <c r="G4" s="23">
        <v>10500</v>
      </c>
      <c r="H4" s="23">
        <v>11000</v>
      </c>
      <c r="I4" s="42">
        <f>D4</f>
        <v>331</v>
      </c>
      <c r="J4" s="40">
        <f>K4-I4</f>
        <v>10169</v>
      </c>
      <c r="K4" s="36">
        <f>G4</f>
        <v>10500</v>
      </c>
    </row>
    <row r="5" spans="2:11" x14ac:dyDescent="0.2">
      <c r="B5" s="12" t="s">
        <v>38</v>
      </c>
      <c r="C5" s="25">
        <v>0</v>
      </c>
      <c r="D5" s="40">
        <f>E9</f>
        <v>0.2979</v>
      </c>
      <c r="E5" s="26">
        <v>0.9</v>
      </c>
      <c r="F5" s="23">
        <v>9</v>
      </c>
      <c r="G5" s="40">
        <f>H9</f>
        <v>9.4500000000000046</v>
      </c>
      <c r="H5" s="23">
        <v>9.9</v>
      </c>
      <c r="I5" s="42">
        <f>D5</f>
        <v>0.2979</v>
      </c>
      <c r="J5" s="41">
        <f>K5-I5</f>
        <v>9.1521000000000043</v>
      </c>
      <c r="K5" s="36">
        <f>G5</f>
        <v>9.4500000000000046</v>
      </c>
    </row>
    <row r="6" spans="2:11" x14ac:dyDescent="0.2">
      <c r="B6" s="12" t="s">
        <v>21</v>
      </c>
      <c r="C6" s="25">
        <v>0</v>
      </c>
      <c r="D6" s="40">
        <f>E10</f>
        <v>0.16550000000000001</v>
      </c>
      <c r="E6" s="26">
        <v>0.5</v>
      </c>
      <c r="F6" s="23">
        <v>5.4</v>
      </c>
      <c r="G6" s="40">
        <f>H10</f>
        <v>6.2999999999999963</v>
      </c>
      <c r="H6" s="23">
        <v>6</v>
      </c>
      <c r="I6" s="42">
        <f>D6</f>
        <v>0.16550000000000001</v>
      </c>
      <c r="J6" s="41">
        <f>K6-I6</f>
        <v>6.1344999999999965</v>
      </c>
      <c r="K6" s="36">
        <f>G6</f>
        <v>6.2999999999999963</v>
      </c>
    </row>
    <row r="7" spans="2:11" x14ac:dyDescent="0.2">
      <c r="B7" s="12" t="s">
        <v>39</v>
      </c>
      <c r="C7" s="25">
        <v>0</v>
      </c>
      <c r="D7" s="40">
        <f>E11</f>
        <v>0.56269999999999998</v>
      </c>
      <c r="E7" s="26">
        <v>1.7</v>
      </c>
      <c r="F7" s="23">
        <v>19.5</v>
      </c>
      <c r="G7" s="40">
        <f>H11</f>
        <v>24.150000000000009</v>
      </c>
      <c r="H7" s="23">
        <v>21.8</v>
      </c>
      <c r="I7" s="50">
        <f>D7</f>
        <v>0.56269999999999998</v>
      </c>
      <c r="J7" s="51">
        <f>K7-I7</f>
        <v>23.58730000000001</v>
      </c>
      <c r="K7" s="52">
        <f>G7</f>
        <v>24.150000000000009</v>
      </c>
    </row>
    <row r="8" spans="2:11" x14ac:dyDescent="0.2">
      <c r="B8" s="8"/>
      <c r="C8" s="8" t="s">
        <v>13</v>
      </c>
      <c r="D8" s="9" t="s">
        <v>28</v>
      </c>
      <c r="E8" s="9" t="s">
        <v>5</v>
      </c>
      <c r="F8" s="8" t="s">
        <v>13</v>
      </c>
      <c r="G8" s="9" t="s">
        <v>28</v>
      </c>
      <c r="H8" s="11" t="s">
        <v>5</v>
      </c>
      <c r="I8" s="13"/>
      <c r="J8" s="13"/>
      <c r="K8" s="13"/>
    </row>
    <row r="9" spans="2:11" x14ac:dyDescent="0.2">
      <c r="B9" s="12" t="s">
        <v>38</v>
      </c>
      <c r="C9" s="12">
        <f>E5-C5</f>
        <v>0.9</v>
      </c>
      <c r="D9" s="13">
        <f>C9/1000</f>
        <v>8.9999999999999998E-4</v>
      </c>
      <c r="E9" s="13">
        <f>D9*D4</f>
        <v>0.2979</v>
      </c>
      <c r="F9" s="12">
        <f>H5-F5</f>
        <v>0.90000000000000036</v>
      </c>
      <c r="G9" s="13">
        <f>F9/1000</f>
        <v>9.0000000000000041E-4</v>
      </c>
      <c r="H9" s="18">
        <f>G9*G4</f>
        <v>9.4500000000000046</v>
      </c>
      <c r="I9" s="13"/>
      <c r="J9" s="13"/>
      <c r="K9" s="13"/>
    </row>
    <row r="10" spans="2:11" x14ac:dyDescent="0.2">
      <c r="B10" s="12" t="s">
        <v>21</v>
      </c>
      <c r="C10" s="12">
        <f t="shared" ref="C10:C11" si="0">E6-C6</f>
        <v>0.5</v>
      </c>
      <c r="D10" s="13">
        <f t="shared" ref="D10:D11" si="1">C10/1000</f>
        <v>5.0000000000000001E-4</v>
      </c>
      <c r="E10" s="13">
        <f>D10*D4</f>
        <v>0.16550000000000001</v>
      </c>
      <c r="F10" s="12">
        <f>H6-F6</f>
        <v>0.59999999999999964</v>
      </c>
      <c r="G10" s="13">
        <f t="shared" ref="G10" si="2">F10/1000</f>
        <v>5.9999999999999962E-4</v>
      </c>
      <c r="H10" s="18">
        <f>G10*G4</f>
        <v>6.2999999999999963</v>
      </c>
      <c r="I10" s="13"/>
      <c r="J10" s="13"/>
      <c r="K10" s="13"/>
    </row>
    <row r="11" spans="2:11" x14ac:dyDescent="0.2">
      <c r="B11" s="19" t="s">
        <v>39</v>
      </c>
      <c r="C11" s="19">
        <f t="shared" si="0"/>
        <v>1.7</v>
      </c>
      <c r="D11" s="21">
        <f t="shared" si="1"/>
        <v>1.6999999999999999E-3</v>
      </c>
      <c r="E11" s="21">
        <f>D11*D4</f>
        <v>0.56269999999999998</v>
      </c>
      <c r="F11" s="19">
        <f>H7-F7</f>
        <v>2.3000000000000007</v>
      </c>
      <c r="G11" s="21">
        <f>F11/1000</f>
        <v>2.3000000000000008E-3</v>
      </c>
      <c r="H11" s="22">
        <f>G11*G4</f>
        <v>24.150000000000009</v>
      </c>
      <c r="I11" s="13"/>
      <c r="J11" s="13"/>
      <c r="K11" s="13"/>
    </row>
    <row r="13" spans="2:11" x14ac:dyDescent="0.2">
      <c r="B13" s="96" t="s">
        <v>65</v>
      </c>
      <c r="C13" s="13"/>
      <c r="D13" s="58"/>
      <c r="E13" s="58"/>
      <c r="G13" t="s">
        <v>64</v>
      </c>
    </row>
    <row r="14" spans="2:11" x14ac:dyDescent="0.2">
      <c r="B14" s="61"/>
      <c r="C14" s="9" t="s">
        <v>44</v>
      </c>
      <c r="D14" s="9" t="s">
        <v>45</v>
      </c>
      <c r="E14" s="11" t="s">
        <v>46</v>
      </c>
      <c r="G14" s="8" t="s">
        <v>36</v>
      </c>
      <c r="H14" s="72">
        <f>H15/60*H16</f>
        <v>11.473733999999999</v>
      </c>
    </row>
    <row r="15" spans="2:11" x14ac:dyDescent="0.2">
      <c r="B15" s="62" t="s">
        <v>7</v>
      </c>
      <c r="C15" s="23">
        <v>2885</v>
      </c>
      <c r="D15" s="57">
        <f>(E15-C15)*0.66666+C15</f>
        <v>7961.6158999999998</v>
      </c>
      <c r="E15" s="26">
        <v>10500</v>
      </c>
      <c r="G15" s="12" t="s">
        <v>61</v>
      </c>
      <c r="H15" s="26">
        <v>126.27</v>
      </c>
    </row>
    <row r="16" spans="2:11" x14ac:dyDescent="0.2">
      <c r="B16" s="62"/>
      <c r="C16" s="81" t="s">
        <v>47</v>
      </c>
      <c r="D16" s="81"/>
      <c r="E16" s="82"/>
      <c r="G16" s="19" t="s">
        <v>60</v>
      </c>
      <c r="H16" s="27">
        <v>5.452</v>
      </c>
    </row>
    <row r="17" spans="2:8" x14ac:dyDescent="0.2">
      <c r="B17" s="62" t="s">
        <v>7</v>
      </c>
      <c r="C17" s="23">
        <v>3000</v>
      </c>
      <c r="D17" s="57">
        <f>D15</f>
        <v>7961.6158999999998</v>
      </c>
      <c r="E17" s="26">
        <v>6000</v>
      </c>
      <c r="G17" s="8" t="s">
        <v>36</v>
      </c>
      <c r="H17" s="77">
        <v>11.47</v>
      </c>
    </row>
    <row r="18" spans="2:8" x14ac:dyDescent="0.2">
      <c r="B18" s="62" t="s">
        <v>0</v>
      </c>
      <c r="C18" s="23">
        <v>40</v>
      </c>
      <c r="D18" s="57">
        <f>C24</f>
        <v>73.077439333333331</v>
      </c>
      <c r="E18" s="26">
        <v>60</v>
      </c>
      <c r="G18" s="12" t="s">
        <v>61</v>
      </c>
      <c r="H18" s="78">
        <f>H17/H19*60</f>
        <v>126.22890682318415</v>
      </c>
    </row>
    <row r="19" spans="2:8" x14ac:dyDescent="0.2">
      <c r="B19" s="46" t="s">
        <v>2</v>
      </c>
      <c r="C19" s="20">
        <v>9</v>
      </c>
      <c r="D19" s="60">
        <f>E24</f>
        <v>20.577103766666667</v>
      </c>
      <c r="E19" s="27">
        <v>16</v>
      </c>
      <c r="G19" s="19" t="s">
        <v>60</v>
      </c>
      <c r="H19" s="27">
        <v>5.452</v>
      </c>
    </row>
    <row r="20" spans="2:8" x14ac:dyDescent="0.2">
      <c r="B20" s="8"/>
      <c r="C20" s="9">
        <f>E17-C17</f>
        <v>3000</v>
      </c>
      <c r="D20" s="63"/>
      <c r="E20" s="11"/>
      <c r="G20" s="8" t="s">
        <v>36</v>
      </c>
      <c r="H20" s="77">
        <v>11.47</v>
      </c>
    </row>
    <row r="21" spans="2:8" x14ac:dyDescent="0.2">
      <c r="B21" s="12" t="s">
        <v>16</v>
      </c>
      <c r="C21" s="14">
        <f>(E18-C18)/C20</f>
        <v>6.6666666666666671E-3</v>
      </c>
      <c r="D21" s="64"/>
      <c r="E21" s="53">
        <f>(E19-C19)/C20</f>
        <v>2.3333333333333335E-3</v>
      </c>
      <c r="G21" s="12" t="s">
        <v>61</v>
      </c>
      <c r="H21" s="26">
        <v>126.27</v>
      </c>
    </row>
    <row r="22" spans="2:8" x14ac:dyDescent="0.2">
      <c r="B22" s="12"/>
      <c r="C22" s="13">
        <f>C21*(D17-C17)</f>
        <v>33.077439333333331</v>
      </c>
      <c r="D22" s="64"/>
      <c r="E22" s="18">
        <f>E21*(D17-C17)</f>
        <v>11.577103766666667</v>
      </c>
      <c r="G22" s="19" t="s">
        <v>60</v>
      </c>
      <c r="H22" s="71">
        <f>H20/H21*60</f>
        <v>5.4502257068187223</v>
      </c>
    </row>
    <row r="23" spans="2:8" x14ac:dyDescent="0.2">
      <c r="B23" s="12"/>
      <c r="C23" s="16">
        <f>C22+C18</f>
        <v>73.077439333333331</v>
      </c>
      <c r="D23" s="64"/>
      <c r="E23" s="54">
        <f>E22+C19</f>
        <v>20.577103766666667</v>
      </c>
    </row>
    <row r="24" spans="2:8" x14ac:dyDescent="0.2">
      <c r="B24" s="19"/>
      <c r="C24" s="55">
        <f>C23</f>
        <v>73.077439333333331</v>
      </c>
      <c r="D24" s="65"/>
      <c r="E24" s="56">
        <f>E23</f>
        <v>20.577103766666667</v>
      </c>
    </row>
  </sheetData>
  <mergeCells count="4">
    <mergeCell ref="C16:E16"/>
    <mergeCell ref="C3:E3"/>
    <mergeCell ref="F3:H3"/>
    <mergeCell ref="I3:K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400F1-C506-9D4A-96F2-E30DE4D2A4C9}">
  <sheetPr codeName="Sheet4"/>
  <dimension ref="B2:I30"/>
  <sheetViews>
    <sheetView zoomScale="116" zoomScaleNormal="150" workbookViewId="0">
      <selection activeCell="I5" sqref="I5"/>
    </sheetView>
  </sheetViews>
  <sheetFormatPr baseColWidth="10" defaultRowHeight="16" x14ac:dyDescent="0.2"/>
  <sheetData>
    <row r="2" spans="2:9" x14ac:dyDescent="0.2">
      <c r="B2" s="84" t="s">
        <v>7</v>
      </c>
      <c r="C2" s="83" t="s">
        <v>1</v>
      </c>
      <c r="D2" s="79"/>
      <c r="E2" s="79"/>
      <c r="F2" s="80"/>
      <c r="G2" s="8" t="s">
        <v>33</v>
      </c>
      <c r="H2" s="87">
        <v>10500</v>
      </c>
      <c r="I2" s="88"/>
    </row>
    <row r="3" spans="2:9" x14ac:dyDescent="0.2">
      <c r="B3" s="85"/>
      <c r="C3" s="89">
        <v>-30</v>
      </c>
      <c r="D3" s="90"/>
      <c r="E3" s="90">
        <v>0</v>
      </c>
      <c r="F3" s="91"/>
      <c r="G3" s="12" t="s">
        <v>49</v>
      </c>
      <c r="H3" s="92">
        <v>-6</v>
      </c>
      <c r="I3" s="93"/>
    </row>
    <row r="4" spans="2:9" x14ac:dyDescent="0.2">
      <c r="B4" s="86"/>
      <c r="C4" s="29" t="s">
        <v>19</v>
      </c>
      <c r="D4" s="29" t="s">
        <v>30</v>
      </c>
      <c r="E4" s="29" t="s">
        <v>19</v>
      </c>
      <c r="F4" s="30" t="s">
        <v>30</v>
      </c>
      <c r="G4" s="19" t="s">
        <v>32</v>
      </c>
      <c r="H4" s="44">
        <f>F18</f>
        <v>174.55</v>
      </c>
      <c r="I4" s="28">
        <f>G18</f>
        <v>16</v>
      </c>
    </row>
    <row r="5" spans="2:9" x14ac:dyDescent="0.2">
      <c r="B5" s="25">
        <v>10000</v>
      </c>
      <c r="C5" s="23">
        <v>169</v>
      </c>
      <c r="D5" s="23">
        <v>16</v>
      </c>
      <c r="E5" s="23">
        <v>175</v>
      </c>
      <c r="F5" s="26">
        <v>16</v>
      </c>
    </row>
    <row r="6" spans="2:9" x14ac:dyDescent="0.2">
      <c r="B6" s="24">
        <v>12000</v>
      </c>
      <c r="C6" s="20">
        <v>172</v>
      </c>
      <c r="D6" s="20">
        <v>16</v>
      </c>
      <c r="E6" s="20">
        <v>178</v>
      </c>
      <c r="F6" s="27">
        <v>16</v>
      </c>
    </row>
    <row r="8" spans="2:9" x14ac:dyDescent="0.2">
      <c r="B8" s="8"/>
      <c r="C8" s="9"/>
      <c r="D8" s="79" t="s">
        <v>23</v>
      </c>
      <c r="E8" s="79"/>
      <c r="F8" s="79">
        <f>H3</f>
        <v>-6</v>
      </c>
      <c r="G8" s="79"/>
      <c r="H8" s="79" t="s">
        <v>24</v>
      </c>
      <c r="I8" s="80"/>
    </row>
    <row r="9" spans="2:9" x14ac:dyDescent="0.2">
      <c r="B9" s="12"/>
      <c r="C9" s="13"/>
      <c r="D9" s="13" t="s">
        <v>20</v>
      </c>
      <c r="E9" s="13" t="s">
        <v>25</v>
      </c>
      <c r="F9" s="13" t="s">
        <v>20</v>
      </c>
      <c r="G9" s="13" t="s">
        <v>25</v>
      </c>
      <c r="H9" s="13" t="s">
        <v>20</v>
      </c>
      <c r="I9" s="18" t="s">
        <v>25</v>
      </c>
    </row>
    <row r="10" spans="2:9" x14ac:dyDescent="0.2">
      <c r="B10" s="12" t="s">
        <v>22</v>
      </c>
      <c r="C10" s="13">
        <f t="shared" ref="C10:E11" si="0">B5</f>
        <v>10000</v>
      </c>
      <c r="D10" s="13">
        <f t="shared" si="0"/>
        <v>169</v>
      </c>
      <c r="E10" s="13">
        <f t="shared" si="0"/>
        <v>16</v>
      </c>
      <c r="F10" s="13">
        <f>(H10-D10)/C15</f>
        <v>0.2</v>
      </c>
      <c r="G10" s="13">
        <f>(I10-E10)/C15</f>
        <v>0</v>
      </c>
      <c r="H10" s="13">
        <f>E5</f>
        <v>175</v>
      </c>
      <c r="I10" s="18">
        <f>F5</f>
        <v>16</v>
      </c>
    </row>
    <row r="11" spans="2:9" x14ac:dyDescent="0.2">
      <c r="B11" s="12" t="s">
        <v>22</v>
      </c>
      <c r="C11" s="13">
        <f t="shared" si="0"/>
        <v>12000</v>
      </c>
      <c r="D11" s="13">
        <f t="shared" si="0"/>
        <v>172</v>
      </c>
      <c r="E11" s="13">
        <f t="shared" si="0"/>
        <v>16</v>
      </c>
      <c r="F11" s="13">
        <f>F10*F8</f>
        <v>-1.2000000000000002</v>
      </c>
      <c r="G11" s="13">
        <f>G10*F8</f>
        <v>0</v>
      </c>
      <c r="H11" s="13">
        <f>E6</f>
        <v>178</v>
      </c>
      <c r="I11" s="18">
        <f>F6</f>
        <v>16</v>
      </c>
    </row>
    <row r="12" spans="2:9" x14ac:dyDescent="0.2">
      <c r="B12" s="12" t="s">
        <v>26</v>
      </c>
      <c r="C12" s="13">
        <f>C11-C10</f>
        <v>2000</v>
      </c>
      <c r="D12" s="13">
        <f>D11-D10</f>
        <v>3</v>
      </c>
      <c r="E12" s="13">
        <f>E11-E10</f>
        <v>0</v>
      </c>
      <c r="F12" s="13">
        <f>H10+F11</f>
        <v>173.8</v>
      </c>
      <c r="G12" s="13">
        <f>I10+G11</f>
        <v>16</v>
      </c>
      <c r="H12" s="13">
        <f>H11-H10</f>
        <v>3</v>
      </c>
      <c r="I12" s="18">
        <f>I10-I11</f>
        <v>0</v>
      </c>
    </row>
    <row r="13" spans="2:9" x14ac:dyDescent="0.2">
      <c r="B13" s="12" t="s">
        <v>28</v>
      </c>
      <c r="C13" s="13"/>
      <c r="D13" s="13">
        <f>D12/C12</f>
        <v>1.5E-3</v>
      </c>
      <c r="E13" s="13">
        <f>E12/C12</f>
        <v>0</v>
      </c>
      <c r="F13" s="13">
        <f>(H11-D11)/C15</f>
        <v>0.2</v>
      </c>
      <c r="G13" s="13">
        <f>(I11-E11)/C15</f>
        <v>0</v>
      </c>
      <c r="H13" s="13">
        <f>H12/C12</f>
        <v>1.5E-3</v>
      </c>
      <c r="I13" s="18">
        <f>I12/C12</f>
        <v>0</v>
      </c>
    </row>
    <row r="14" spans="2:9" x14ac:dyDescent="0.2">
      <c r="B14" s="12" t="s">
        <v>27</v>
      </c>
      <c r="C14" s="35">
        <f>H2</f>
        <v>10500</v>
      </c>
      <c r="D14" s="13">
        <f>C14-C10</f>
        <v>500</v>
      </c>
      <c r="E14" s="13">
        <f>C14-C10</f>
        <v>500</v>
      </c>
      <c r="F14" s="13">
        <f>F13*F8</f>
        <v>-1.2000000000000002</v>
      </c>
      <c r="G14" s="13">
        <f>G13*F8</f>
        <v>0</v>
      </c>
      <c r="H14" s="13">
        <f>C14-C10</f>
        <v>500</v>
      </c>
      <c r="I14" s="18">
        <f>C14-C10</f>
        <v>500</v>
      </c>
    </row>
    <row r="15" spans="2:9" x14ac:dyDescent="0.2">
      <c r="B15" s="12" t="s">
        <v>29</v>
      </c>
      <c r="C15" s="13">
        <f>E3-C3</f>
        <v>30</v>
      </c>
      <c r="D15" s="13">
        <f>D14*D13</f>
        <v>0.75</v>
      </c>
      <c r="E15" s="13">
        <f>E13*E14</f>
        <v>0</v>
      </c>
      <c r="F15" s="13">
        <f>H11+F14</f>
        <v>176.8</v>
      </c>
      <c r="G15" s="13">
        <f>I11+G14</f>
        <v>16</v>
      </c>
      <c r="H15" s="13">
        <f>H13*H14</f>
        <v>0.75</v>
      </c>
      <c r="I15" s="18">
        <f>I13*I14</f>
        <v>0</v>
      </c>
    </row>
    <row r="16" spans="2:9" x14ac:dyDescent="0.2">
      <c r="B16" s="12"/>
      <c r="C16" s="13"/>
      <c r="D16" s="13">
        <f>D15+D10</f>
        <v>169.75</v>
      </c>
      <c r="E16" s="13">
        <f>E15+E10</f>
        <v>16</v>
      </c>
      <c r="F16" s="13">
        <f>(H17-D17)/C15</f>
        <v>0.2</v>
      </c>
      <c r="G16" s="13">
        <f>(I17-E17)/C15</f>
        <v>0</v>
      </c>
      <c r="H16" s="13">
        <f>H15+H10</f>
        <v>175.75</v>
      </c>
      <c r="I16" s="18">
        <f>I15+I10</f>
        <v>16</v>
      </c>
    </row>
    <row r="17" spans="2:9" x14ac:dyDescent="0.2">
      <c r="B17" s="12"/>
      <c r="C17" s="13"/>
      <c r="D17" s="17">
        <f>D16</f>
        <v>169.75</v>
      </c>
      <c r="E17" s="16">
        <f>E16</f>
        <v>16</v>
      </c>
      <c r="F17" s="16">
        <f>F16*F8</f>
        <v>-1.2000000000000002</v>
      </c>
      <c r="G17" s="16">
        <f>G16*F8</f>
        <v>0</v>
      </c>
      <c r="H17" s="17">
        <f>H16</f>
        <v>175.75</v>
      </c>
      <c r="I17" s="18">
        <f>I16</f>
        <v>16</v>
      </c>
    </row>
    <row r="18" spans="2:9" x14ac:dyDescent="0.2">
      <c r="B18" s="19"/>
      <c r="C18" s="21"/>
      <c r="D18" s="21"/>
      <c r="E18" s="21"/>
      <c r="F18" s="31">
        <f>H17+F17</f>
        <v>174.55</v>
      </c>
      <c r="G18" s="31">
        <f>I17+G17</f>
        <v>16</v>
      </c>
      <c r="H18" s="21"/>
      <c r="I18" s="22"/>
    </row>
    <row r="24" spans="2:9" x14ac:dyDescent="0.2">
      <c r="E24" s="13"/>
      <c r="F24" s="13"/>
      <c r="G24" s="13"/>
    </row>
    <row r="25" spans="2:9" x14ac:dyDescent="0.2">
      <c r="E25" s="13"/>
      <c r="F25" s="13"/>
      <c r="G25" s="13"/>
    </row>
    <row r="26" spans="2:9" x14ac:dyDescent="0.2">
      <c r="B26" s="13"/>
      <c r="C26" s="13"/>
      <c r="D26" s="13"/>
      <c r="E26" s="13"/>
      <c r="F26" s="13"/>
      <c r="G26" s="13"/>
    </row>
    <row r="27" spans="2:9" x14ac:dyDescent="0.2">
      <c r="E27" s="13"/>
      <c r="F27" s="13"/>
      <c r="G27" s="13"/>
    </row>
    <row r="28" spans="2:9" x14ac:dyDescent="0.2">
      <c r="E28" s="13"/>
      <c r="F28" s="13"/>
      <c r="G28" s="13"/>
    </row>
    <row r="29" spans="2:9" x14ac:dyDescent="0.2">
      <c r="E29" s="13"/>
    </row>
    <row r="30" spans="2:9" x14ac:dyDescent="0.2">
      <c r="B30" s="13"/>
      <c r="C30" s="13"/>
      <c r="D30" s="13"/>
      <c r="E30" s="13"/>
    </row>
  </sheetData>
  <mergeCells count="9">
    <mergeCell ref="D8:E8"/>
    <mergeCell ref="F8:G8"/>
    <mergeCell ref="H8:I8"/>
    <mergeCell ref="B2:B4"/>
    <mergeCell ref="C2:F2"/>
    <mergeCell ref="C3:D3"/>
    <mergeCell ref="E3:F3"/>
    <mergeCell ref="H3:I3"/>
    <mergeCell ref="H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DA58-45FE-8946-85C7-0A8BF7500DF2}">
  <sheetPr codeName="Sheet6"/>
  <dimension ref="B2:Q56"/>
  <sheetViews>
    <sheetView zoomScale="87" zoomScaleNormal="150" workbookViewId="0">
      <selection activeCell="B13" sqref="B13:E13"/>
    </sheetView>
  </sheetViews>
  <sheetFormatPr baseColWidth="10" defaultRowHeight="16" x14ac:dyDescent="0.2"/>
  <cols>
    <col min="9" max="9" width="11.6640625" bestFit="1" customWidth="1"/>
    <col min="11" max="11" width="11.33203125" bestFit="1" customWidth="1"/>
    <col min="13" max="13" width="12.1640625" bestFit="1" customWidth="1"/>
  </cols>
  <sheetData>
    <row r="2" spans="2:11" x14ac:dyDescent="0.2">
      <c r="B2" t="s">
        <v>50</v>
      </c>
      <c r="E2" s="13"/>
      <c r="F2" s="13"/>
      <c r="G2" s="13"/>
    </row>
    <row r="3" spans="2:11" x14ac:dyDescent="0.2">
      <c r="B3" s="8"/>
      <c r="C3" s="83" t="s">
        <v>41</v>
      </c>
      <c r="D3" s="79"/>
      <c r="E3" s="80"/>
      <c r="F3" s="83" t="s">
        <v>42</v>
      </c>
      <c r="G3" s="79"/>
      <c r="H3" s="80"/>
      <c r="I3" s="83" t="s">
        <v>43</v>
      </c>
      <c r="J3" s="79"/>
      <c r="K3" s="80"/>
    </row>
    <row r="4" spans="2:11" x14ac:dyDescent="0.2">
      <c r="B4" s="12" t="s">
        <v>40</v>
      </c>
      <c r="C4" s="25">
        <v>0</v>
      </c>
      <c r="D4" s="23">
        <v>331</v>
      </c>
      <c r="E4" s="26">
        <v>1000</v>
      </c>
      <c r="F4" s="23">
        <v>10000</v>
      </c>
      <c r="G4" s="23">
        <v>10500</v>
      </c>
      <c r="H4" s="23">
        <v>11000</v>
      </c>
      <c r="I4" s="42">
        <f>D4</f>
        <v>331</v>
      </c>
      <c r="J4" s="40">
        <f>K4-I4</f>
        <v>10169</v>
      </c>
      <c r="K4" s="36">
        <f>G4</f>
        <v>10500</v>
      </c>
    </row>
    <row r="5" spans="2:11" x14ac:dyDescent="0.2">
      <c r="B5" s="12" t="s">
        <v>38</v>
      </c>
      <c r="C5" s="25">
        <v>0</v>
      </c>
      <c r="D5" s="40">
        <f>E9</f>
        <v>0.2979</v>
      </c>
      <c r="E5" s="26">
        <v>0.9</v>
      </c>
      <c r="F5" s="23">
        <v>9</v>
      </c>
      <c r="G5" s="40">
        <f>H9</f>
        <v>9.4500000000000046</v>
      </c>
      <c r="H5" s="23">
        <v>9.9</v>
      </c>
      <c r="I5" s="42">
        <f>D5</f>
        <v>0.2979</v>
      </c>
      <c r="J5" s="41">
        <f>K5-I5</f>
        <v>9.1521000000000043</v>
      </c>
      <c r="K5" s="36">
        <f>G5</f>
        <v>9.4500000000000046</v>
      </c>
    </row>
    <row r="6" spans="2:11" x14ac:dyDescent="0.2">
      <c r="B6" s="12" t="s">
        <v>21</v>
      </c>
      <c r="C6" s="25">
        <v>0</v>
      </c>
      <c r="D6" s="40">
        <f>E10</f>
        <v>0.16550000000000001</v>
      </c>
      <c r="E6" s="26">
        <v>0.5</v>
      </c>
      <c r="F6" s="23">
        <v>5.4</v>
      </c>
      <c r="G6" s="40">
        <f>H10</f>
        <v>6.2999999999999963</v>
      </c>
      <c r="H6" s="23">
        <v>6</v>
      </c>
      <c r="I6" s="42">
        <f>D6</f>
        <v>0.16550000000000001</v>
      </c>
      <c r="J6" s="41">
        <f>K6-I6</f>
        <v>6.1344999999999965</v>
      </c>
      <c r="K6" s="36">
        <f>G6</f>
        <v>6.2999999999999963</v>
      </c>
    </row>
    <row r="7" spans="2:11" x14ac:dyDescent="0.2">
      <c r="B7" s="12" t="s">
        <v>39</v>
      </c>
      <c r="C7" s="25">
        <v>0</v>
      </c>
      <c r="D7" s="40">
        <f>E11</f>
        <v>0.56269999999999998</v>
      </c>
      <c r="E7" s="26">
        <v>1.7</v>
      </c>
      <c r="F7" s="23">
        <v>19.5</v>
      </c>
      <c r="G7" s="40">
        <f>H11</f>
        <v>24.150000000000009</v>
      </c>
      <c r="H7" s="23">
        <v>21.8</v>
      </c>
      <c r="I7" s="50">
        <f>D7</f>
        <v>0.56269999999999998</v>
      </c>
      <c r="J7" s="51">
        <f>K7-I7</f>
        <v>23.58730000000001</v>
      </c>
      <c r="K7" s="52">
        <f>G7</f>
        <v>24.150000000000009</v>
      </c>
    </row>
    <row r="8" spans="2:11" x14ac:dyDescent="0.2">
      <c r="B8" s="8"/>
      <c r="C8" s="8" t="s">
        <v>13</v>
      </c>
      <c r="D8" s="9" t="s">
        <v>28</v>
      </c>
      <c r="E8" s="9" t="s">
        <v>5</v>
      </c>
      <c r="F8" s="8" t="s">
        <v>13</v>
      </c>
      <c r="G8" s="9" t="s">
        <v>28</v>
      </c>
      <c r="H8" s="11" t="s">
        <v>5</v>
      </c>
      <c r="I8" s="13"/>
      <c r="J8" s="13"/>
      <c r="K8" s="13"/>
    </row>
    <row r="9" spans="2:11" x14ac:dyDescent="0.2">
      <c r="B9" s="12" t="s">
        <v>38</v>
      </c>
      <c r="C9" s="12">
        <f>E5-C5</f>
        <v>0.9</v>
      </c>
      <c r="D9" s="13">
        <f>C9/1000</f>
        <v>8.9999999999999998E-4</v>
      </c>
      <c r="E9" s="13">
        <f>D9*D4</f>
        <v>0.2979</v>
      </c>
      <c r="F9" s="12">
        <f>H5-F5</f>
        <v>0.90000000000000036</v>
      </c>
      <c r="G9" s="13">
        <f>F9/1000</f>
        <v>9.0000000000000041E-4</v>
      </c>
      <c r="H9" s="18">
        <f>G9*G4</f>
        <v>9.4500000000000046</v>
      </c>
      <c r="I9" s="13"/>
      <c r="J9" s="13"/>
      <c r="K9" s="13"/>
    </row>
    <row r="10" spans="2:11" x14ac:dyDescent="0.2">
      <c r="B10" s="12" t="s">
        <v>21</v>
      </c>
      <c r="C10" s="12">
        <f t="shared" ref="C10:C11" si="0">E6-C6</f>
        <v>0.5</v>
      </c>
      <c r="D10" s="13">
        <f t="shared" ref="D10:D11" si="1">C10/1000</f>
        <v>5.0000000000000001E-4</v>
      </c>
      <c r="E10" s="13">
        <f>D10*D4</f>
        <v>0.16550000000000001</v>
      </c>
      <c r="F10" s="12">
        <f>H6-F6</f>
        <v>0.59999999999999964</v>
      </c>
      <c r="G10" s="13">
        <f t="shared" ref="G10" si="2">F10/1000</f>
        <v>5.9999999999999962E-4</v>
      </c>
      <c r="H10" s="18">
        <f>G10*G4</f>
        <v>6.2999999999999963</v>
      </c>
      <c r="I10" s="13"/>
      <c r="J10" s="13"/>
      <c r="K10" s="13"/>
    </row>
    <row r="11" spans="2:11" x14ac:dyDescent="0.2">
      <c r="B11" s="19" t="s">
        <v>39</v>
      </c>
      <c r="C11" s="19">
        <f t="shared" si="0"/>
        <v>1.7</v>
      </c>
      <c r="D11" s="21">
        <f t="shared" si="1"/>
        <v>1.6999999999999999E-3</v>
      </c>
      <c r="E11" s="21">
        <f>D11*D4</f>
        <v>0.56269999999999998</v>
      </c>
      <c r="F11" s="19">
        <f>H7-F7</f>
        <v>2.3000000000000007</v>
      </c>
      <c r="G11" s="21">
        <f>F11/1000</f>
        <v>2.3000000000000008E-3</v>
      </c>
      <c r="H11" s="22">
        <f>G11*G4</f>
        <v>24.150000000000009</v>
      </c>
      <c r="I11" s="13"/>
      <c r="J11" s="13"/>
      <c r="K11" s="13"/>
    </row>
    <row r="13" spans="2:11" x14ac:dyDescent="0.2">
      <c r="B13" s="96" t="s">
        <v>63</v>
      </c>
      <c r="C13" s="13"/>
      <c r="D13" s="58"/>
      <c r="E13" s="58"/>
      <c r="G13" t="s">
        <v>62</v>
      </c>
      <c r="J13" s="75" t="s">
        <v>52</v>
      </c>
      <c r="K13" s="76" t="s">
        <v>53</v>
      </c>
    </row>
    <row r="14" spans="2:11" x14ac:dyDescent="0.2">
      <c r="B14" s="61"/>
      <c r="C14" s="9" t="s">
        <v>46</v>
      </c>
      <c r="D14" s="97" t="s">
        <v>51</v>
      </c>
      <c r="E14" s="11" t="s">
        <v>54</v>
      </c>
      <c r="G14" s="8" t="s">
        <v>55</v>
      </c>
      <c r="H14" s="11">
        <f>D20</f>
        <v>5000</v>
      </c>
      <c r="J14" s="68">
        <v>1.00000000000001</v>
      </c>
      <c r="K14" s="69">
        <f t="shared" ref="K14:K20" si="3">TAN(RADIANS(J14))*(1852/0.3048)</f>
        <v>106.05899031187431</v>
      </c>
    </row>
    <row r="15" spans="2:11" x14ac:dyDescent="0.2">
      <c r="B15" s="62" t="s">
        <v>7</v>
      </c>
      <c r="C15" s="23">
        <v>6500</v>
      </c>
      <c r="D15" s="57">
        <f>D20/2+E15</f>
        <v>4000</v>
      </c>
      <c r="E15" s="26">
        <v>1500</v>
      </c>
      <c r="G15" s="12" t="s">
        <v>52</v>
      </c>
      <c r="H15" s="26">
        <v>3</v>
      </c>
      <c r="J15" s="68">
        <v>1.1000000000000101</v>
      </c>
      <c r="K15" s="69">
        <f t="shared" si="3"/>
        <v>116.66737743144436</v>
      </c>
    </row>
    <row r="16" spans="2:11" x14ac:dyDescent="0.2">
      <c r="B16" s="62"/>
      <c r="C16" s="58" t="s">
        <v>47</v>
      </c>
      <c r="D16" s="58"/>
      <c r="E16" s="59"/>
      <c r="G16" s="12" t="s">
        <v>53</v>
      </c>
      <c r="H16" s="69">
        <f>VLOOKUP(H15,J14:K44,2,FALSE)</f>
        <v>318.43571926572281</v>
      </c>
      <c r="J16" s="68">
        <v>1.2000000000000099</v>
      </c>
      <c r="K16" s="69">
        <f t="shared" si="3"/>
        <v>127.27647559281701</v>
      </c>
    </row>
    <row r="17" spans="2:17" x14ac:dyDescent="0.2">
      <c r="B17" s="62" t="s">
        <v>7</v>
      </c>
      <c r="C17" s="23">
        <v>3000</v>
      </c>
      <c r="D17" s="57">
        <f>D15</f>
        <v>4000</v>
      </c>
      <c r="E17" s="26">
        <v>6000</v>
      </c>
      <c r="G17" s="12" t="s">
        <v>56</v>
      </c>
      <c r="H17" s="67">
        <f>H14/H16</f>
        <v>15.701756108044165</v>
      </c>
      <c r="J17" s="68">
        <v>1.3</v>
      </c>
      <c r="K17" s="69">
        <f t="shared" si="3"/>
        <v>137.88634950863045</v>
      </c>
    </row>
    <row r="18" spans="2:17" x14ac:dyDescent="0.2">
      <c r="B18" s="62" t="s">
        <v>0</v>
      </c>
      <c r="C18" s="23">
        <v>40</v>
      </c>
      <c r="D18" s="57">
        <f>C24</f>
        <v>46.666666666666664</v>
      </c>
      <c r="E18" s="26">
        <v>60</v>
      </c>
      <c r="G18" s="12" t="s">
        <v>57</v>
      </c>
      <c r="H18" s="26">
        <v>170</v>
      </c>
      <c r="J18" s="68">
        <v>1.4</v>
      </c>
      <c r="K18" s="69">
        <f t="shared" si="3"/>
        <v>148.49706391044327</v>
      </c>
    </row>
    <row r="19" spans="2:17" x14ac:dyDescent="0.2">
      <c r="B19" s="46" t="s">
        <v>2</v>
      </c>
      <c r="C19" s="20">
        <v>9</v>
      </c>
      <c r="D19" s="60">
        <f>E24</f>
        <v>11.333333333333334</v>
      </c>
      <c r="E19" s="27">
        <v>16</v>
      </c>
      <c r="G19" s="19" t="s">
        <v>59</v>
      </c>
      <c r="H19" s="73">
        <f>H18/60*H16</f>
        <v>902.23453791954796</v>
      </c>
      <c r="J19" s="68">
        <v>1.5</v>
      </c>
      <c r="K19" s="69">
        <f t="shared" si="3"/>
        <v>159.10868355030905</v>
      </c>
    </row>
    <row r="20" spans="2:17" x14ac:dyDescent="0.2">
      <c r="B20" s="8"/>
      <c r="C20" s="9">
        <f>E17-C17</f>
        <v>3000</v>
      </c>
      <c r="D20" s="66">
        <f>C15-E15</f>
        <v>5000</v>
      </c>
      <c r="E20" s="11"/>
      <c r="G20" s="8" t="s">
        <v>58</v>
      </c>
      <c r="H20" s="74">
        <f>H21*H22</f>
        <v>955.30715779716843</v>
      </c>
      <c r="J20" s="68">
        <v>1.6</v>
      </c>
      <c r="K20" s="69">
        <f t="shared" si="3"/>
        <v>169.72127320236234</v>
      </c>
    </row>
    <row r="21" spans="2:17" x14ac:dyDescent="0.2">
      <c r="B21" s="12" t="s">
        <v>16</v>
      </c>
      <c r="C21" s="14">
        <f>(E18-C18)/C20</f>
        <v>6.6666666666666671E-3</v>
      </c>
      <c r="D21" s="64"/>
      <c r="E21" s="53">
        <f>(E19-C19)/C20</f>
        <v>2.3333333333333335E-3</v>
      </c>
      <c r="G21" s="12" t="s">
        <v>36</v>
      </c>
      <c r="H21" s="26">
        <v>3</v>
      </c>
      <c r="J21" s="68">
        <v>1.7</v>
      </c>
      <c r="K21" s="69">
        <f>TAN(RADIANS(J21))*(1852/0.3048)</f>
        <v>180.33489766440081</v>
      </c>
    </row>
    <row r="22" spans="2:17" x14ac:dyDescent="0.2">
      <c r="B22" s="12"/>
      <c r="C22" s="13">
        <f>C21*(D17-C17)</f>
        <v>6.666666666666667</v>
      </c>
      <c r="D22" s="64"/>
      <c r="E22" s="18">
        <f>E21*(D17-C17)</f>
        <v>2.3333333333333335</v>
      </c>
      <c r="G22" s="19" t="s">
        <v>53</v>
      </c>
      <c r="H22" s="56">
        <f>H16</f>
        <v>318.43571926572281</v>
      </c>
      <c r="J22" s="68">
        <v>1.8</v>
      </c>
      <c r="K22" s="69">
        <f t="shared" ref="K22:K33" si="4">TAN(RADIANS(J22))*(1852/0.3048)</f>
        <v>190.94962175946958</v>
      </c>
    </row>
    <row r="23" spans="2:17" x14ac:dyDescent="0.2">
      <c r="B23" s="12"/>
      <c r="C23" s="16">
        <f>C22+C18</f>
        <v>46.666666666666664</v>
      </c>
      <c r="D23" s="64"/>
      <c r="E23" s="54">
        <f>E22+C19</f>
        <v>11.333333333333334</v>
      </c>
      <c r="J23" s="68">
        <v>1.9</v>
      </c>
      <c r="K23" s="69">
        <f t="shared" si="4"/>
        <v>201.5655103374466</v>
      </c>
    </row>
    <row r="24" spans="2:17" x14ac:dyDescent="0.2">
      <c r="B24" s="19"/>
      <c r="C24" s="55">
        <f>C23</f>
        <v>46.666666666666664</v>
      </c>
      <c r="D24" s="65"/>
      <c r="E24" s="56">
        <f>E23</f>
        <v>11.333333333333334</v>
      </c>
      <c r="J24" s="68">
        <v>2</v>
      </c>
      <c r="K24" s="69">
        <f t="shared" si="4"/>
        <v>212.18262827662991</v>
      </c>
    </row>
    <row r="25" spans="2:17" x14ac:dyDescent="0.2">
      <c r="J25" s="68">
        <v>2.1</v>
      </c>
      <c r="K25" s="69">
        <f t="shared" si="4"/>
        <v>222.80104048532596</v>
      </c>
    </row>
    <row r="26" spans="2:17" x14ac:dyDescent="0.2">
      <c r="J26" s="68">
        <v>2.2000000000000002</v>
      </c>
      <c r="K26" s="69">
        <f t="shared" si="4"/>
        <v>233.42081190343956</v>
      </c>
      <c r="P26" s="1"/>
      <c r="Q26" s="2"/>
    </row>
    <row r="27" spans="2:17" x14ac:dyDescent="0.2">
      <c r="J27" s="68">
        <v>2.2999999999999998</v>
      </c>
      <c r="K27" s="69">
        <f t="shared" si="4"/>
        <v>244.04200750406579</v>
      </c>
      <c r="P27" s="1"/>
      <c r="Q27" s="2"/>
    </row>
    <row r="28" spans="2:17" x14ac:dyDescent="0.2">
      <c r="J28" s="68">
        <v>2.4</v>
      </c>
      <c r="K28" s="69">
        <f t="shared" si="4"/>
        <v>254.66469229508323</v>
      </c>
      <c r="P28" s="1"/>
      <c r="Q28" s="2"/>
    </row>
    <row r="29" spans="2:17" x14ac:dyDescent="0.2">
      <c r="J29" s="68">
        <v>2.5</v>
      </c>
      <c r="K29" s="69">
        <f t="shared" si="4"/>
        <v>265.2889313207491</v>
      </c>
      <c r="P29" s="1"/>
      <c r="Q29" s="2"/>
    </row>
    <row r="30" spans="2:17" x14ac:dyDescent="0.2">
      <c r="J30" s="68">
        <v>2.6</v>
      </c>
      <c r="K30" s="69">
        <f t="shared" si="4"/>
        <v>275.91478966329663</v>
      </c>
      <c r="P30" s="1"/>
      <c r="Q30" s="2"/>
    </row>
    <row r="31" spans="2:17" x14ac:dyDescent="0.2">
      <c r="J31" s="68">
        <v>2.7</v>
      </c>
      <c r="K31" s="69">
        <f t="shared" si="4"/>
        <v>286.5423324445336</v>
      </c>
      <c r="P31" s="1"/>
      <c r="Q31" s="2"/>
    </row>
    <row r="32" spans="2:17" x14ac:dyDescent="0.2">
      <c r="J32" s="68">
        <v>2.8</v>
      </c>
      <c r="K32" s="69">
        <f t="shared" si="4"/>
        <v>297.17162482744402</v>
      </c>
      <c r="P32" s="1"/>
      <c r="Q32" s="2"/>
    </row>
    <row r="33" spans="10:17" x14ac:dyDescent="0.2">
      <c r="J33" s="68">
        <v>2.9</v>
      </c>
      <c r="K33" s="69">
        <f t="shared" si="4"/>
        <v>307.80273201779113</v>
      </c>
      <c r="P33" s="1"/>
      <c r="Q33" s="2"/>
    </row>
    <row r="34" spans="10:17" x14ac:dyDescent="0.2">
      <c r="J34" s="68">
        <v>3</v>
      </c>
      <c r="K34" s="69">
        <f>TAN(RADIANS(J34))*(1852/0.3048)</f>
        <v>318.43571926572281</v>
      </c>
      <c r="P34" s="1"/>
      <c r="Q34" s="2"/>
    </row>
    <row r="35" spans="10:17" x14ac:dyDescent="0.2">
      <c r="J35" s="68">
        <v>3.1</v>
      </c>
      <c r="K35" s="69">
        <f>TAN(RADIANS(J35))*(1852/0.3048)</f>
        <v>329.07065186737952</v>
      </c>
      <c r="P35" s="1"/>
      <c r="Q35" s="2"/>
    </row>
    <row r="36" spans="10:17" x14ac:dyDescent="0.2">
      <c r="J36" s="68">
        <v>3.2</v>
      </c>
      <c r="K36" s="69">
        <f t="shared" ref="K36:K44" si="5">TAN(RADIANS(J36))*(1852/0.3048)</f>
        <v>339.70759516650446</v>
      </c>
      <c r="P36" s="1"/>
      <c r="Q36" s="2"/>
    </row>
    <row r="37" spans="10:17" x14ac:dyDescent="0.2">
      <c r="J37" s="68">
        <v>3.3</v>
      </c>
      <c r="K37" s="69">
        <f>TAN(RADIANS(J37))*(1852/0.3048)</f>
        <v>350.34661455605612</v>
      </c>
      <c r="P37" s="1"/>
      <c r="Q37" s="2"/>
    </row>
    <row r="38" spans="10:17" x14ac:dyDescent="0.2">
      <c r="J38" s="68">
        <v>3.4</v>
      </c>
      <c r="K38" s="69">
        <f t="shared" si="5"/>
        <v>360.98777547982377</v>
      </c>
      <c r="P38" s="1"/>
      <c r="Q38" s="2"/>
    </row>
    <row r="39" spans="10:17" x14ac:dyDescent="0.2">
      <c r="J39" s="68">
        <v>3.5</v>
      </c>
      <c r="K39" s="69">
        <f t="shared" si="5"/>
        <v>371.63114343404504</v>
      </c>
      <c r="P39" s="1"/>
      <c r="Q39" s="2"/>
    </row>
    <row r="40" spans="10:17" x14ac:dyDescent="0.2">
      <c r="J40" s="68">
        <v>3.6</v>
      </c>
      <c r="K40" s="69">
        <f t="shared" si="5"/>
        <v>382.27678396902678</v>
      </c>
      <c r="P40" s="1"/>
      <c r="Q40" s="2"/>
    </row>
    <row r="41" spans="10:17" x14ac:dyDescent="0.2">
      <c r="J41" s="68">
        <v>3.7</v>
      </c>
      <c r="K41" s="69">
        <f t="shared" si="5"/>
        <v>392.9247626907682</v>
      </c>
      <c r="P41" s="1"/>
      <c r="Q41" s="2"/>
    </row>
    <row r="42" spans="10:17" x14ac:dyDescent="0.2">
      <c r="J42" s="68">
        <v>3.8</v>
      </c>
      <c r="K42" s="69">
        <f t="shared" si="5"/>
        <v>403.57514526258751</v>
      </c>
      <c r="P42" s="1"/>
      <c r="Q42" s="2"/>
    </row>
    <row r="43" spans="10:17" x14ac:dyDescent="0.2">
      <c r="J43" s="68">
        <v>3.9</v>
      </c>
      <c r="K43" s="69">
        <f t="shared" si="5"/>
        <v>414.22799740675129</v>
      </c>
      <c r="P43" s="1"/>
      <c r="Q43" s="2"/>
    </row>
    <row r="44" spans="10:17" x14ac:dyDescent="0.2">
      <c r="J44" s="70">
        <v>4</v>
      </c>
      <c r="K44" s="56">
        <f t="shared" si="5"/>
        <v>424.88338490610658</v>
      </c>
      <c r="P44" s="1"/>
      <c r="Q44" s="2"/>
    </row>
    <row r="45" spans="10:17" x14ac:dyDescent="0.2">
      <c r="P45" s="1"/>
      <c r="Q45" s="2"/>
    </row>
    <row r="46" spans="10:17" x14ac:dyDescent="0.2">
      <c r="P46" s="1"/>
      <c r="Q46" s="2"/>
    </row>
    <row r="47" spans="10:17" x14ac:dyDescent="0.2">
      <c r="P47" s="1"/>
      <c r="Q47" s="2"/>
    </row>
    <row r="48" spans="10:17" x14ac:dyDescent="0.2">
      <c r="P48" s="1"/>
      <c r="Q48" s="2"/>
    </row>
    <row r="49" spans="16:17" x14ac:dyDescent="0.2">
      <c r="P49" s="1"/>
      <c r="Q49" s="2"/>
    </row>
    <row r="50" spans="16:17" x14ac:dyDescent="0.2">
      <c r="P50" s="1"/>
      <c r="Q50" s="2"/>
    </row>
    <row r="51" spans="16:17" x14ac:dyDescent="0.2">
      <c r="P51" s="1"/>
      <c r="Q51" s="2"/>
    </row>
    <row r="52" spans="16:17" x14ac:dyDescent="0.2">
      <c r="P52" s="1"/>
      <c r="Q52" s="2"/>
    </row>
    <row r="53" spans="16:17" x14ac:dyDescent="0.2">
      <c r="P53" s="1"/>
      <c r="Q53" s="2"/>
    </row>
    <row r="54" spans="16:17" x14ac:dyDescent="0.2">
      <c r="P54" s="1"/>
      <c r="Q54" s="2"/>
    </row>
    <row r="55" spans="16:17" x14ac:dyDescent="0.2">
      <c r="P55" s="1"/>
      <c r="Q55" s="2"/>
    </row>
    <row r="56" spans="16:17" x14ac:dyDescent="0.2">
      <c r="P56" s="1"/>
      <c r="Q56" s="2"/>
    </row>
  </sheetData>
  <mergeCells count="3">
    <mergeCell ref="C3:E3"/>
    <mergeCell ref="F3:H3"/>
    <mergeCell ref="I3:K3"/>
  </mergeCell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 Information</vt:lpstr>
      <vt:lpstr>Runway Performance</vt:lpstr>
      <vt:lpstr>Wind and Temperature</vt:lpstr>
      <vt:lpstr>TOC</vt:lpstr>
      <vt:lpstr>Cruise Performance</vt:lpstr>
      <vt:lpstr>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McReynolds, Brendan</dc:creator>
  <cp:lastModifiedBy>McReynolds, Brendan</cp:lastModifiedBy>
  <dcterms:created xsi:type="dcterms:W3CDTF">2022-01-15T22:49:43Z</dcterms:created>
  <dcterms:modified xsi:type="dcterms:W3CDTF">2022-02-02T22:20:51Z</dcterms:modified>
</cp:coreProperties>
</file>