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Q:\Laboratory\Excel Model\"/>
    </mc:Choice>
  </mc:AlternateContent>
  <xr:revisionPtr revIDLastSave="0" documentId="13_ncr:1_{38E0C41C-AD33-4E81-870D-7FD9228F969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lowsheet - dimensions" sheetId="7" r:id="rId1"/>
    <sheet name="Nominal" sheetId="2" r:id="rId2"/>
    <sheet name="Condi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2" l="1"/>
  <c r="C73" i="2"/>
  <c r="C59" i="2"/>
  <c r="C58" i="2"/>
  <c r="T69" i="2" l="1"/>
  <c r="C60" i="2" l="1"/>
  <c r="C61" i="2" s="1"/>
  <c r="C44" i="6"/>
  <c r="U54" i="2" l="1"/>
  <c r="D17" i="6"/>
  <c r="C43" i="6" s="1"/>
  <c r="D16" i="6"/>
  <c r="C42" i="6" s="1"/>
  <c r="N10" i="2"/>
  <c r="C45" i="6" l="1"/>
  <c r="L68" i="2"/>
  <c r="L53" i="2" l="1"/>
  <c r="L55" i="2" s="1"/>
  <c r="L56" i="2" s="1"/>
  <c r="N26" i="2"/>
  <c r="T67" i="2" s="1"/>
  <c r="T70" i="2" s="1"/>
  <c r="G6" i="7"/>
  <c r="C34" i="7"/>
  <c r="H38" i="7"/>
  <c r="J21" i="7"/>
  <c r="H21" i="7"/>
  <c r="C67" i="2" l="1"/>
  <c r="C68" i="2" s="1"/>
  <c r="L57" i="2"/>
  <c r="L61" i="2" s="1"/>
  <c r="J22" i="6"/>
  <c r="K22" i="6"/>
  <c r="I22" i="6"/>
  <c r="J20" i="6"/>
  <c r="K20" i="6"/>
  <c r="I20" i="6"/>
  <c r="J18" i="6"/>
  <c r="K18" i="6"/>
  <c r="I18" i="6"/>
  <c r="C6" i="6"/>
  <c r="C10" i="6"/>
  <c r="C8" i="6"/>
  <c r="C5" i="6"/>
  <c r="K25" i="6" l="1"/>
  <c r="I25" i="6"/>
  <c r="J25" i="6"/>
  <c r="G6" i="2"/>
  <c r="C34" i="2"/>
  <c r="X7" i="2"/>
  <c r="G40" i="2" s="1"/>
  <c r="N25" i="2"/>
  <c r="S17" i="2"/>
  <c r="H38" i="2"/>
  <c r="H21" i="2"/>
  <c r="J21" i="2"/>
  <c r="N16" i="2"/>
  <c r="X4" i="2" l="1"/>
  <c r="X14" i="2" s="1"/>
  <c r="S7" i="2"/>
  <c r="S14" i="2"/>
  <c r="S16" i="2"/>
  <c r="E28" i="2" l="1"/>
  <c r="I4" i="2"/>
  <c r="X5" i="2"/>
  <c r="X11" i="2" l="1"/>
  <c r="X12" i="2"/>
  <c r="X10" i="2"/>
  <c r="X6" i="2"/>
  <c r="S8" i="2" l="1"/>
  <c r="X9" i="2" s="1"/>
  <c r="X15" i="2" s="1"/>
  <c r="S11" i="2" l="1"/>
  <c r="S18" i="2"/>
  <c r="S19" i="2" s="1"/>
  <c r="D31" i="2" s="1"/>
  <c r="S10" i="2"/>
  <c r="S9" i="2"/>
  <c r="S12" i="2" l="1"/>
  <c r="X3" i="2" l="1"/>
  <c r="L67" i="2" s="1"/>
  <c r="L71" i="2" l="1"/>
  <c r="L69" i="2"/>
  <c r="X13" i="2"/>
  <c r="C35" i="2"/>
  <c r="C52" i="2"/>
  <c r="C62" i="2" s="1"/>
  <c r="L72" i="2" l="1"/>
  <c r="C63" i="2"/>
  <c r="C64" i="2" l="1"/>
  <c r="C69" i="2" s="1"/>
  <c r="C70" i="2" s="1"/>
  <c r="C71" i="2" s="1"/>
</calcChain>
</file>

<file path=xl/sharedStrings.xml><?xml version="1.0" encoding="utf-8"?>
<sst xmlns="http://schemas.openxmlformats.org/spreadsheetml/2006/main" count="363" uniqueCount="208">
  <si>
    <t>Top choke</t>
  </si>
  <si>
    <t>eroding</t>
  </si>
  <si>
    <t>element</t>
  </si>
  <si>
    <t>Lw</t>
  </si>
  <si>
    <t>Dw</t>
  </si>
  <si>
    <t>Physical properties</t>
  </si>
  <si>
    <t>R</t>
  </si>
  <si>
    <t>Mw</t>
  </si>
  <si>
    <t>rho_o</t>
  </si>
  <si>
    <t>mu_oil</t>
  </si>
  <si>
    <t>g</t>
  </si>
  <si>
    <t>Project</t>
  </si>
  <si>
    <t>Aw</t>
  </si>
  <si>
    <t>Cpc</t>
  </si>
  <si>
    <t>Cr</t>
  </si>
  <si>
    <t>Ps</t>
  </si>
  <si>
    <t>Pr</t>
  </si>
  <si>
    <t>Tw</t>
  </si>
  <si>
    <t>Ta</t>
  </si>
  <si>
    <t>gas injection</t>
  </si>
  <si>
    <t>J/K mol</t>
  </si>
  <si>
    <t>kg/mol</t>
  </si>
  <si>
    <t>kg/m3</t>
  </si>
  <si>
    <t>Pa s</t>
  </si>
  <si>
    <t>m/s2</t>
  </si>
  <si>
    <t>m</t>
  </si>
  <si>
    <t>m2</t>
  </si>
  <si>
    <t>m3</t>
  </si>
  <si>
    <t>Pa</t>
  </si>
  <si>
    <t>K</t>
  </si>
  <si>
    <t>Pwh</t>
  </si>
  <si>
    <t>%vol gas</t>
  </si>
  <si>
    <t>Parameters</t>
  </si>
  <si>
    <t>Model</t>
  </si>
  <si>
    <t>wiv</t>
  </si>
  <si>
    <t>wpc</t>
  </si>
  <si>
    <t>wpg</t>
  </si>
  <si>
    <t>wpo</t>
  </si>
  <si>
    <t>wro</t>
  </si>
  <si>
    <t>kg/s</t>
  </si>
  <si>
    <t>rho_m</t>
  </si>
  <si>
    <t>Pwb</t>
  </si>
  <si>
    <t>Qgas</t>
  </si>
  <si>
    <t>Re</t>
  </si>
  <si>
    <t>m/s</t>
  </si>
  <si>
    <t>mgw</t>
  </si>
  <si>
    <t>mow</t>
  </si>
  <si>
    <t>kg</t>
  </si>
  <si>
    <t>rho_air</t>
  </si>
  <si>
    <t>L/min</t>
  </si>
  <si>
    <t>Leq_w</t>
  </si>
  <si>
    <t>msw</t>
  </si>
  <si>
    <t/>
  </si>
  <si>
    <t>uliq</t>
  </si>
  <si>
    <t>ugas</t>
  </si>
  <si>
    <t>wsand</t>
  </si>
  <si>
    <t>L</t>
  </si>
  <si>
    <t>Hw</t>
  </si>
  <si>
    <t>P_r</t>
  </si>
  <si>
    <t>w_ro</t>
  </si>
  <si>
    <t>reservoir</t>
  </si>
  <si>
    <t>sand injection</t>
  </si>
  <si>
    <t>w_s</t>
  </si>
  <si>
    <t>L(norm)/min</t>
  </si>
  <si>
    <t>wso</t>
  </si>
  <si>
    <t>rho_s</t>
  </si>
  <si>
    <t>kg/m3 (normal)</t>
  </si>
  <si>
    <t>DPLoss</t>
  </si>
  <si>
    <t>Unit conversion</t>
  </si>
  <si>
    <t>w_sand</t>
  </si>
  <si>
    <t>w_air</t>
  </si>
  <si>
    <t>Q_gas</t>
  </si>
  <si>
    <t>Qwater</t>
  </si>
  <si>
    <t>bar</t>
  </si>
  <si>
    <t>g/min</t>
  </si>
  <si>
    <t>L/min (norm)</t>
  </si>
  <si>
    <t>ubulk</t>
  </si>
  <si>
    <t>rho_g_w</t>
  </si>
  <si>
    <t>%vol sand</t>
  </si>
  <si>
    <t>%</t>
  </si>
  <si>
    <t>Equipment sizing</t>
  </si>
  <si>
    <t>Reservoir</t>
  </si>
  <si>
    <t>min</t>
  </si>
  <si>
    <t>V =</t>
  </si>
  <si>
    <t>tau =</t>
  </si>
  <si>
    <t>Vtotal =</t>
  </si>
  <si>
    <t>Separator</t>
  </si>
  <si>
    <t>dp sand</t>
  </si>
  <si>
    <t>s</t>
  </si>
  <si>
    <t>m/s (alone in the pipe)</t>
  </si>
  <si>
    <t>Ds</t>
  </si>
  <si>
    <t>Hs =</t>
  </si>
  <si>
    <t>V=</t>
  </si>
  <si>
    <t>Equipments</t>
  </si>
  <si>
    <t>pipes</t>
  </si>
  <si>
    <t>2cm</t>
  </si>
  <si>
    <t>4cm</t>
  </si>
  <si>
    <t>1cm</t>
  </si>
  <si>
    <t>h</t>
  </si>
  <si>
    <t>l</t>
  </si>
  <si>
    <t>Equipment list</t>
  </si>
  <si>
    <t>(guess)</t>
  </si>
  <si>
    <t>globe valves</t>
  </si>
  <si>
    <t>**2 m is the water makeup</t>
  </si>
  <si>
    <t>check valves</t>
  </si>
  <si>
    <t>Quantity</t>
  </si>
  <si>
    <t>Unit</t>
  </si>
  <si>
    <t>Internal 
diameter</t>
  </si>
  <si>
    <t>Obs:</t>
  </si>
  <si>
    <t>Pressure
sensor</t>
  </si>
  <si>
    <t>-</t>
  </si>
  <si>
    <t>Control 
valves
(pneumatic)</t>
  </si>
  <si>
    <t>Flow
meter</t>
  </si>
  <si>
    <t>For gas flow</t>
  </si>
  <si>
    <t>Pump</t>
  </si>
  <si>
    <t>Acrylic
tank</t>
  </si>
  <si>
    <t>Sand filter</t>
  </si>
  <si>
    <t>Process Conditions</t>
  </si>
  <si>
    <t>Qair</t>
  </si>
  <si>
    <t>Qsand</t>
  </si>
  <si>
    <t>Pressure</t>
  </si>
  <si>
    <t>nominal</t>
  </si>
  <si>
    <t>max</t>
  </si>
  <si>
    <t>total</t>
  </si>
  <si>
    <t>L/min/well</t>
  </si>
  <si>
    <t>Lnorm/min/well</t>
  </si>
  <si>
    <t>g/min/well</t>
  </si>
  <si>
    <t>barg</t>
  </si>
  <si>
    <t>Capacity: 2-10L for gas flow</t>
  </si>
  <si>
    <t>Capacity: 2 - 60L</t>
  </si>
  <si>
    <t>%sand</t>
  </si>
  <si>
    <t>Capacity: 70L - (max 2% weight sand)</t>
  </si>
  <si>
    <t>Qmax = 70L / 10m</t>
  </si>
  <si>
    <t>Capacity: 0 - 1 barg  (SAND??)</t>
  </si>
  <si>
    <t xml:space="preserve"> (SAND??)</t>
  </si>
  <si>
    <t>- water for filling the system + water makeup</t>
  </si>
  <si>
    <t>- air for the experiment (max 18 L_n/min, p = 0,3 barg)</t>
  </si>
  <si>
    <t>- air for the pneumatic valves</t>
  </si>
  <si>
    <t xml:space="preserve">- drain </t>
  </si>
  <si>
    <t>- energy for pumps, valves, computer, control systems</t>
  </si>
  <si>
    <t>What do I need in the lab?</t>
  </si>
  <si>
    <t>How much space?</t>
  </si>
  <si>
    <t>h= 3,4m</t>
  </si>
  <si>
    <t>A = 1,7 x 0,85 m for Phase 1</t>
  </si>
  <si>
    <t>A = 0,8 x 1 m for Phase 2</t>
  </si>
  <si>
    <t>+ desk for PC/laptop</t>
  </si>
  <si>
    <t>Sand trap</t>
  </si>
  <si>
    <t>Dst</t>
  </si>
  <si>
    <t>Dst =</t>
  </si>
  <si>
    <t>Hst</t>
  </si>
  <si>
    <t>V_sand_max</t>
  </si>
  <si>
    <t>V_sand</t>
  </si>
  <si>
    <t>M_sand</t>
  </si>
  <si>
    <t>DT</t>
  </si>
  <si>
    <t>time for filling</t>
  </si>
  <si>
    <t>For a 4h experiments</t>
  </si>
  <si>
    <t>Change in diameter</t>
  </si>
  <si>
    <t>Q =</t>
  </si>
  <si>
    <t>d =</t>
  </si>
  <si>
    <t>v_bulk =</t>
  </si>
  <si>
    <t>for the three wells with the same bulk velocity</t>
  </si>
  <si>
    <t>the sand trap if all the sand fall in the trap</t>
  </si>
  <si>
    <t>if</t>
  </si>
  <si>
    <t>of the sand is trapped in the sand trap</t>
  </si>
  <si>
    <t>the sand trap is 50% filled at the end of the 4h experiment</t>
  </si>
  <si>
    <t>drain and water makeup</t>
  </si>
  <si>
    <t>Sand traps</t>
  </si>
  <si>
    <t>one for each well</t>
  </si>
  <si>
    <t>Hs_1</t>
  </si>
  <si>
    <t>Hs_2</t>
  </si>
  <si>
    <t>Hs_1 =</t>
  </si>
  <si>
    <t>Hs_2 =</t>
  </si>
  <si>
    <t>Total volume</t>
  </si>
  <si>
    <t>tank =</t>
  </si>
  <si>
    <t>p_2 =</t>
  </si>
  <si>
    <t>p_4 =</t>
  </si>
  <si>
    <t>Vwater</t>
  </si>
  <si>
    <t>Qin =</t>
  </si>
  <si>
    <t>tau for pump side</t>
  </si>
  <si>
    <t>B =</t>
  </si>
  <si>
    <t>Area_B =</t>
  </si>
  <si>
    <t>Area =</t>
  </si>
  <si>
    <t>V_Pfilled =</t>
  </si>
  <si>
    <t>V_Ptotal =</t>
  </si>
  <si>
    <t>Vt_filled =</t>
  </si>
  <si>
    <t>Sand accumulation</t>
  </si>
  <si>
    <t>m_sand =</t>
  </si>
  <si>
    <t>V_sand =</t>
  </si>
  <si>
    <t>V_SWSfilled</t>
  </si>
  <si>
    <t>L/s</t>
  </si>
  <si>
    <t>T_fill</t>
  </si>
  <si>
    <t>%filled</t>
  </si>
  <si>
    <t>m_sand</t>
  </si>
  <si>
    <t>kg/min</t>
  </si>
  <si>
    <t>m_w</t>
  </si>
  <si>
    <t>%sol</t>
  </si>
  <si>
    <t>Slurry pump</t>
  </si>
  <si>
    <t>H=</t>
  </si>
  <si>
    <t>H baffle</t>
  </si>
  <si>
    <t>Horizontal</t>
  </si>
  <si>
    <t>well</t>
  </si>
  <si>
    <t>Riser</t>
  </si>
  <si>
    <t>Well length</t>
  </si>
  <si>
    <t>Riser length</t>
  </si>
  <si>
    <t>Pipe diameter</t>
  </si>
  <si>
    <t>1,6</t>
  </si>
  <si>
    <t>2,2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</si>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</sst>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E+00"/>
    <numFmt numFmtId="166" formatCode="_-* #,##0.0000_-;\-* #,##0.0000_-;_-* &quot;-&quot;??_-;_-@_-"/>
    <numFmt numFmtId="167" formatCode="_-* #,##0_-;\-* #,##0_-;_-* &quot;-&quot;??_-;_-@_-"/>
    <numFmt numFmtId="168" formatCode="_-* #,##0.000_-;\-* #,##0.000_-;_-* &quot;-&quot;??_-;_-@_-"/>
    <numFmt numFmtId="169" formatCode="0.000"/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>
      <alignment horizontal="right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5" fontId="0" fillId="4" borderId="1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1" fontId="0" fillId="0" borderId="0" xfId="0" applyNumberFormat="1"/>
    <xf numFmtId="0" fontId="0" fillId="5" borderId="10" xfId="0" applyFill="1" applyBorder="1"/>
    <xf numFmtId="11" fontId="0" fillId="5" borderId="10" xfId="0" applyNumberFormat="1" applyFill="1" applyBorder="1"/>
    <xf numFmtId="11" fontId="0" fillId="2" borderId="0" xfId="0" applyNumberFormat="1" applyFill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164" fontId="0" fillId="4" borderId="10" xfId="1" applyFont="1" applyFill="1" applyBorder="1"/>
    <xf numFmtId="164" fontId="0" fillId="2" borderId="1" xfId="1" applyFont="1" applyFill="1" applyBorder="1"/>
    <xf numFmtId="164" fontId="0" fillId="2" borderId="1" xfId="0" applyNumberFormat="1" applyFill="1" applyBorder="1" applyAlignment="1">
      <alignment vertical="center"/>
    </xf>
    <xf numFmtId="166" fontId="0" fillId="4" borderId="10" xfId="1" applyNumberFormat="1" applyFont="1" applyFill="1" applyBorder="1"/>
    <xf numFmtId="166" fontId="0" fillId="4" borderId="10" xfId="0" applyNumberFormat="1" applyFill="1" applyBorder="1"/>
    <xf numFmtId="164" fontId="0" fillId="4" borderId="1" xfId="1" applyFont="1" applyFill="1" applyBorder="1"/>
    <xf numFmtId="164" fontId="0" fillId="5" borderId="1" xfId="1" applyFont="1" applyFill="1" applyBorder="1"/>
    <xf numFmtId="1" fontId="0" fillId="4" borderId="1" xfId="0" applyNumberFormat="1" applyFill="1" applyBorder="1"/>
    <xf numFmtId="0" fontId="0" fillId="0" borderId="0" xfId="0" applyFill="1"/>
    <xf numFmtId="0" fontId="0" fillId="0" borderId="14" xfId="0" applyFill="1" applyBorder="1" applyAlignment="1">
      <alignment horizontal="right"/>
    </xf>
    <xf numFmtId="0" fontId="0" fillId="0" borderId="14" xfId="0" applyBorder="1"/>
    <xf numFmtId="168" fontId="0" fillId="4" borderId="1" xfId="1" applyNumberFormat="1" applyFont="1" applyFill="1" applyBorder="1"/>
    <xf numFmtId="0" fontId="0" fillId="0" borderId="0" xfId="0" applyBorder="1" applyAlignment="1">
      <alignment horizontal="right"/>
    </xf>
    <xf numFmtId="2" fontId="0" fillId="4" borderId="1" xfId="0" applyNumberFormat="1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8" borderId="21" xfId="0" applyFill="1" applyBorder="1"/>
    <xf numFmtId="0" fontId="0" fillId="8" borderId="10" xfId="0" applyFill="1" applyBorder="1"/>
    <xf numFmtId="0" fontId="0" fillId="8" borderId="25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8" borderId="20" xfId="0" applyFill="1" applyBorder="1"/>
    <xf numFmtId="0" fontId="0" fillId="0" borderId="20" xfId="0" applyBorder="1"/>
    <xf numFmtId="0" fontId="0" fillId="0" borderId="30" xfId="0" applyBorder="1"/>
    <xf numFmtId="0" fontId="0" fillId="0" borderId="0" xfId="0" quotePrefix="1"/>
    <xf numFmtId="0" fontId="0" fillId="0" borderId="22" xfId="0" quotePrefix="1" applyBorder="1"/>
    <xf numFmtId="0" fontId="0" fillId="0" borderId="19" xfId="0" applyBorder="1"/>
    <xf numFmtId="0" fontId="0" fillId="8" borderId="19" xfId="0" applyFill="1" applyBorder="1"/>
    <xf numFmtId="0" fontId="0" fillId="0" borderId="32" xfId="0" applyBorder="1"/>
    <xf numFmtId="0" fontId="0" fillId="0" borderId="34" xfId="0" applyBorder="1"/>
    <xf numFmtId="0" fontId="0" fillId="0" borderId="35" xfId="0" applyFill="1" applyBorder="1"/>
    <xf numFmtId="0" fontId="0" fillId="0" borderId="33" xfId="0" applyBorder="1" applyAlignment="1">
      <alignment horizontal="center" vertical="center"/>
    </xf>
    <xf numFmtId="0" fontId="0" fillId="8" borderId="34" xfId="0" applyFill="1" applyBorder="1"/>
    <xf numFmtId="10" fontId="0" fillId="0" borderId="0" xfId="2" applyNumberFormat="1" applyFont="1"/>
    <xf numFmtId="0" fontId="0" fillId="9" borderId="0" xfId="0" applyFill="1"/>
    <xf numFmtId="0" fontId="0" fillId="2" borderId="0" xfId="0" applyFill="1" applyBorder="1" applyAlignment="1">
      <alignment horizontal="center"/>
    </xf>
    <xf numFmtId="0" fontId="0" fillId="0" borderId="5" xfId="0" applyBorder="1"/>
    <xf numFmtId="164" fontId="0" fillId="2" borderId="0" xfId="1" applyFont="1" applyFill="1" applyBorder="1"/>
    <xf numFmtId="11" fontId="0" fillId="2" borderId="1" xfId="1" applyNumberFormat="1" applyFont="1" applyFill="1" applyBorder="1"/>
    <xf numFmtId="164" fontId="0" fillId="2" borderId="1" xfId="0" applyNumberFormat="1" applyFill="1" applyBorder="1"/>
    <xf numFmtId="164" fontId="0" fillId="2" borderId="0" xfId="0" applyNumberFormat="1" applyFill="1" applyBorder="1" applyAlignment="1">
      <alignment vertical="center"/>
    </xf>
    <xf numFmtId="164" fontId="0" fillId="2" borderId="0" xfId="1" applyFont="1" applyFill="1" applyBorder="1" applyAlignment="1">
      <alignment vertical="center"/>
    </xf>
    <xf numFmtId="0" fontId="0" fillId="2" borderId="0" xfId="0" applyFill="1"/>
    <xf numFmtId="0" fontId="0" fillId="7" borderId="10" xfId="0" applyFill="1" applyBorder="1"/>
    <xf numFmtId="11" fontId="0" fillId="7" borderId="10" xfId="0" applyNumberFormat="1" applyFill="1" applyBorder="1"/>
    <xf numFmtId="164" fontId="0" fillId="7" borderId="10" xfId="1" applyFont="1" applyFill="1" applyBorder="1"/>
    <xf numFmtId="167" fontId="0" fillId="7" borderId="10" xfId="1" applyNumberFormat="1" applyFont="1" applyFill="1" applyBorder="1"/>
    <xf numFmtId="0" fontId="3" fillId="0" borderId="14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9" fontId="0" fillId="4" borderId="1" xfId="2" applyFont="1" applyFill="1" applyBorder="1"/>
    <xf numFmtId="164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9" fontId="0" fillId="4" borderId="1" xfId="0" applyNumberFormat="1" applyFill="1" applyBorder="1"/>
    <xf numFmtId="11" fontId="0" fillId="0" borderId="0" xfId="1" applyNumberFormat="1" applyFont="1" applyBorder="1"/>
    <xf numFmtId="164" fontId="0" fillId="0" borderId="0" xfId="1" applyFont="1" applyBorder="1"/>
    <xf numFmtId="0" fontId="0" fillId="0" borderId="0" xfId="0" quotePrefix="1" applyBorder="1"/>
    <xf numFmtId="1" fontId="0" fillId="8" borderId="10" xfId="0" applyNumberFormat="1" applyFill="1" applyBorder="1"/>
    <xf numFmtId="0" fontId="3" fillId="0" borderId="14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64" fontId="0" fillId="0" borderId="0" xfId="1" applyFont="1" applyFill="1" applyBorder="1"/>
    <xf numFmtId="0" fontId="0" fillId="0" borderId="16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9" fontId="0" fillId="0" borderId="12" xfId="2" applyFont="1" applyFill="1" applyBorder="1"/>
    <xf numFmtId="0" fontId="0" fillId="0" borderId="12" xfId="0" applyFill="1" applyBorder="1"/>
    <xf numFmtId="0" fontId="0" fillId="5" borderId="1" xfId="0" applyFill="1" applyBorder="1"/>
    <xf numFmtId="166" fontId="0" fillId="4" borderId="1" xfId="1" applyNumberFormat="1" applyFont="1" applyFill="1" applyBorder="1"/>
    <xf numFmtId="0" fontId="3" fillId="0" borderId="14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0" fontId="0" fillId="4" borderId="1" xfId="0" applyNumberFormat="1" applyFill="1" applyBorder="1"/>
    <xf numFmtId="165" fontId="0" fillId="4" borderId="1" xfId="0" applyNumberFormat="1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8" borderId="21" xfId="0" applyFill="1" applyBorder="1" applyAlignment="1">
      <alignment horizontal="right"/>
    </xf>
    <xf numFmtId="0" fontId="0" fillId="8" borderId="25" xfId="0" applyFill="1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433265</xdr:colOff>
      <xdr:row>32</xdr:row>
      <xdr:rowOff>33704</xdr:rowOff>
    </xdr:from>
    <xdr:to>
      <xdr:col>8</xdr:col>
      <xdr:colOff>128465</xdr:colOff>
      <xdr:row>32</xdr:row>
      <xdr:rowOff>33704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322265" y="6032012"/>
          <a:ext cx="3705469" cy="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38100</xdr:rowOff>
    </xdr:from>
    <xdr:to>
      <xdr:col>8</xdr:col>
      <xdr:colOff>161925</xdr:colOff>
      <xdr:row>32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019675" y="793750"/>
          <a:ext cx="38100" cy="520700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</xdr:row>
      <xdr:rowOff>57150</xdr:rowOff>
    </xdr:from>
    <xdr:to>
      <xdr:col>8</xdr:col>
      <xdr:colOff>171450</xdr:colOff>
      <xdr:row>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4086225" y="812800"/>
          <a:ext cx="981075" cy="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31</xdr:row>
      <xdr:rowOff>76200</xdr:rowOff>
    </xdr:from>
    <xdr:to>
      <xdr:col>3</xdr:col>
      <xdr:colOff>458391</xdr:colOff>
      <xdr:row>32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82775" y="5873750"/>
          <a:ext cx="315516" cy="2413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Cr</a:t>
          </a:r>
        </a:p>
      </xdr:txBody>
    </xdr:sp>
    <xdr:clientData/>
  </xdr:twoCellAnchor>
  <xdr:twoCellAnchor>
    <xdr:from>
      <xdr:col>7</xdr:col>
      <xdr:colOff>136922</xdr:colOff>
      <xdr:row>3</xdr:row>
      <xdr:rowOff>123825</xdr:rowOff>
    </xdr:from>
    <xdr:to>
      <xdr:col>7</xdr:col>
      <xdr:colOff>565547</xdr:colOff>
      <xdr:row>4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23172" y="688975"/>
          <a:ext cx="428625" cy="247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Cpc</a:t>
          </a:r>
        </a:p>
      </xdr:txBody>
    </xdr:sp>
    <xdr:clientData/>
  </xdr:twoCellAnchor>
  <xdr:twoCellAnchor>
    <xdr:from>
      <xdr:col>7</xdr:col>
      <xdr:colOff>133350</xdr:colOff>
      <xdr:row>31</xdr:row>
      <xdr:rowOff>76200</xdr:rowOff>
    </xdr:from>
    <xdr:to>
      <xdr:col>7</xdr:col>
      <xdr:colOff>390525</xdr:colOff>
      <xdr:row>32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419600" y="5873750"/>
          <a:ext cx="257175" cy="2413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</xdr:col>
      <xdr:colOff>571499</xdr:colOff>
      <xdr:row>28</xdr:row>
      <xdr:rowOff>16565</xdr:rowOff>
    </xdr:from>
    <xdr:to>
      <xdr:col>4</xdr:col>
      <xdr:colOff>573571</xdr:colOff>
      <xdr:row>32</xdr:row>
      <xdr:rowOff>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920999" y="5248965"/>
          <a:ext cx="2072" cy="732738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374944</xdr:colOff>
      <xdr:row>29</xdr:row>
      <xdr:rowOff>24019</xdr:rowOff>
    </xdr:from>
    <xdr:to>
      <xdr:col>5</xdr:col>
      <xdr:colOff>171346</xdr:colOff>
      <xdr:row>30</xdr:row>
      <xdr:rowOff>72886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724444" y="5440569"/>
          <a:ext cx="513952" cy="23936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Civ</a:t>
          </a:r>
        </a:p>
      </xdr:txBody>
    </xdr:sp>
    <xdr:clientData/>
  </xdr:twoCellAnchor>
  <xdr:twoCellAnchor>
    <xdr:from>
      <xdr:col>8</xdr:col>
      <xdr:colOff>590550</xdr:colOff>
      <xdr:row>4</xdr:row>
      <xdr:rowOff>28575</xdr:rowOff>
    </xdr:from>
    <xdr:to>
      <xdr:col>9</xdr:col>
      <xdr:colOff>19050</xdr:colOff>
      <xdr:row>32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5486400" y="784225"/>
          <a:ext cx="38100" cy="5273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19</xdr:row>
      <xdr:rowOff>0</xdr:rowOff>
    </xdr:from>
    <xdr:to>
      <xdr:col>8</xdr:col>
      <xdr:colOff>38100</xdr:colOff>
      <xdr:row>19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619625" y="35306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0</xdr:rowOff>
    </xdr:from>
    <xdr:to>
      <xdr:col>8</xdr:col>
      <xdr:colOff>514350</xdr:colOff>
      <xdr:row>19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5086350" y="3530600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488673</xdr:colOff>
      <xdr:row>36</xdr:row>
      <xdr:rowOff>24842</xdr:rowOff>
    </xdr:from>
    <xdr:to>
      <xdr:col>8</xdr:col>
      <xdr:colOff>0</xdr:colOff>
      <xdr:row>36</xdr:row>
      <xdr:rowOff>24843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2228573" y="6762192"/>
          <a:ext cx="2667277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414130</xdr:colOff>
      <xdr:row>32</xdr:row>
      <xdr:rowOff>16567</xdr:rowOff>
    </xdr:from>
    <xdr:to>
      <xdr:col>5</xdr:col>
      <xdr:colOff>430541</xdr:colOff>
      <xdr:row>37</xdr:row>
      <xdr:rowOff>165652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3481180" y="5998267"/>
          <a:ext cx="16411" cy="1095235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32</xdr:row>
      <xdr:rowOff>19050</xdr:rowOff>
    </xdr:from>
    <xdr:to>
      <xdr:col>8</xdr:col>
      <xdr:colOff>133350</xdr:colOff>
      <xdr:row>32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314450" y="6181725"/>
          <a:ext cx="3352800" cy="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38100</xdr:rowOff>
    </xdr:from>
    <xdr:to>
      <xdr:col>8</xdr:col>
      <xdr:colOff>161925</xdr:colOff>
      <xdr:row>32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4657725" y="828675"/>
          <a:ext cx="38100" cy="535305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</xdr:row>
      <xdr:rowOff>57150</xdr:rowOff>
    </xdr:from>
    <xdr:to>
      <xdr:col>8</xdr:col>
      <xdr:colOff>171450</xdr:colOff>
      <xdr:row>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3724275" y="847725"/>
          <a:ext cx="981075" cy="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31</xdr:row>
      <xdr:rowOff>76200</xdr:rowOff>
    </xdr:from>
    <xdr:to>
      <xdr:col>3</xdr:col>
      <xdr:colOff>458391</xdr:colOff>
      <xdr:row>32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628775" y="6048375"/>
          <a:ext cx="315516" cy="247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Cr</a:t>
          </a:r>
        </a:p>
      </xdr:txBody>
    </xdr:sp>
    <xdr:clientData/>
  </xdr:twoCellAnchor>
  <xdr:twoCellAnchor>
    <xdr:from>
      <xdr:col>7</xdr:col>
      <xdr:colOff>136922</xdr:colOff>
      <xdr:row>3</xdr:row>
      <xdr:rowOff>123825</xdr:rowOff>
    </xdr:from>
    <xdr:to>
      <xdr:col>7</xdr:col>
      <xdr:colOff>565547</xdr:colOff>
      <xdr:row>4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061222" y="714375"/>
          <a:ext cx="428625" cy="2571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Cpc</a:t>
          </a:r>
        </a:p>
      </xdr:txBody>
    </xdr:sp>
    <xdr:clientData/>
  </xdr:twoCellAnchor>
  <xdr:twoCellAnchor>
    <xdr:from>
      <xdr:col>7</xdr:col>
      <xdr:colOff>133350</xdr:colOff>
      <xdr:row>31</xdr:row>
      <xdr:rowOff>76200</xdr:rowOff>
    </xdr:from>
    <xdr:to>
      <xdr:col>7</xdr:col>
      <xdr:colOff>390525</xdr:colOff>
      <xdr:row>32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057650" y="6048375"/>
          <a:ext cx="257175" cy="2476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</xdr:col>
      <xdr:colOff>571499</xdr:colOff>
      <xdr:row>28</xdr:row>
      <xdr:rowOff>16565</xdr:rowOff>
    </xdr:from>
    <xdr:to>
      <xdr:col>4</xdr:col>
      <xdr:colOff>573571</xdr:colOff>
      <xdr:row>32</xdr:row>
      <xdr:rowOff>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675282" y="5425108"/>
          <a:ext cx="2072" cy="762004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374944</xdr:colOff>
      <xdr:row>29</xdr:row>
      <xdr:rowOff>24019</xdr:rowOff>
    </xdr:from>
    <xdr:to>
      <xdr:col>5</xdr:col>
      <xdr:colOff>171346</xdr:colOff>
      <xdr:row>30</xdr:row>
      <xdr:rowOff>72886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478727" y="5623062"/>
          <a:ext cx="409315" cy="247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Civ</a:t>
          </a:r>
        </a:p>
      </xdr:txBody>
    </xdr:sp>
    <xdr:clientData/>
  </xdr:twoCellAnchor>
  <xdr:twoCellAnchor>
    <xdr:from>
      <xdr:col>8</xdr:col>
      <xdr:colOff>590550</xdr:colOff>
      <xdr:row>4</xdr:row>
      <xdr:rowOff>28575</xdr:rowOff>
    </xdr:from>
    <xdr:to>
      <xdr:col>9</xdr:col>
      <xdr:colOff>19050</xdr:colOff>
      <xdr:row>32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124450" y="819150"/>
          <a:ext cx="38100" cy="5419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19</xdr:row>
      <xdr:rowOff>0</xdr:rowOff>
    </xdr:from>
    <xdr:to>
      <xdr:col>8</xdr:col>
      <xdr:colOff>38100</xdr:colOff>
      <xdr:row>19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4257675" y="3667125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0</xdr:rowOff>
    </xdr:from>
    <xdr:to>
      <xdr:col>8</xdr:col>
      <xdr:colOff>514350</xdr:colOff>
      <xdr:row>19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4724400" y="36671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488673</xdr:colOff>
      <xdr:row>36</xdr:row>
      <xdr:rowOff>24842</xdr:rowOff>
    </xdr:from>
    <xdr:to>
      <xdr:col>8</xdr:col>
      <xdr:colOff>0</xdr:colOff>
      <xdr:row>36</xdr:row>
      <xdr:rowOff>24843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79543" y="7015364"/>
          <a:ext cx="265043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414130</xdr:colOff>
      <xdr:row>32</xdr:row>
      <xdr:rowOff>16567</xdr:rowOff>
    </xdr:from>
    <xdr:to>
      <xdr:col>5</xdr:col>
      <xdr:colOff>430541</xdr:colOff>
      <xdr:row>37</xdr:row>
      <xdr:rowOff>165652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3404152" y="6228524"/>
          <a:ext cx="16411" cy="1134715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136072</xdr:colOff>
      <xdr:row>18</xdr:row>
      <xdr:rowOff>149678</xdr:rowOff>
    </xdr:from>
    <xdr:to>
      <xdr:col>29</xdr:col>
      <xdr:colOff>280376</xdr:colOff>
      <xdr:row>39</xdr:row>
      <xdr:rowOff>46816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8143" y="3646714"/>
          <a:ext cx="449859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595924</xdr:colOff>
      <xdr:row>25</xdr:row>
      <xdr:rowOff>21982</xdr:rowOff>
    </xdr:from>
    <xdr:to>
      <xdr:col>25</xdr:col>
      <xdr:colOff>95251</xdr:colOff>
      <xdr:row>25</xdr:row>
      <xdr:rowOff>139213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5962924" y="4711213"/>
          <a:ext cx="109904" cy="117231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703383</xdr:colOff>
      <xdr:row>51</xdr:row>
      <xdr:rowOff>63500</xdr:rowOff>
    </xdr:from>
    <xdr:to>
      <xdr:col>15</xdr:col>
      <xdr:colOff>263767</xdr:colOff>
      <xdr:row>57</xdr:row>
      <xdr:rowOff>38229</xdr:rowOff>
    </xdr:to>
    <xdr:sp macro="" textlink="">
      <xdr:nvSpPr>
        <xdr:cNvPr id="43" name="Flowchart: Magnetic Disk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9002345" y="12675577"/>
          <a:ext cx="918307" cy="11177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23</xdr:col>
      <xdr:colOff>2885</xdr:colOff>
      <xdr:row>55</xdr:row>
      <xdr:rowOff>89647</xdr:rowOff>
    </xdr:from>
    <xdr:to>
      <xdr:col>24</xdr:col>
      <xdr:colOff>261470</xdr:colOff>
      <xdr:row>59</xdr:row>
      <xdr:rowOff>75825</xdr:rowOff>
    </xdr:to>
    <xdr:sp macro="" textlink="">
      <xdr:nvSpPr>
        <xdr:cNvPr id="21" name="Flowchart: Merg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4636749" y="10393965"/>
          <a:ext cx="977289" cy="748178"/>
        </a:xfrm>
        <a:prstGeom prst="flowChartMerg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608133</xdr:colOff>
      <xdr:row>51</xdr:row>
      <xdr:rowOff>63500</xdr:rowOff>
    </xdr:from>
    <xdr:to>
      <xdr:col>24</xdr:col>
      <xdr:colOff>263767</xdr:colOff>
      <xdr:row>56</xdr:row>
      <xdr:rowOff>29882</xdr:rowOff>
    </xdr:to>
    <xdr:sp macro="" textlink="">
      <xdr:nvSpPr>
        <xdr:cNvPr id="35" name="Flowchart: Magnetic Dis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4675251" y="9745382"/>
          <a:ext cx="985398" cy="93755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24</xdr:col>
      <xdr:colOff>333828</xdr:colOff>
      <xdr:row>51</xdr:row>
      <xdr:rowOff>188553</xdr:rowOff>
    </xdr:from>
    <xdr:to>
      <xdr:col>24</xdr:col>
      <xdr:colOff>336675</xdr:colOff>
      <xdr:row>55</xdr:row>
      <xdr:rowOff>112486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H="1">
          <a:off x="15693571" y="9778867"/>
          <a:ext cx="2847" cy="6931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326571</xdr:colOff>
      <xdr:row>55</xdr:row>
      <xdr:rowOff>108724</xdr:rowOff>
    </xdr:from>
    <xdr:to>
      <xdr:col>24</xdr:col>
      <xdr:colOff>336676</xdr:colOff>
      <xdr:row>59</xdr:row>
      <xdr:rowOff>68942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15686314" y="10468295"/>
          <a:ext cx="10105" cy="7294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17362</xdr:colOff>
      <xdr:row>51</xdr:row>
      <xdr:rowOff>3629</xdr:rowOff>
    </xdr:from>
    <xdr:to>
      <xdr:col>24</xdr:col>
      <xdr:colOff>268514</xdr:colOff>
      <xdr:row>51</xdr:row>
      <xdr:rowOff>7125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14658648" y="9593943"/>
          <a:ext cx="969609" cy="34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560293</xdr:colOff>
      <xdr:row>56</xdr:row>
      <xdr:rowOff>29134</xdr:rowOff>
    </xdr:from>
    <xdr:to>
      <xdr:col>7</xdr:col>
      <xdr:colOff>11205</xdr:colOff>
      <xdr:row>68</xdr:row>
      <xdr:rowOff>87704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CECAE81-9BF8-4FB2-99E2-C4EF03576049}"/>
            </a:ext>
          </a:extLst>
        </xdr:cNvPr>
        <xdr:cNvGrpSpPr/>
      </xdr:nvGrpSpPr>
      <xdr:grpSpPr>
        <a:xfrm>
          <a:off x="3370168" y="10840009"/>
          <a:ext cx="1911537" cy="2344570"/>
          <a:chOff x="2655794" y="10428193"/>
          <a:chExt cx="1344706" cy="2479041"/>
        </a:xfrm>
      </xdr:grpSpPr>
      <xdr:sp macro="" textlink="">
        <xdr:nvSpPr>
          <xdr:cNvPr id="15" name="Flowchart: Process 14">
            <a:extLst>
              <a:ext uri="{FF2B5EF4-FFF2-40B4-BE49-F238E27FC236}">
                <a16:creationId xmlns:a16="http://schemas.microsoft.com/office/drawing/2014/main" id="{3B567ED2-F52D-461B-AA4D-B5CF2FBEE07A}"/>
              </a:ext>
            </a:extLst>
          </xdr:cNvPr>
          <xdr:cNvSpPr/>
        </xdr:nvSpPr>
        <xdr:spPr>
          <a:xfrm>
            <a:off x="2655794" y="11082617"/>
            <a:ext cx="1080000" cy="1800000"/>
          </a:xfrm>
          <a:prstGeom prst="flowChartProcess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nb-NO" sz="1100"/>
          </a:p>
        </xdr:txBody>
      </xdr:sp>
      <xdr:sp macro="" textlink="">
        <xdr:nvSpPr>
          <xdr:cNvPr id="49" name="Flowchart: Process 48">
            <a:extLst>
              <a:ext uri="{FF2B5EF4-FFF2-40B4-BE49-F238E27FC236}">
                <a16:creationId xmlns:a16="http://schemas.microsoft.com/office/drawing/2014/main" id="{39567B4B-98C2-497F-93FE-D3E0C9442810}"/>
              </a:ext>
            </a:extLst>
          </xdr:cNvPr>
          <xdr:cNvSpPr/>
        </xdr:nvSpPr>
        <xdr:spPr>
          <a:xfrm>
            <a:off x="2920252" y="10450605"/>
            <a:ext cx="1080000" cy="1800000"/>
          </a:xfrm>
          <a:prstGeom prst="flowChartProcess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nb-NO" sz="1100"/>
          </a:p>
        </xdr:txBody>
      </xdr:sp>
      <xdr:sp macro="" textlink="">
        <xdr:nvSpPr>
          <xdr:cNvPr id="17" name="Flowchart: Data 16">
            <a:extLst>
              <a:ext uri="{FF2B5EF4-FFF2-40B4-BE49-F238E27FC236}">
                <a16:creationId xmlns:a16="http://schemas.microsoft.com/office/drawing/2014/main" id="{692D113F-EB2E-40A1-993A-72DE64A3E106}"/>
              </a:ext>
            </a:extLst>
          </xdr:cNvPr>
          <xdr:cNvSpPr/>
        </xdr:nvSpPr>
        <xdr:spPr>
          <a:xfrm>
            <a:off x="2667000" y="12259234"/>
            <a:ext cx="1333500" cy="648000"/>
          </a:xfrm>
          <a:prstGeom prst="flowChartInputOutput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nb-NO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Flowchart: Data 57">
            <a:extLst>
              <a:ext uri="{FF2B5EF4-FFF2-40B4-BE49-F238E27FC236}">
                <a16:creationId xmlns:a16="http://schemas.microsoft.com/office/drawing/2014/main" id="{5579C335-32A1-4E9D-AC72-98D225E18640}"/>
              </a:ext>
            </a:extLst>
          </xdr:cNvPr>
          <xdr:cNvSpPr/>
        </xdr:nvSpPr>
        <xdr:spPr>
          <a:xfrm>
            <a:off x="2662517" y="10428193"/>
            <a:ext cx="1333500" cy="648000"/>
          </a:xfrm>
          <a:prstGeom prst="flowChartInputOutput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nb-NO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571500</xdr:colOff>
      <xdr:row>69</xdr:row>
      <xdr:rowOff>78441</xdr:rowOff>
    </xdr:from>
    <xdr:to>
      <xdr:col>5</xdr:col>
      <xdr:colOff>448236</xdr:colOff>
      <xdr:row>69</xdr:row>
      <xdr:rowOff>199594</xdr:rowOff>
    </xdr:to>
    <xdr:sp macro="" textlink="">
      <xdr:nvSpPr>
        <xdr:cNvPr id="61" name="Left Brace 60">
          <a:extLst>
            <a:ext uri="{FF2B5EF4-FFF2-40B4-BE49-F238E27FC236}">
              <a16:creationId xmlns:a16="http://schemas.microsoft.com/office/drawing/2014/main" id="{E775BCCF-8EB1-4F2D-9CBC-0694696DA6BF}"/>
            </a:ext>
          </a:extLst>
        </xdr:cNvPr>
        <xdr:cNvSpPr/>
      </xdr:nvSpPr>
      <xdr:spPr>
        <a:xfrm rot="5400000" flipH="1">
          <a:off x="3121894" y="13440400"/>
          <a:ext cx="121153" cy="560294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44823</xdr:colOff>
      <xdr:row>70</xdr:row>
      <xdr:rowOff>100853</xdr:rowOff>
    </xdr:from>
    <xdr:to>
      <xdr:col>5</xdr:col>
      <xdr:colOff>302559</xdr:colOff>
      <xdr:row>72</xdr:row>
      <xdr:rowOff>1299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14931CB-B66E-4554-B04B-E1446EA2DE06}"/>
            </a:ext>
          </a:extLst>
        </xdr:cNvPr>
        <xdr:cNvSpPr txBox="1"/>
      </xdr:nvSpPr>
      <xdr:spPr>
        <a:xfrm>
          <a:off x="3059205" y="13884088"/>
          <a:ext cx="257736" cy="303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4</xdr:col>
      <xdr:colOff>560293</xdr:colOff>
      <xdr:row>58</xdr:row>
      <xdr:rowOff>85159</xdr:rowOff>
    </xdr:from>
    <xdr:to>
      <xdr:col>6</xdr:col>
      <xdr:colOff>605117</xdr:colOff>
      <xdr:row>61</xdr:row>
      <xdr:rowOff>128042</xdr:rowOff>
    </xdr:to>
    <xdr:sp macro="" textlink="">
      <xdr:nvSpPr>
        <xdr:cNvPr id="64" name="Flowchart: Data 63">
          <a:extLst>
            <a:ext uri="{FF2B5EF4-FFF2-40B4-BE49-F238E27FC236}">
              <a16:creationId xmlns:a16="http://schemas.microsoft.com/office/drawing/2014/main" id="{696857FD-58D0-4D91-AC32-61D08FC089BB}"/>
            </a:ext>
          </a:extLst>
        </xdr:cNvPr>
        <xdr:cNvSpPr/>
      </xdr:nvSpPr>
      <xdr:spPr>
        <a:xfrm>
          <a:off x="2891117" y="11447924"/>
          <a:ext cx="1333500" cy="648000"/>
        </a:xfrm>
        <a:prstGeom prst="flowChartInputOutput">
          <a:avLst/>
        </a:prstGeom>
        <a:solidFill>
          <a:schemeClr val="accent1">
            <a:alpha val="78000"/>
          </a:schemeClr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nb-NO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527796</xdr:colOff>
      <xdr:row>58</xdr:row>
      <xdr:rowOff>67235</xdr:rowOff>
    </xdr:from>
    <xdr:to>
      <xdr:col>6</xdr:col>
      <xdr:colOff>214032</xdr:colOff>
      <xdr:row>68</xdr:row>
      <xdr:rowOff>87704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DE4A68EE-4530-47A1-B499-8B49437B76B0}"/>
            </a:ext>
          </a:extLst>
        </xdr:cNvPr>
        <xdr:cNvGrpSpPr/>
      </xdr:nvGrpSpPr>
      <xdr:grpSpPr>
        <a:xfrm>
          <a:off x="4052046" y="11259110"/>
          <a:ext cx="289486" cy="1925469"/>
          <a:chOff x="3542178" y="11430000"/>
          <a:chExt cx="291354" cy="2037528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76ABC1E8-E574-4F80-A2C6-0F52E9BEFDD6}"/>
              </a:ext>
            </a:extLst>
          </xdr:cNvPr>
          <xdr:cNvCxnSpPr>
            <a:stCxn id="64" idx="4"/>
            <a:endCxn id="17" idx="4"/>
          </xdr:cNvCxnSpPr>
        </xdr:nvCxnSpPr>
        <xdr:spPr>
          <a:xfrm>
            <a:off x="3557867" y="12095924"/>
            <a:ext cx="11206" cy="1371604"/>
          </a:xfrm>
          <a:prstGeom prst="line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90C9FFAD-9712-4F86-BE2C-8383BF0F8FBB}"/>
              </a:ext>
            </a:extLst>
          </xdr:cNvPr>
          <xdr:cNvCxnSpPr/>
        </xdr:nvCxnSpPr>
        <xdr:spPr>
          <a:xfrm flipH="1">
            <a:off x="3542178" y="11430000"/>
            <a:ext cx="279028" cy="665928"/>
          </a:xfrm>
          <a:prstGeom prst="line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43176362-1002-4077-A130-72420F88250D}"/>
              </a:ext>
            </a:extLst>
          </xdr:cNvPr>
          <xdr:cNvCxnSpPr/>
        </xdr:nvCxnSpPr>
        <xdr:spPr>
          <a:xfrm flipH="1">
            <a:off x="3548901" y="12792635"/>
            <a:ext cx="279028" cy="665928"/>
          </a:xfrm>
          <a:prstGeom prst="line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A47AB5A3-6523-40B0-AB69-957B977F6B8A}"/>
              </a:ext>
            </a:extLst>
          </xdr:cNvPr>
          <xdr:cNvCxnSpPr/>
        </xdr:nvCxnSpPr>
        <xdr:spPr>
          <a:xfrm>
            <a:off x="3822326" y="11452707"/>
            <a:ext cx="11206" cy="1371604"/>
          </a:xfrm>
          <a:prstGeom prst="line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39686</xdr:colOff>
      <xdr:row>65</xdr:row>
      <xdr:rowOff>31644</xdr:rowOff>
    </xdr:from>
    <xdr:to>
      <xdr:col>7</xdr:col>
      <xdr:colOff>85405</xdr:colOff>
      <xdr:row>69</xdr:row>
      <xdr:rowOff>14412</xdr:rowOff>
    </xdr:to>
    <xdr:sp macro="" textlink="">
      <xdr:nvSpPr>
        <xdr:cNvPr id="73" name="Left Brace 72">
          <a:extLst>
            <a:ext uri="{FF2B5EF4-FFF2-40B4-BE49-F238E27FC236}">
              <a16:creationId xmlns:a16="http://schemas.microsoft.com/office/drawing/2014/main" id="{DCD3FBCC-7FF1-4C59-B8E3-79BF9CE7804E}"/>
            </a:ext>
          </a:extLst>
        </xdr:cNvPr>
        <xdr:cNvSpPr/>
      </xdr:nvSpPr>
      <xdr:spPr>
        <a:xfrm rot="1102107" flipH="1">
          <a:off x="4264304" y="12795144"/>
          <a:ext cx="45719" cy="789592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168087</xdr:colOff>
      <xdr:row>66</xdr:row>
      <xdr:rowOff>112059</xdr:rowOff>
    </xdr:from>
    <xdr:to>
      <xdr:col>7</xdr:col>
      <xdr:colOff>425823</xdr:colOff>
      <xdr:row>68</xdr:row>
      <xdr:rowOff>12505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B3AFA17-05C5-4FD6-B937-5CBA196F16BC}"/>
            </a:ext>
          </a:extLst>
        </xdr:cNvPr>
        <xdr:cNvSpPr txBox="1"/>
      </xdr:nvSpPr>
      <xdr:spPr>
        <a:xfrm>
          <a:off x="4392705" y="13077265"/>
          <a:ext cx="257736" cy="303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</a:t>
          </a:r>
        </a:p>
      </xdr:txBody>
    </xdr:sp>
    <xdr:clientData/>
  </xdr:twoCellAnchor>
  <xdr:twoCellAnchor>
    <xdr:from>
      <xdr:col>7</xdr:col>
      <xdr:colOff>190499</xdr:colOff>
      <xdr:row>56</xdr:row>
      <xdr:rowOff>11206</xdr:rowOff>
    </xdr:from>
    <xdr:to>
      <xdr:col>7</xdr:col>
      <xdr:colOff>247189</xdr:colOff>
      <xdr:row>65</xdr:row>
      <xdr:rowOff>9549</xdr:rowOff>
    </xdr:to>
    <xdr:sp macro="" textlink="">
      <xdr:nvSpPr>
        <xdr:cNvPr id="76" name="Left Brace 75">
          <a:extLst>
            <a:ext uri="{FF2B5EF4-FFF2-40B4-BE49-F238E27FC236}">
              <a16:creationId xmlns:a16="http://schemas.microsoft.com/office/drawing/2014/main" id="{3693C922-6FF6-4F62-8B66-E215F8246345}"/>
            </a:ext>
          </a:extLst>
        </xdr:cNvPr>
        <xdr:cNvSpPr/>
      </xdr:nvSpPr>
      <xdr:spPr>
        <a:xfrm rot="10800000">
          <a:off x="4415117" y="10970559"/>
          <a:ext cx="56690" cy="1802490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331693</xdr:colOff>
      <xdr:row>59</xdr:row>
      <xdr:rowOff>186018</xdr:rowOff>
    </xdr:from>
    <xdr:to>
      <xdr:col>7</xdr:col>
      <xdr:colOff>589429</xdr:colOff>
      <xdr:row>61</xdr:row>
      <xdr:rowOff>86465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CE9E9DE-97CC-43AF-948B-3C074243A9C1}"/>
            </a:ext>
          </a:extLst>
        </xdr:cNvPr>
        <xdr:cNvSpPr txBox="1"/>
      </xdr:nvSpPr>
      <xdr:spPr>
        <a:xfrm>
          <a:off x="4556311" y="11750489"/>
          <a:ext cx="257736" cy="303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</a:t>
          </a:r>
        </a:p>
      </xdr:txBody>
    </xdr:sp>
    <xdr:clientData/>
  </xdr:twoCellAnchor>
  <xdr:twoCellAnchor>
    <xdr:from>
      <xdr:col>4</xdr:col>
      <xdr:colOff>355457</xdr:colOff>
      <xdr:row>67</xdr:row>
      <xdr:rowOff>156881</xdr:rowOff>
    </xdr:from>
    <xdr:to>
      <xdr:col>5</xdr:col>
      <xdr:colOff>30651</xdr:colOff>
      <xdr:row>69</xdr:row>
      <xdr:rowOff>121599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6DA27C2-7A81-4634-853D-F7C0AEAB8630}"/>
            </a:ext>
          </a:extLst>
        </xdr:cNvPr>
        <xdr:cNvCxnSpPr>
          <a:stCxn id="79" idx="0"/>
        </xdr:cNvCxnSpPr>
      </xdr:nvCxnSpPr>
      <xdr:spPr>
        <a:xfrm flipV="1">
          <a:off x="2686281" y="13323793"/>
          <a:ext cx="358752" cy="36813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</xdr:colOff>
      <xdr:row>69</xdr:row>
      <xdr:rowOff>121599</xdr:rowOff>
    </xdr:from>
    <xdr:to>
      <xdr:col>4</xdr:col>
      <xdr:colOff>664714</xdr:colOff>
      <xdr:row>71</xdr:row>
      <xdr:rowOff>33252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F735BBE-6C0C-4ED6-8793-1D3E88228DEF}"/>
            </a:ext>
          </a:extLst>
        </xdr:cNvPr>
        <xdr:cNvSpPr txBox="1"/>
      </xdr:nvSpPr>
      <xdr:spPr>
        <a:xfrm>
          <a:off x="2342029" y="13691923"/>
          <a:ext cx="653509" cy="315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Area_B</a:t>
          </a:r>
        </a:p>
      </xdr:txBody>
    </xdr:sp>
    <xdr:clientData/>
  </xdr:twoCellAnchor>
  <xdr:twoCellAnchor>
    <xdr:from>
      <xdr:col>3</xdr:col>
      <xdr:colOff>403411</xdr:colOff>
      <xdr:row>63</xdr:row>
      <xdr:rowOff>11205</xdr:rowOff>
    </xdr:from>
    <xdr:to>
      <xdr:col>4</xdr:col>
      <xdr:colOff>638734</xdr:colOff>
      <xdr:row>64</xdr:row>
      <xdr:rowOff>116118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802AF5E6-DCD6-400A-A4E6-052FC7C1FCAE}"/>
            </a:ext>
          </a:extLst>
        </xdr:cNvPr>
        <xdr:cNvSpPr txBox="1"/>
      </xdr:nvSpPr>
      <xdr:spPr>
        <a:xfrm>
          <a:off x="2129117" y="12382499"/>
          <a:ext cx="840441" cy="306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V_Pfilled</a:t>
          </a:r>
        </a:p>
      </xdr:txBody>
    </xdr:sp>
    <xdr:clientData/>
  </xdr:twoCellAnchor>
  <xdr:twoCellAnchor>
    <xdr:from>
      <xdr:col>4</xdr:col>
      <xdr:colOff>429416</xdr:colOff>
      <xdr:row>63</xdr:row>
      <xdr:rowOff>173147</xdr:rowOff>
    </xdr:from>
    <xdr:to>
      <xdr:col>5</xdr:col>
      <xdr:colOff>257736</xdr:colOff>
      <xdr:row>64</xdr:row>
      <xdr:rowOff>11206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322975A-95FD-4846-9CBA-45A7878028BB}"/>
            </a:ext>
          </a:extLst>
        </xdr:cNvPr>
        <xdr:cNvCxnSpPr/>
      </xdr:nvCxnSpPr>
      <xdr:spPr>
        <a:xfrm>
          <a:off x="2760240" y="12544441"/>
          <a:ext cx="511878" cy="3976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474239</xdr:colOff>
      <xdr:row>65</xdr:row>
      <xdr:rowOff>5059</xdr:rowOff>
    </xdr:from>
    <xdr:to>
      <xdr:col>4</xdr:col>
      <xdr:colOff>485283</xdr:colOff>
      <xdr:row>67</xdr:row>
      <xdr:rowOff>132061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770F970-4C81-461D-9361-E0B21FD9D7AC}"/>
            </a:ext>
          </a:extLst>
        </xdr:cNvPr>
        <xdr:cNvSpPr txBox="1"/>
      </xdr:nvSpPr>
      <xdr:spPr>
        <a:xfrm>
          <a:off x="2199945" y="12768559"/>
          <a:ext cx="616162" cy="5304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pump</a:t>
          </a:r>
        </a:p>
        <a:p>
          <a:r>
            <a:rPr lang="en-US" sz="1100"/>
            <a:t>side</a:t>
          </a:r>
        </a:p>
      </xdr:txBody>
    </xdr:sp>
    <xdr:clientData/>
  </xdr:twoCellAnchor>
  <xdr:twoCellAnchor>
    <xdr:from>
      <xdr:col>4</xdr:col>
      <xdr:colOff>246529</xdr:colOff>
      <xdr:row>66</xdr:row>
      <xdr:rowOff>168581</xdr:rowOff>
    </xdr:from>
    <xdr:to>
      <xdr:col>5</xdr:col>
      <xdr:colOff>21291</xdr:colOff>
      <xdr:row>66</xdr:row>
      <xdr:rowOff>179294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3D7B90E-55D8-4BC8-8D44-3D7C2323F765}"/>
            </a:ext>
          </a:extLst>
        </xdr:cNvPr>
        <xdr:cNvCxnSpPr>
          <a:stCxn id="17" idx="2"/>
        </xdr:cNvCxnSpPr>
      </xdr:nvCxnSpPr>
      <xdr:spPr>
        <a:xfrm flipH="1">
          <a:off x="2577353" y="13133787"/>
          <a:ext cx="458320" cy="1071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481853</xdr:colOff>
      <xdr:row>54</xdr:row>
      <xdr:rowOff>123265</xdr:rowOff>
    </xdr:from>
    <xdr:to>
      <xdr:col>6</xdr:col>
      <xdr:colOff>485103</xdr:colOff>
      <xdr:row>59</xdr:row>
      <xdr:rowOff>56029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CEF1EF1B-7802-4528-81C0-D9F605BF39D3}"/>
            </a:ext>
          </a:extLst>
        </xdr:cNvPr>
        <xdr:cNvCxnSpPr/>
      </xdr:nvCxnSpPr>
      <xdr:spPr>
        <a:xfrm flipH="1">
          <a:off x="4101353" y="10679206"/>
          <a:ext cx="3250" cy="94129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4"/>
  <sheetViews>
    <sheetView tabSelected="1" zoomScale="55" zoomScaleNormal="55" workbookViewId="0">
      <selection activeCell="R35" sqref="R35"/>
    </sheetView>
  </sheetViews>
  <sheetFormatPr defaultRowHeight="14.5" x14ac:dyDescent="0.35"/>
  <cols>
    <col min="1" max="1" width="4" customWidth="1"/>
    <col min="3" max="3" width="12.1796875" bestFit="1" customWidth="1"/>
    <col min="5" max="5" width="10.26953125" bestFit="1" customWidth="1"/>
    <col min="12" max="12" width="11.1796875" bestFit="1" customWidth="1"/>
  </cols>
  <sheetData>
    <row r="1" spans="2:11" ht="15" thickBot="1" x14ac:dyDescent="0.4"/>
    <row r="2" spans="2:11" x14ac:dyDescent="0.3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35">
      <c r="B3" s="4"/>
      <c r="C3" s="5"/>
      <c r="D3" s="5"/>
      <c r="E3" s="5"/>
      <c r="F3" s="5"/>
      <c r="G3" s="5"/>
      <c r="H3" s="11"/>
      <c r="I3" s="5"/>
      <c r="J3" s="5"/>
      <c r="K3" s="6"/>
    </row>
    <row r="4" spans="2:11" x14ac:dyDescent="0.35">
      <c r="B4" s="4"/>
      <c r="C4" s="5"/>
      <c r="D4" s="5"/>
      <c r="E4" s="5"/>
      <c r="F4" s="5"/>
      <c r="G4" s="5" t="s">
        <v>0</v>
      </c>
      <c r="H4" s="5"/>
      <c r="I4" s="85"/>
      <c r="J4" s="5"/>
      <c r="K4" s="6"/>
    </row>
    <row r="5" spans="2:11" ht="15" thickBot="1" x14ac:dyDescent="0.4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ht="15" thickBot="1" x14ac:dyDescent="0.4">
      <c r="B6" s="4"/>
      <c r="C6" s="5"/>
      <c r="D6" s="5"/>
      <c r="E6" s="5"/>
      <c r="F6" s="10" t="s">
        <v>15</v>
      </c>
      <c r="G6" s="40">
        <f>Nominal!N20/100000</f>
        <v>1</v>
      </c>
      <c r="H6" s="5" t="s">
        <v>73</v>
      </c>
      <c r="I6" s="5"/>
      <c r="J6" s="5"/>
      <c r="K6" s="6"/>
    </row>
    <row r="7" spans="2:11" x14ac:dyDescent="0.35">
      <c r="B7" s="4"/>
      <c r="C7" s="5"/>
      <c r="D7" s="5"/>
      <c r="E7" s="5"/>
      <c r="F7" s="5"/>
      <c r="G7" s="5"/>
      <c r="H7" s="5"/>
      <c r="I7" s="5"/>
      <c r="J7" s="5"/>
      <c r="K7" s="6"/>
    </row>
    <row r="8" spans="2:11" x14ac:dyDescent="0.35">
      <c r="B8" s="4"/>
      <c r="C8" s="5"/>
      <c r="D8" s="5"/>
      <c r="E8" s="5"/>
      <c r="F8" s="5"/>
      <c r="G8" s="5"/>
      <c r="H8" s="5"/>
      <c r="I8" s="5"/>
      <c r="J8" s="5"/>
      <c r="K8" s="6"/>
    </row>
    <row r="9" spans="2:11" x14ac:dyDescent="0.35">
      <c r="B9" s="4"/>
      <c r="C9" s="5"/>
      <c r="D9" s="5"/>
      <c r="E9" s="5"/>
      <c r="F9" s="5"/>
      <c r="G9" s="5"/>
      <c r="H9" s="5"/>
      <c r="I9" s="5"/>
      <c r="J9" s="5"/>
      <c r="K9" s="6"/>
    </row>
    <row r="10" spans="2:11" x14ac:dyDescent="0.35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35">
      <c r="B11" s="4"/>
      <c r="C11" s="5"/>
      <c r="D11" s="5"/>
      <c r="E11" s="5"/>
      <c r="F11" s="5"/>
      <c r="G11" s="5"/>
      <c r="H11" s="5"/>
      <c r="I11" s="5"/>
      <c r="J11" s="5"/>
      <c r="K11" s="6"/>
    </row>
    <row r="12" spans="2:11" x14ac:dyDescent="0.35">
      <c r="B12" s="4"/>
      <c r="C12" s="5"/>
      <c r="D12" s="5"/>
      <c r="E12" s="5"/>
      <c r="F12" s="5"/>
      <c r="G12" s="5"/>
      <c r="H12" s="5"/>
      <c r="I12" s="5"/>
      <c r="J12" s="5"/>
      <c r="K12" s="6"/>
    </row>
    <row r="13" spans="2:11" x14ac:dyDescent="0.35">
      <c r="B13" s="4"/>
      <c r="C13" s="5"/>
      <c r="D13" s="5"/>
      <c r="E13" s="5"/>
      <c r="F13" s="5"/>
      <c r="G13" s="5"/>
      <c r="H13" s="5"/>
      <c r="I13" s="5"/>
      <c r="J13" s="5"/>
      <c r="K13" s="6"/>
    </row>
    <row r="14" spans="2:11" x14ac:dyDescent="0.35">
      <c r="B14" s="4"/>
      <c r="C14" s="5"/>
      <c r="D14" s="5"/>
      <c r="E14" s="5"/>
      <c r="F14" s="5"/>
      <c r="G14" s="5"/>
      <c r="H14" s="5"/>
      <c r="I14" s="5"/>
      <c r="J14" s="5"/>
      <c r="K14" s="6"/>
    </row>
    <row r="15" spans="2:11" x14ac:dyDescent="0.35">
      <c r="B15" s="4"/>
      <c r="C15" s="5"/>
      <c r="D15" s="5"/>
      <c r="E15" s="5"/>
      <c r="F15" s="5"/>
      <c r="G15" s="5"/>
      <c r="H15" s="5"/>
      <c r="I15" s="5"/>
      <c r="J15" s="5"/>
      <c r="K15" s="6"/>
    </row>
    <row r="16" spans="2:11" x14ac:dyDescent="0.35">
      <c r="B16" s="4"/>
      <c r="C16" s="5"/>
      <c r="D16" s="5"/>
      <c r="E16" s="5"/>
      <c r="F16" s="5"/>
      <c r="G16" s="5"/>
      <c r="H16" s="5"/>
      <c r="I16" s="5"/>
      <c r="J16" s="5"/>
      <c r="K16" s="6"/>
    </row>
    <row r="17" spans="2:11" x14ac:dyDescent="0.35">
      <c r="B17" s="4"/>
      <c r="C17" s="5"/>
      <c r="D17" s="5"/>
      <c r="E17" s="5"/>
      <c r="F17" s="5"/>
      <c r="G17" s="5"/>
      <c r="H17" s="5"/>
      <c r="I17" s="5"/>
      <c r="J17" s="5"/>
      <c r="K17" s="6"/>
    </row>
    <row r="18" spans="2:11" x14ac:dyDescent="0.35">
      <c r="B18" s="4"/>
      <c r="C18" s="5"/>
      <c r="D18" s="5"/>
      <c r="E18" s="5"/>
      <c r="F18" s="5"/>
      <c r="G18" s="5"/>
      <c r="H18" s="5"/>
      <c r="I18" s="5"/>
      <c r="J18" s="5"/>
      <c r="K18" s="6"/>
    </row>
    <row r="19" spans="2:11" x14ac:dyDescent="0.35">
      <c r="B19" s="4"/>
      <c r="C19" s="5"/>
      <c r="D19" s="5"/>
      <c r="E19" s="5"/>
      <c r="F19" s="5"/>
      <c r="G19" s="5"/>
      <c r="H19" s="5"/>
      <c r="I19" s="5"/>
      <c r="J19" s="5"/>
      <c r="K19" s="6"/>
    </row>
    <row r="20" spans="2:11" ht="15" thickBot="1" x14ac:dyDescent="0.4">
      <c r="B20" s="4"/>
      <c r="C20" s="5"/>
      <c r="D20" s="5"/>
      <c r="E20" s="5"/>
      <c r="F20" s="5"/>
      <c r="G20" s="5"/>
      <c r="H20" s="10" t="s">
        <v>4</v>
      </c>
      <c r="I20" s="5"/>
      <c r="J20" s="5" t="s">
        <v>57</v>
      </c>
      <c r="K20" s="6"/>
    </row>
    <row r="21" spans="2:11" ht="15" thickBot="1" x14ac:dyDescent="0.4">
      <c r="B21" s="4"/>
      <c r="C21" s="5"/>
      <c r="D21" s="10"/>
      <c r="E21" s="88"/>
      <c r="F21" s="5"/>
      <c r="G21" s="5"/>
      <c r="H21" s="86">
        <f>Nominal!N15</f>
        <v>0.02</v>
      </c>
      <c r="I21" s="5"/>
      <c r="J21" s="87">
        <f>Nominal!N14</f>
        <v>2.2000000000000002</v>
      </c>
      <c r="K21" s="6" t="s">
        <v>25</v>
      </c>
    </row>
    <row r="22" spans="2:11" x14ac:dyDescent="0.35">
      <c r="B22" s="4"/>
      <c r="C22" s="5"/>
      <c r="D22" s="10"/>
      <c r="E22" s="89"/>
      <c r="F22" s="5"/>
      <c r="G22" s="5"/>
      <c r="H22" s="10" t="s">
        <v>25</v>
      </c>
      <c r="I22" s="5"/>
      <c r="J22" s="5"/>
      <c r="K22" s="6"/>
    </row>
    <row r="23" spans="2:11" x14ac:dyDescent="0.35">
      <c r="B23" s="4"/>
      <c r="C23" s="90"/>
      <c r="D23" s="10"/>
      <c r="E23" s="89"/>
      <c r="F23" s="5"/>
      <c r="G23" s="5"/>
      <c r="H23" s="5"/>
      <c r="I23" s="5"/>
      <c r="J23" s="5"/>
      <c r="K23" s="6"/>
    </row>
    <row r="24" spans="2:11" x14ac:dyDescent="0.35">
      <c r="B24" s="4"/>
      <c r="D24" s="5"/>
      <c r="E24" s="5"/>
      <c r="F24" s="5"/>
      <c r="G24" s="5"/>
      <c r="H24" s="5"/>
      <c r="I24" s="5"/>
      <c r="J24" s="5"/>
      <c r="K24" s="6"/>
    </row>
    <row r="25" spans="2:11" x14ac:dyDescent="0.35">
      <c r="B25" s="4"/>
      <c r="C25" s="5"/>
      <c r="D25" s="5"/>
      <c r="E25" s="5"/>
      <c r="G25" s="5"/>
      <c r="H25" s="5"/>
      <c r="I25" s="5"/>
      <c r="J25" s="5"/>
      <c r="K25" s="6"/>
    </row>
    <row r="26" spans="2:11" x14ac:dyDescent="0.35">
      <c r="B26" s="4"/>
      <c r="C26" s="5"/>
      <c r="D26" s="10"/>
      <c r="E26" s="5"/>
      <c r="F26" s="10"/>
      <c r="G26" s="106"/>
      <c r="H26" s="5"/>
      <c r="I26" s="5"/>
      <c r="J26" s="5"/>
      <c r="K26" s="6"/>
    </row>
    <row r="27" spans="2:11" x14ac:dyDescent="0.35">
      <c r="B27" s="4"/>
      <c r="C27" s="5"/>
      <c r="D27" s="34"/>
      <c r="E27" s="5"/>
      <c r="F27" s="5"/>
      <c r="G27" s="5"/>
      <c r="H27" s="5"/>
      <c r="I27" s="5"/>
      <c r="J27" s="5"/>
      <c r="K27" s="6"/>
    </row>
    <row r="28" spans="2:11" x14ac:dyDescent="0.35">
      <c r="B28" s="4"/>
      <c r="C28" s="5"/>
      <c r="D28" s="5"/>
      <c r="E28" s="37" t="s">
        <v>19</v>
      </c>
      <c r="F28" s="5"/>
      <c r="G28" s="5"/>
      <c r="H28" s="5"/>
      <c r="I28" s="5"/>
      <c r="J28" s="5"/>
      <c r="K28" s="6"/>
    </row>
    <row r="29" spans="2:11" x14ac:dyDescent="0.35">
      <c r="B29" s="4"/>
      <c r="C29" s="5"/>
      <c r="D29" s="5"/>
      <c r="E29" s="5"/>
      <c r="F29" s="5"/>
      <c r="G29" s="5"/>
      <c r="H29" s="5"/>
      <c r="I29" s="5"/>
      <c r="J29" s="5"/>
      <c r="K29" s="6"/>
    </row>
    <row r="30" spans="2:11" x14ac:dyDescent="0.35">
      <c r="B30" s="4"/>
      <c r="C30" s="5"/>
      <c r="D30" s="5"/>
      <c r="E30" s="5"/>
      <c r="F30" s="5"/>
      <c r="G30" s="5"/>
      <c r="H30" s="5"/>
      <c r="I30" s="5"/>
      <c r="J30" s="5"/>
      <c r="K30" s="6"/>
    </row>
    <row r="31" spans="2:11" x14ac:dyDescent="0.35">
      <c r="B31" s="4"/>
      <c r="C31" s="5"/>
      <c r="D31" s="85"/>
      <c r="E31" s="5"/>
      <c r="F31" s="34"/>
      <c r="G31" s="5"/>
      <c r="H31" s="5"/>
      <c r="I31" s="5"/>
      <c r="J31" s="5"/>
      <c r="K31" s="6"/>
    </row>
    <row r="32" spans="2:11" x14ac:dyDescent="0.35">
      <c r="B32" s="84"/>
      <c r="C32" s="83" t="s">
        <v>60</v>
      </c>
      <c r="D32" s="5"/>
      <c r="E32" s="5"/>
      <c r="F32" s="5"/>
      <c r="G32" s="5"/>
      <c r="H32" s="5"/>
      <c r="I32" s="5"/>
      <c r="J32" s="5"/>
      <c r="K32" s="6"/>
    </row>
    <row r="33" spans="2:11" ht="15" thickBot="1" x14ac:dyDescent="0.4">
      <c r="B33" s="4"/>
      <c r="C33" s="5"/>
      <c r="D33" s="5"/>
      <c r="E33" s="5"/>
      <c r="F33" s="5"/>
      <c r="G33" s="5"/>
      <c r="H33" s="5"/>
      <c r="I33" s="5"/>
      <c r="J33" s="5"/>
      <c r="K33" s="6"/>
    </row>
    <row r="34" spans="2:11" ht="15" thickBot="1" x14ac:dyDescent="0.4">
      <c r="B34" s="38" t="s">
        <v>58</v>
      </c>
      <c r="C34" s="86">
        <f>Nominal!N21/100000</f>
        <v>1.75</v>
      </c>
      <c r="D34" s="5" t="s">
        <v>73</v>
      </c>
      <c r="E34" s="5"/>
      <c r="F34" s="5"/>
      <c r="G34" s="5"/>
      <c r="H34" s="5" t="s">
        <v>1</v>
      </c>
      <c r="I34" s="5"/>
      <c r="J34" s="5"/>
      <c r="K34" s="6"/>
    </row>
    <row r="35" spans="2:11" x14ac:dyDescent="0.35">
      <c r="B35" s="38"/>
      <c r="C35" s="85"/>
      <c r="D35" s="37"/>
      <c r="E35" s="5"/>
      <c r="F35" s="5"/>
      <c r="G35" s="5"/>
      <c r="H35" s="5" t="s">
        <v>2</v>
      </c>
      <c r="I35" s="5"/>
      <c r="J35" s="5"/>
      <c r="K35" s="6"/>
    </row>
    <row r="36" spans="2:11" x14ac:dyDescent="0.35">
      <c r="B36" s="4"/>
      <c r="C36" s="5"/>
      <c r="D36" s="5"/>
      <c r="E36" s="5"/>
      <c r="F36" s="5"/>
      <c r="G36" s="5"/>
      <c r="H36" s="5"/>
      <c r="I36" s="5"/>
      <c r="J36" s="5"/>
      <c r="K36" s="6"/>
    </row>
    <row r="37" spans="2:11" ht="15" thickBot="1" x14ac:dyDescent="0.4">
      <c r="B37" s="4"/>
      <c r="C37" s="5"/>
      <c r="D37" s="5"/>
      <c r="E37" s="5"/>
      <c r="F37" s="10"/>
      <c r="G37" s="5"/>
      <c r="H37" s="5" t="s">
        <v>3</v>
      </c>
      <c r="I37" s="5"/>
      <c r="J37" s="5"/>
      <c r="K37" s="6"/>
    </row>
    <row r="38" spans="2:11" ht="15" thickBot="1" x14ac:dyDescent="0.4">
      <c r="B38" s="4"/>
      <c r="C38" s="5"/>
      <c r="D38" s="5"/>
      <c r="E38" s="90"/>
      <c r="F38" s="5"/>
      <c r="G38" s="5"/>
      <c r="H38" s="87">
        <f>Nominal!N13</f>
        <v>1.6</v>
      </c>
      <c r="I38" s="5" t="s">
        <v>25</v>
      </c>
      <c r="J38" s="5"/>
      <c r="K38" s="6"/>
    </row>
    <row r="39" spans="2:11" x14ac:dyDescent="0.35">
      <c r="B39" s="4"/>
      <c r="C39" s="5"/>
      <c r="D39" s="5"/>
      <c r="E39" s="90"/>
      <c r="F39" s="5" t="s">
        <v>61</v>
      </c>
      <c r="G39" s="5"/>
      <c r="H39" s="5"/>
      <c r="I39" s="5"/>
      <c r="J39" s="5"/>
      <c r="K39" s="6"/>
    </row>
    <row r="40" spans="2:11" x14ac:dyDescent="0.35">
      <c r="B40" s="4"/>
      <c r="C40" s="5"/>
      <c r="D40" s="5"/>
      <c r="E40" s="5"/>
      <c r="F40" s="10"/>
      <c r="G40" s="85"/>
      <c r="H40" s="5"/>
      <c r="I40" s="5"/>
      <c r="J40" s="5"/>
      <c r="K40" s="6"/>
    </row>
    <row r="41" spans="2:11" x14ac:dyDescent="0.35">
      <c r="B41" s="4"/>
      <c r="C41" s="5"/>
      <c r="D41" s="5"/>
      <c r="E41" s="5"/>
      <c r="F41" s="5"/>
      <c r="G41" s="5"/>
      <c r="H41" s="5"/>
      <c r="I41" s="5"/>
      <c r="J41" s="5"/>
      <c r="K41" s="6"/>
    </row>
    <row r="42" spans="2:11" x14ac:dyDescent="0.35">
      <c r="B42" s="4"/>
      <c r="C42" s="5"/>
      <c r="E42" s="90"/>
      <c r="F42" s="5"/>
      <c r="G42" s="5"/>
      <c r="H42" s="5"/>
      <c r="I42" s="5"/>
      <c r="J42" s="5"/>
      <c r="K42" s="6"/>
    </row>
    <row r="43" spans="2:11" x14ac:dyDescent="0.35">
      <c r="B43" s="4"/>
      <c r="C43" s="5"/>
      <c r="D43" s="5"/>
      <c r="E43" s="5"/>
      <c r="F43" s="5"/>
      <c r="G43" s="5"/>
      <c r="H43" s="5"/>
      <c r="I43" s="5"/>
      <c r="J43" s="5"/>
      <c r="K43" s="6"/>
    </row>
    <row r="44" spans="2:11" ht="15" thickBot="1" x14ac:dyDescent="0.4">
      <c r="B44" s="7"/>
      <c r="C44" s="8"/>
      <c r="D44" s="8"/>
      <c r="E44" s="8"/>
      <c r="F44" s="8"/>
      <c r="G44" s="8"/>
      <c r="H44" s="8"/>
      <c r="I44" s="8"/>
      <c r="J44" s="8"/>
      <c r="K4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80"/>
  <sheetViews>
    <sheetView zoomScale="40" zoomScaleNormal="40" workbookViewId="0">
      <selection activeCell="H38" sqref="H38"/>
    </sheetView>
  </sheetViews>
  <sheetFormatPr defaultRowHeight="14.5" x14ac:dyDescent="0.35"/>
  <cols>
    <col min="1" max="1" width="4" customWidth="1"/>
    <col min="2" max="2" width="9.7265625" customWidth="1"/>
    <col min="3" max="3" width="17.81640625" bestFit="1" customWidth="1"/>
    <col min="5" max="5" width="10.26953125" bestFit="1" customWidth="1"/>
    <col min="7" max="7" width="16.26953125" bestFit="1" customWidth="1"/>
    <col min="12" max="12" width="11.1796875" bestFit="1" customWidth="1"/>
    <col min="13" max="13" width="11.26953125" customWidth="1"/>
    <col min="14" max="14" width="10.7265625" bestFit="1" customWidth="1"/>
    <col min="19" max="19" width="10.26953125" bestFit="1" customWidth="1"/>
    <col min="24" max="24" width="10.26953125" bestFit="1" customWidth="1"/>
  </cols>
  <sheetData>
    <row r="1" spans="2:26" ht="15" thickBot="1" x14ac:dyDescent="0.4">
      <c r="M1" s="128" t="s">
        <v>32</v>
      </c>
      <c r="N1" s="128"/>
      <c r="O1" s="128"/>
      <c r="P1" s="128"/>
      <c r="R1" s="128" t="s">
        <v>33</v>
      </c>
      <c r="S1" s="128"/>
      <c r="T1" s="128"/>
      <c r="U1" s="128"/>
      <c r="W1" s="128" t="s">
        <v>68</v>
      </c>
      <c r="X1" s="128"/>
      <c r="Y1" s="128"/>
      <c r="Z1" s="128"/>
    </row>
    <row r="2" spans="2:26" x14ac:dyDescent="0.35">
      <c r="B2" s="1"/>
      <c r="C2" s="2"/>
      <c r="D2" s="2"/>
      <c r="E2" s="2"/>
      <c r="F2" s="2"/>
      <c r="G2" s="2"/>
      <c r="H2" s="2"/>
      <c r="I2" s="2"/>
      <c r="J2" s="2"/>
      <c r="K2" s="3"/>
      <c r="M2" s="13" t="s">
        <v>5</v>
      </c>
      <c r="N2" s="14"/>
      <c r="O2" s="14"/>
      <c r="P2" s="15"/>
      <c r="R2" s="24"/>
      <c r="S2" s="25"/>
      <c r="T2" s="25"/>
      <c r="U2" s="26"/>
      <c r="W2" s="16"/>
      <c r="X2" s="30"/>
      <c r="Y2" s="11"/>
      <c r="Z2" s="17"/>
    </row>
    <row r="3" spans="2:26" ht="15" thickBot="1" x14ac:dyDescent="0.4">
      <c r="B3" s="4"/>
      <c r="C3" s="5"/>
      <c r="D3" s="5"/>
      <c r="E3" s="5"/>
      <c r="F3" s="5"/>
      <c r="G3" s="5"/>
      <c r="H3" s="11"/>
      <c r="I3" s="5" t="s">
        <v>30</v>
      </c>
      <c r="J3" s="5"/>
      <c r="K3" s="6"/>
      <c r="M3" s="16" t="s">
        <v>6</v>
      </c>
      <c r="N3" s="91">
        <v>8.31</v>
      </c>
      <c r="O3" s="11" t="s">
        <v>20</v>
      </c>
      <c r="P3" s="17"/>
      <c r="R3" s="16" t="s">
        <v>45</v>
      </c>
      <c r="S3" s="33">
        <v>3.6454701694531901E-4</v>
      </c>
      <c r="T3" s="11" t="s">
        <v>47</v>
      </c>
      <c r="U3" s="27"/>
      <c r="W3" s="16" t="s">
        <v>72</v>
      </c>
      <c r="X3" s="39">
        <f>S12/N5*60*1000</f>
        <v>13.371409986887528</v>
      </c>
      <c r="Y3" s="11" t="s">
        <v>49</v>
      </c>
      <c r="Z3" s="17"/>
    </row>
    <row r="4" spans="2:26" ht="15" thickBot="1" x14ac:dyDescent="0.4">
      <c r="B4" s="4"/>
      <c r="C4" s="5"/>
      <c r="D4" s="5"/>
      <c r="E4" s="5"/>
      <c r="F4" s="5"/>
      <c r="G4" s="5" t="s">
        <v>0</v>
      </c>
      <c r="H4" s="5"/>
      <c r="I4" s="40">
        <f>S16/100000</f>
        <v>1.027541684365437</v>
      </c>
      <c r="J4" s="5" t="s">
        <v>73</v>
      </c>
      <c r="K4" s="6"/>
      <c r="M4" s="16" t="s">
        <v>7</v>
      </c>
      <c r="N4" s="91">
        <v>2.8000000000000001E-2</v>
      </c>
      <c r="O4" s="11" t="s">
        <v>21</v>
      </c>
      <c r="P4" s="17"/>
      <c r="R4" s="16" t="s">
        <v>46</v>
      </c>
      <c r="S4" s="32">
        <v>0.88405067424649397</v>
      </c>
      <c r="T4" s="11" t="s">
        <v>47</v>
      </c>
      <c r="U4" s="27"/>
      <c r="W4" s="16" t="s">
        <v>42</v>
      </c>
      <c r="X4" s="39">
        <f>N25/N9*1000*60</f>
        <v>4.5</v>
      </c>
      <c r="Y4" s="11" t="s">
        <v>75</v>
      </c>
      <c r="Z4" s="17"/>
    </row>
    <row r="5" spans="2:26" ht="15" thickBot="1" x14ac:dyDescent="0.4">
      <c r="B5" s="4"/>
      <c r="C5" s="5"/>
      <c r="D5" s="5"/>
      <c r="E5" s="5"/>
      <c r="F5" s="5"/>
      <c r="G5" s="5"/>
      <c r="H5" s="5"/>
      <c r="I5" s="5"/>
      <c r="J5" s="5"/>
      <c r="K5" s="6"/>
      <c r="M5" s="16" t="s">
        <v>8</v>
      </c>
      <c r="N5" s="91">
        <v>1000</v>
      </c>
      <c r="O5" s="11" t="s">
        <v>22</v>
      </c>
      <c r="P5" s="17"/>
      <c r="R5" s="16" t="s">
        <v>51</v>
      </c>
      <c r="S5" s="32">
        <v>3.3065489065335E-3</v>
      </c>
      <c r="T5" s="21" t="s">
        <v>47</v>
      </c>
      <c r="U5" s="27"/>
      <c r="W5" s="16" t="s">
        <v>77</v>
      </c>
      <c r="X5" s="39">
        <f>(N4*S16/(N3*N22))</f>
        <v>1.1816499370482636</v>
      </c>
      <c r="Y5" s="11" t="s">
        <v>22</v>
      </c>
      <c r="Z5" s="17"/>
    </row>
    <row r="6" spans="2:26" ht="15" thickBot="1" x14ac:dyDescent="0.4">
      <c r="B6" s="4"/>
      <c r="C6" s="5"/>
      <c r="D6" s="5"/>
      <c r="E6" s="5"/>
      <c r="F6" s="10" t="s">
        <v>15</v>
      </c>
      <c r="G6" s="40">
        <f>N20/100000</f>
        <v>1</v>
      </c>
      <c r="H6" s="5" t="s">
        <v>73</v>
      </c>
      <c r="I6" s="5"/>
      <c r="J6" s="5"/>
      <c r="K6" s="6"/>
      <c r="M6" s="16" t="s">
        <v>65</v>
      </c>
      <c r="N6" s="91">
        <v>2650</v>
      </c>
      <c r="O6" s="21" t="s">
        <v>22</v>
      </c>
      <c r="P6" s="17"/>
      <c r="R6" s="22"/>
      <c r="S6" s="29"/>
      <c r="T6" s="21"/>
      <c r="U6" s="23"/>
      <c r="W6" s="16" t="s">
        <v>42</v>
      </c>
      <c r="X6" s="39">
        <f>N25/X5*1000*60</f>
        <v>4.6650872032118986</v>
      </c>
      <c r="Y6" s="11" t="s">
        <v>49</v>
      </c>
      <c r="Z6" s="17"/>
    </row>
    <row r="7" spans="2:26" x14ac:dyDescent="0.35">
      <c r="B7" s="4"/>
      <c r="C7" s="5"/>
      <c r="D7" s="5"/>
      <c r="E7" s="5"/>
      <c r="F7" s="5"/>
      <c r="G7" s="5"/>
      <c r="H7" s="5"/>
      <c r="I7" s="5"/>
      <c r="J7" s="5"/>
      <c r="K7" s="6"/>
      <c r="M7" s="16" t="s">
        <v>9</v>
      </c>
      <c r="N7" s="92">
        <v>8.8999999999999995E-4</v>
      </c>
      <c r="O7" s="11" t="s">
        <v>23</v>
      </c>
      <c r="P7" s="17"/>
      <c r="R7" s="16" t="s">
        <v>34</v>
      </c>
      <c r="S7" s="28">
        <f>N25</f>
        <v>9.1874999999999997E-5</v>
      </c>
      <c r="T7" s="11" t="s">
        <v>39</v>
      </c>
      <c r="U7" s="17"/>
      <c r="W7" s="16" t="s">
        <v>55</v>
      </c>
      <c r="X7" s="28">
        <f>N26*60*1000</f>
        <v>50</v>
      </c>
      <c r="Y7" s="21" t="s">
        <v>74</v>
      </c>
      <c r="Z7" s="17"/>
    </row>
    <row r="8" spans="2:26" x14ac:dyDescent="0.35">
      <c r="B8" s="4"/>
      <c r="C8" s="5"/>
      <c r="D8" s="5"/>
      <c r="E8" s="5"/>
      <c r="F8" s="5"/>
      <c r="G8" s="5"/>
      <c r="H8" s="5"/>
      <c r="I8" s="5"/>
      <c r="J8" s="5"/>
      <c r="K8" s="6"/>
      <c r="M8" s="16" t="s">
        <v>10</v>
      </c>
      <c r="N8" s="91">
        <v>9.81</v>
      </c>
      <c r="O8" s="11" t="s">
        <v>24</v>
      </c>
      <c r="P8" s="17"/>
      <c r="R8" s="16" t="s">
        <v>35</v>
      </c>
      <c r="S8" s="28">
        <f>N17*SQRT(S14*(S16-N20))</f>
        <v>0.2232500410288274</v>
      </c>
      <c r="T8" s="11" t="s">
        <v>39</v>
      </c>
      <c r="U8" s="17"/>
      <c r="W8" s="16"/>
      <c r="X8" s="30"/>
      <c r="Y8" s="11"/>
      <c r="Z8" s="17"/>
    </row>
    <row r="9" spans="2:26" ht="15" thickBot="1" x14ac:dyDescent="0.4">
      <c r="B9" s="4"/>
      <c r="C9" s="5"/>
      <c r="D9" s="5"/>
      <c r="E9" s="5"/>
      <c r="F9" s="5"/>
      <c r="G9" s="5"/>
      <c r="H9" s="5"/>
      <c r="I9" s="5"/>
      <c r="J9" s="5"/>
      <c r="K9" s="6"/>
      <c r="M9" s="16" t="s">
        <v>48</v>
      </c>
      <c r="N9" s="91">
        <v>1.2250000000000001</v>
      </c>
      <c r="O9" s="21" t="s">
        <v>66</v>
      </c>
      <c r="P9" s="17"/>
      <c r="R9" s="16" t="s">
        <v>36</v>
      </c>
      <c r="S9" s="28">
        <f>S3/(S3+S4+S5)*S8</f>
        <v>9.1678653407808436E-5</v>
      </c>
      <c r="T9" s="11" t="s">
        <v>39</v>
      </c>
      <c r="U9" s="17"/>
      <c r="W9" s="16" t="s">
        <v>76</v>
      </c>
      <c r="X9" s="39">
        <f>S8/S14/N16</f>
        <v>0.95564870032094607</v>
      </c>
      <c r="Y9" s="11" t="s">
        <v>44</v>
      </c>
      <c r="Z9" s="17"/>
    </row>
    <row r="10" spans="2:26" ht="19" thickBot="1" x14ac:dyDescent="0.5">
      <c r="B10" s="4"/>
      <c r="C10" s="5"/>
      <c r="D10" s="5"/>
      <c r="E10" s="5"/>
      <c r="F10" s="5"/>
      <c r="G10" s="5"/>
      <c r="H10" s="135" t="s">
        <v>201</v>
      </c>
      <c r="I10" s="5"/>
      <c r="J10" s="5"/>
      <c r="K10" s="6"/>
      <c r="M10" s="16" t="s">
        <v>87</v>
      </c>
      <c r="N10" s="91">
        <f>300*10^-6</f>
        <v>2.9999999999999997E-4</v>
      </c>
      <c r="O10" s="21" t="s">
        <v>25</v>
      </c>
      <c r="P10" s="17"/>
      <c r="R10" s="16" t="s">
        <v>37</v>
      </c>
      <c r="S10" s="28">
        <f>S4/(S3+S4+S5)*S8</f>
        <v>0.22232680996355739</v>
      </c>
      <c r="T10" s="11" t="s">
        <v>39</v>
      </c>
      <c r="U10" s="17"/>
      <c r="W10" s="16" t="s">
        <v>31</v>
      </c>
      <c r="X10" s="28">
        <f>S3*X5/(S3*X5 + S4*N5 +S5*N6)</f>
        <v>4.8248260035187424E-7</v>
      </c>
      <c r="Y10" s="21" t="s">
        <v>79</v>
      </c>
      <c r="Z10" s="17"/>
    </row>
    <row r="11" spans="2:26" x14ac:dyDescent="0.35">
      <c r="B11" s="4"/>
      <c r="C11" s="5"/>
      <c r="D11" s="5"/>
      <c r="E11" s="5"/>
      <c r="F11" s="5"/>
      <c r="G11" s="5"/>
      <c r="H11" s="5"/>
      <c r="I11" s="5"/>
      <c r="J11" s="5"/>
      <c r="K11" s="6"/>
      <c r="M11" s="49"/>
      <c r="N11" s="11"/>
      <c r="O11" s="11"/>
      <c r="P11" s="17"/>
      <c r="R11" s="16" t="s">
        <v>64</v>
      </c>
      <c r="S11" s="28">
        <f>S5/(S3+S4+S5)*S8</f>
        <v>8.315524118622065E-4</v>
      </c>
      <c r="T11" s="21" t="s">
        <v>39</v>
      </c>
      <c r="U11" s="17"/>
      <c r="W11" s="16" t="s">
        <v>78</v>
      </c>
      <c r="X11" s="42">
        <f xml:space="preserve"> S4*N5/(S3*X5 + S4*N5 +S5*N6)</f>
        <v>0.99018520019507261</v>
      </c>
      <c r="Y11" s="21" t="s">
        <v>79</v>
      </c>
      <c r="Z11" s="17"/>
    </row>
    <row r="12" spans="2:26" x14ac:dyDescent="0.35">
      <c r="B12" s="4"/>
      <c r="C12" s="5"/>
      <c r="D12" s="5"/>
      <c r="E12" s="5"/>
      <c r="F12" s="5"/>
      <c r="G12" s="5"/>
      <c r="H12" s="5"/>
      <c r="I12" s="5"/>
      <c r="J12" s="5"/>
      <c r="K12" s="6"/>
      <c r="M12" s="16" t="s">
        <v>11</v>
      </c>
      <c r="N12" s="11"/>
      <c r="O12" s="11"/>
      <c r="P12" s="17"/>
      <c r="R12" s="16" t="s">
        <v>38</v>
      </c>
      <c r="S12" s="28">
        <f>N18*(N21-S19)</f>
        <v>0.22285683311479212</v>
      </c>
      <c r="T12" s="11" t="s">
        <v>39</v>
      </c>
      <c r="U12" s="17"/>
      <c r="W12" s="16" t="s">
        <v>31</v>
      </c>
      <c r="X12" s="43">
        <f>S5*N6/(S3*X5 + S4*N5 +S5*N6)</f>
        <v>9.8143173223270604E-3</v>
      </c>
      <c r="Y12" s="21" t="s">
        <v>79</v>
      </c>
      <c r="Z12" s="17"/>
    </row>
    <row r="13" spans="2:26" x14ac:dyDescent="0.35">
      <c r="B13" s="4"/>
      <c r="C13" s="5"/>
      <c r="D13" s="5"/>
      <c r="E13" s="5"/>
      <c r="F13" s="5"/>
      <c r="G13" s="5"/>
      <c r="H13" s="5"/>
      <c r="I13" s="5"/>
      <c r="J13" s="5"/>
      <c r="K13" s="6"/>
      <c r="M13" s="16" t="s">
        <v>3</v>
      </c>
      <c r="N13" s="93">
        <v>1.6</v>
      </c>
      <c r="O13" s="11" t="s">
        <v>25</v>
      </c>
      <c r="P13" s="17"/>
      <c r="R13" s="16"/>
      <c r="S13" s="30"/>
      <c r="T13" s="11"/>
      <c r="U13" s="17"/>
      <c r="W13" s="16" t="s">
        <v>53</v>
      </c>
      <c r="X13" s="28">
        <f>X3/1000/60/N16</f>
        <v>0.70937533184049517</v>
      </c>
      <c r="Y13" s="21" t="s">
        <v>89</v>
      </c>
      <c r="Z13" s="17"/>
    </row>
    <row r="14" spans="2:26" x14ac:dyDescent="0.35">
      <c r="B14" s="4"/>
      <c r="C14" s="5"/>
      <c r="D14" s="5"/>
      <c r="E14" s="5"/>
      <c r="F14" s="5"/>
      <c r="G14" s="5"/>
      <c r="H14" s="5"/>
      <c r="I14" s="5"/>
      <c r="J14" s="5"/>
      <c r="K14" s="6"/>
      <c r="M14" s="16" t="s">
        <v>57</v>
      </c>
      <c r="N14" s="93">
        <v>2.2000000000000002</v>
      </c>
      <c r="O14" s="21" t="s">
        <v>25</v>
      </c>
      <c r="P14" s="17"/>
      <c r="R14" s="16" t="s">
        <v>40</v>
      </c>
      <c r="S14" s="39">
        <f>(S3+S4+S5)/((N13+N14)*N16)</f>
        <v>743.60688322546639</v>
      </c>
      <c r="T14" s="11" t="s">
        <v>22</v>
      </c>
      <c r="U14" s="17"/>
      <c r="W14" s="16" t="s">
        <v>54</v>
      </c>
      <c r="X14" s="28">
        <f>X4/1000/60/N16</f>
        <v>0.238732414637843</v>
      </c>
      <c r="Y14" s="21" t="s">
        <v>89</v>
      </c>
      <c r="Z14" s="17"/>
    </row>
    <row r="15" spans="2:26" x14ac:dyDescent="0.35">
      <c r="B15" s="4"/>
      <c r="C15" s="5"/>
      <c r="D15" s="5"/>
      <c r="E15" s="5"/>
      <c r="F15" s="5"/>
      <c r="G15" s="5"/>
      <c r="H15" s="5"/>
      <c r="I15" s="5"/>
      <c r="J15" s="5"/>
      <c r="K15" s="6"/>
      <c r="M15" s="16" t="s">
        <v>4</v>
      </c>
      <c r="N15" s="92">
        <v>0.02</v>
      </c>
      <c r="O15" s="21" t="s">
        <v>25</v>
      </c>
      <c r="P15" s="17"/>
      <c r="R15" s="16"/>
      <c r="S15" s="30"/>
      <c r="T15" s="11"/>
      <c r="U15" s="17"/>
      <c r="W15" s="16" t="s">
        <v>43</v>
      </c>
      <c r="X15" s="28">
        <f>X9*S14*N15/N7</f>
        <v>15969.144977620821</v>
      </c>
      <c r="Y15" s="11"/>
      <c r="Z15" s="17"/>
    </row>
    <row r="16" spans="2:26" x14ac:dyDescent="0.35">
      <c r="B16" s="4"/>
      <c r="C16" s="5"/>
      <c r="D16" s="5"/>
      <c r="E16" s="5"/>
      <c r="F16" s="5"/>
      <c r="G16" s="5"/>
      <c r="H16" s="5"/>
      <c r="I16" s="5"/>
      <c r="J16" s="5"/>
      <c r="K16" s="6"/>
      <c r="M16" s="16" t="s">
        <v>12</v>
      </c>
      <c r="N16" s="92">
        <f>N15^2/4*PI()</f>
        <v>3.1415926535897931E-4</v>
      </c>
      <c r="O16" s="11" t="s">
        <v>26</v>
      </c>
      <c r="P16" s="17"/>
      <c r="R16" s="16" t="s">
        <v>30</v>
      </c>
      <c r="S16" s="28">
        <f>(N3*N22/N4)*(S3/((N13+N14)*N16-S4/N5-S5/N6))</f>
        <v>102754.1684365437</v>
      </c>
      <c r="T16" s="11" t="s">
        <v>28</v>
      </c>
      <c r="U16" s="17"/>
      <c r="W16" s="18"/>
      <c r="X16" s="19"/>
      <c r="Y16" s="19"/>
      <c r="Z16" s="20"/>
    </row>
    <row r="17" spans="2:21" x14ac:dyDescent="0.35">
      <c r="B17" s="4"/>
      <c r="C17" s="5"/>
      <c r="D17" s="5"/>
      <c r="E17" s="5"/>
      <c r="F17" s="5"/>
      <c r="G17" s="5"/>
      <c r="H17" s="5"/>
      <c r="I17" s="5"/>
      <c r="J17" s="5"/>
      <c r="K17" s="6"/>
      <c r="M17" s="16" t="s">
        <v>13</v>
      </c>
      <c r="N17" s="92">
        <v>1.56E-4</v>
      </c>
      <c r="O17" s="11" t="s">
        <v>26</v>
      </c>
      <c r="P17" s="17"/>
      <c r="R17" s="16" t="s">
        <v>50</v>
      </c>
      <c r="S17" s="39">
        <f>N13+N14+69*N15+50*N15+46*N15</f>
        <v>7.1000000000000005</v>
      </c>
      <c r="T17" s="21" t="s">
        <v>25</v>
      </c>
      <c r="U17" s="17"/>
    </row>
    <row r="18" spans="2:21" x14ac:dyDescent="0.35">
      <c r="B18" s="4"/>
      <c r="C18" s="5"/>
      <c r="D18" s="5"/>
      <c r="E18" s="5"/>
      <c r="F18" s="5"/>
      <c r="G18" s="5"/>
      <c r="H18" s="5"/>
      <c r="I18" s="5"/>
      <c r="J18" s="5"/>
      <c r="K18" s="6"/>
      <c r="M18" s="16" t="s">
        <v>14</v>
      </c>
      <c r="N18" s="92">
        <v>3.9999999999999998E-6</v>
      </c>
      <c r="O18" s="11" t="s">
        <v>26</v>
      </c>
      <c r="P18" s="17"/>
      <c r="R18" s="16" t="s">
        <v>67</v>
      </c>
      <c r="S18" s="39">
        <f>128*N7*S17/(PI()*N15^4)*S8/S14</f>
        <v>483.09953098624459</v>
      </c>
      <c r="T18" s="21" t="s">
        <v>28</v>
      </c>
      <c r="U18" s="17"/>
    </row>
    <row r="19" spans="2:21" x14ac:dyDescent="0.35">
      <c r="B19" s="4"/>
      <c r="C19" s="5"/>
      <c r="D19" s="5"/>
      <c r="E19" s="5"/>
      <c r="F19" s="5"/>
      <c r="G19" s="5"/>
      <c r="H19" s="5"/>
      <c r="I19" s="5"/>
      <c r="J19" s="5"/>
      <c r="K19" s="6"/>
      <c r="M19" s="16"/>
      <c r="N19" s="11"/>
      <c r="O19" s="11"/>
      <c r="P19" s="17"/>
      <c r="R19" s="16" t="s">
        <v>41</v>
      </c>
      <c r="S19" s="28">
        <f>S16+S18+N14*N8*S14</f>
        <v>119285.79172130197</v>
      </c>
      <c r="T19" s="11" t="s">
        <v>28</v>
      </c>
      <c r="U19" s="17"/>
    </row>
    <row r="20" spans="2:21" ht="15" thickBot="1" x14ac:dyDescent="0.4">
      <c r="B20" s="4"/>
      <c r="C20" s="5"/>
      <c r="D20" s="5"/>
      <c r="E20" s="5"/>
      <c r="F20" s="5"/>
      <c r="G20" s="5"/>
      <c r="H20" s="10" t="s">
        <v>4</v>
      </c>
      <c r="I20" s="5"/>
      <c r="J20" s="5" t="s">
        <v>57</v>
      </c>
      <c r="K20" s="6"/>
      <c r="M20" s="16" t="s">
        <v>15</v>
      </c>
      <c r="N20" s="92">
        <v>100000</v>
      </c>
      <c r="O20" s="11" t="s">
        <v>28</v>
      </c>
      <c r="P20" s="17"/>
      <c r="R20" s="18"/>
      <c r="S20" s="19"/>
      <c r="T20" s="19"/>
      <c r="U20" s="20"/>
    </row>
    <row r="21" spans="2:21" ht="15" thickBot="1" x14ac:dyDescent="0.4">
      <c r="B21" s="4"/>
      <c r="C21" s="5"/>
      <c r="D21" s="5"/>
      <c r="E21" s="5"/>
      <c r="F21" s="5"/>
      <c r="G21" s="11"/>
      <c r="H21" s="40">
        <f>N15</f>
        <v>0.02</v>
      </c>
      <c r="I21" s="5"/>
      <c r="J21" s="35">
        <f>N14</f>
        <v>2.2000000000000002</v>
      </c>
      <c r="K21" s="6" t="s">
        <v>25</v>
      </c>
      <c r="M21" s="16" t="s">
        <v>16</v>
      </c>
      <c r="N21" s="92">
        <v>175000</v>
      </c>
      <c r="O21" s="11" t="s">
        <v>28</v>
      </c>
      <c r="P21" s="17"/>
      <c r="R21" s="11"/>
      <c r="S21" s="11"/>
      <c r="T21" s="11"/>
      <c r="U21" s="11"/>
    </row>
    <row r="22" spans="2:21" x14ac:dyDescent="0.35">
      <c r="B22" s="4"/>
      <c r="C22" s="5"/>
      <c r="D22" s="10"/>
      <c r="E22" s="89"/>
      <c r="F22" s="5"/>
      <c r="G22" s="5"/>
      <c r="H22" s="10" t="s">
        <v>25</v>
      </c>
      <c r="I22" s="5"/>
      <c r="J22" s="5"/>
      <c r="K22" s="6"/>
      <c r="M22" s="16" t="s">
        <v>17</v>
      </c>
      <c r="N22" s="94">
        <v>293</v>
      </c>
      <c r="O22" s="11" t="s">
        <v>29</v>
      </c>
      <c r="P22" s="17"/>
      <c r="R22" s="11"/>
      <c r="S22" s="11"/>
      <c r="T22" s="11"/>
      <c r="U22" s="11"/>
    </row>
    <row r="23" spans="2:21" x14ac:dyDescent="0.35">
      <c r="B23" s="4"/>
      <c r="C23" s="11"/>
      <c r="D23" s="10"/>
      <c r="E23" s="89"/>
      <c r="F23" s="5"/>
      <c r="G23" s="5"/>
      <c r="H23" s="5"/>
      <c r="I23" s="5"/>
      <c r="J23" s="5"/>
      <c r="K23" s="6"/>
      <c r="M23" s="16" t="s">
        <v>18</v>
      </c>
      <c r="N23" s="94">
        <v>293</v>
      </c>
      <c r="O23" s="11" t="s">
        <v>29</v>
      </c>
      <c r="P23" s="17"/>
      <c r="R23" s="51"/>
      <c r="S23" s="30"/>
      <c r="T23" s="11"/>
      <c r="U23" s="11"/>
    </row>
    <row r="24" spans="2:21" x14ac:dyDescent="0.35">
      <c r="B24" s="4"/>
      <c r="C24" s="37"/>
      <c r="D24" s="5"/>
      <c r="E24" s="5"/>
      <c r="F24" s="5"/>
      <c r="G24" s="5"/>
      <c r="H24" s="5"/>
      <c r="I24" s="5"/>
      <c r="J24" s="5"/>
      <c r="K24" s="6"/>
      <c r="M24" s="16"/>
      <c r="N24" s="11"/>
      <c r="O24" s="11"/>
      <c r="P24" s="17"/>
      <c r="R24" s="11"/>
      <c r="S24" s="11"/>
      <c r="T24" s="11"/>
      <c r="U24" s="11"/>
    </row>
    <row r="25" spans="2:21" x14ac:dyDescent="0.35">
      <c r="B25" s="4"/>
      <c r="C25" s="5"/>
      <c r="D25" s="5"/>
      <c r="E25" s="5"/>
      <c r="F25" s="11"/>
      <c r="G25" s="5"/>
      <c r="H25" s="5"/>
      <c r="I25" s="5"/>
      <c r="J25" s="5"/>
      <c r="K25" s="6"/>
      <c r="M25" s="16" t="s">
        <v>70</v>
      </c>
      <c r="N25" s="33">
        <f>4.5/1000/60*1.225</f>
        <v>9.1874999999999997E-5</v>
      </c>
      <c r="O25" s="11" t="s">
        <v>39</v>
      </c>
      <c r="P25" s="17"/>
      <c r="R25" s="11"/>
      <c r="S25" s="11"/>
      <c r="T25" s="11"/>
      <c r="U25" s="11"/>
    </row>
    <row r="26" spans="2:21" x14ac:dyDescent="0.35">
      <c r="B26" s="4"/>
      <c r="C26" s="5"/>
      <c r="D26" s="10"/>
      <c r="E26" s="5"/>
      <c r="F26" s="10"/>
      <c r="G26" s="107"/>
      <c r="H26" s="5"/>
      <c r="I26" s="5"/>
      <c r="J26" s="5"/>
      <c r="K26" s="6"/>
      <c r="M26" s="16" t="s">
        <v>69</v>
      </c>
      <c r="N26" s="33">
        <f>50/1000/60</f>
        <v>8.3333333333333339E-4</v>
      </c>
      <c r="O26" s="11" t="s">
        <v>39</v>
      </c>
      <c r="P26" s="17"/>
    </row>
    <row r="27" spans="2:21" ht="15" thickBot="1" x14ac:dyDescent="0.4">
      <c r="B27" s="4"/>
      <c r="C27" s="5"/>
      <c r="D27" s="34"/>
      <c r="E27" s="5"/>
      <c r="F27" s="5"/>
      <c r="G27" s="5"/>
      <c r="H27" s="5"/>
      <c r="I27" s="5"/>
      <c r="J27" s="5"/>
      <c r="K27" s="6"/>
      <c r="M27" s="18"/>
      <c r="N27" s="19"/>
      <c r="O27" s="19"/>
      <c r="P27" s="20"/>
    </row>
    <row r="28" spans="2:21" ht="15" thickBot="1" x14ac:dyDescent="0.4">
      <c r="B28" s="4"/>
      <c r="C28" s="5"/>
      <c r="D28" s="10" t="s">
        <v>71</v>
      </c>
      <c r="E28" s="41">
        <f>X4</f>
        <v>4.5</v>
      </c>
      <c r="F28" s="5" t="s">
        <v>63</v>
      </c>
      <c r="G28" s="5"/>
      <c r="H28" s="5"/>
      <c r="I28" s="5"/>
      <c r="J28" s="5"/>
      <c r="K28" s="6"/>
    </row>
    <row r="29" spans="2:21" x14ac:dyDescent="0.35">
      <c r="B29" s="4"/>
      <c r="C29" s="5"/>
      <c r="D29" s="5"/>
      <c r="E29" s="5"/>
      <c r="F29" s="5"/>
      <c r="G29" s="5"/>
      <c r="H29" s="5"/>
      <c r="I29" s="5"/>
      <c r="J29" s="5"/>
      <c r="K29" s="6"/>
    </row>
    <row r="30" spans="2:21" ht="15" thickBot="1" x14ac:dyDescent="0.4">
      <c r="B30" s="4"/>
      <c r="C30" s="5"/>
      <c r="D30" s="5" t="s">
        <v>41</v>
      </c>
      <c r="E30" s="5"/>
      <c r="F30" s="5"/>
      <c r="G30" s="5"/>
      <c r="H30" s="5"/>
      <c r="I30" s="5"/>
      <c r="J30" s="5"/>
      <c r="K30" s="6"/>
    </row>
    <row r="31" spans="2:21" ht="19" thickBot="1" x14ac:dyDescent="0.5">
      <c r="B31" s="4"/>
      <c r="C31" s="5"/>
      <c r="D31" s="40">
        <f>S19/100000</f>
        <v>1.1928579172130196</v>
      </c>
      <c r="E31" s="5" t="s">
        <v>73</v>
      </c>
      <c r="F31" s="34"/>
      <c r="G31" s="136" t="s">
        <v>199</v>
      </c>
      <c r="H31" s="5"/>
      <c r="I31" s="5"/>
      <c r="J31" s="5"/>
      <c r="K31" s="6"/>
      <c r="M31" s="11"/>
      <c r="N31" s="108" t="s">
        <v>52</v>
      </c>
      <c r="O31" s="11"/>
      <c r="P31" s="11"/>
    </row>
    <row r="32" spans="2:21" ht="19" thickBot="1" x14ac:dyDescent="0.5">
      <c r="B32" s="84"/>
      <c r="C32" s="135" t="s">
        <v>81</v>
      </c>
      <c r="D32" s="5"/>
      <c r="E32" s="5"/>
      <c r="F32" s="5"/>
      <c r="G32" s="137" t="s">
        <v>200</v>
      </c>
      <c r="H32" s="5"/>
      <c r="I32" s="5"/>
      <c r="J32" s="5"/>
      <c r="K32" s="6"/>
    </row>
    <row r="33" spans="2:29" ht="15" thickBot="1" x14ac:dyDescent="0.4">
      <c r="B33" s="4"/>
      <c r="C33" s="5"/>
      <c r="D33" s="5"/>
      <c r="E33" s="5"/>
      <c r="F33" s="5"/>
      <c r="G33" s="5"/>
      <c r="H33" s="5"/>
      <c r="I33" s="5"/>
      <c r="J33" s="5"/>
      <c r="K33" s="6"/>
    </row>
    <row r="34" spans="2:29" ht="15" thickBot="1" x14ac:dyDescent="0.4">
      <c r="B34" s="38" t="s">
        <v>58</v>
      </c>
      <c r="C34" s="40">
        <f>N21/100000</f>
        <v>1.75</v>
      </c>
      <c r="D34" s="5" t="s">
        <v>73</v>
      </c>
      <c r="E34" s="5"/>
      <c r="F34" s="5"/>
      <c r="G34" s="5"/>
      <c r="H34" s="5" t="s">
        <v>1</v>
      </c>
      <c r="I34" s="5"/>
      <c r="J34" s="5"/>
      <c r="K34" s="6"/>
      <c r="N34" s="31"/>
    </row>
    <row r="35" spans="2:29" ht="15" thickBot="1" x14ac:dyDescent="0.4">
      <c r="B35" s="38" t="s">
        <v>59</v>
      </c>
      <c r="C35" s="40">
        <f>X3</f>
        <v>13.371409986887528</v>
      </c>
      <c r="D35" s="37" t="s">
        <v>49</v>
      </c>
      <c r="E35" s="5"/>
      <c r="F35" s="5"/>
      <c r="G35" s="5"/>
      <c r="H35" s="5" t="s">
        <v>2</v>
      </c>
      <c r="I35" s="5"/>
      <c r="J35" s="5"/>
      <c r="K35" s="6"/>
    </row>
    <row r="36" spans="2:29" x14ac:dyDescent="0.35">
      <c r="B36" s="4"/>
      <c r="C36" s="5"/>
      <c r="D36" s="5"/>
      <c r="E36" s="5"/>
      <c r="F36" s="5"/>
      <c r="G36" s="5"/>
      <c r="H36" s="5"/>
      <c r="I36" s="5"/>
      <c r="J36" s="5"/>
      <c r="K36" s="6"/>
    </row>
    <row r="37" spans="2:29" ht="15" thickBot="1" x14ac:dyDescent="0.4">
      <c r="B37" s="4"/>
      <c r="C37" s="5"/>
      <c r="D37" s="5"/>
      <c r="E37" s="5"/>
      <c r="F37" s="10"/>
      <c r="G37" s="5"/>
      <c r="H37" s="5" t="s">
        <v>3</v>
      </c>
      <c r="I37" s="5"/>
      <c r="J37" s="5"/>
      <c r="K37" s="6"/>
      <c r="N37" s="102"/>
    </row>
    <row r="38" spans="2:29" ht="15" thickBot="1" x14ac:dyDescent="0.4">
      <c r="B38" s="4"/>
      <c r="C38" s="5"/>
      <c r="D38" s="5"/>
      <c r="E38" s="11"/>
      <c r="F38" s="5"/>
      <c r="G38" s="5"/>
      <c r="H38" s="35">
        <f>N13</f>
        <v>1.6</v>
      </c>
      <c r="I38" s="5" t="s">
        <v>25</v>
      </c>
      <c r="J38" s="5"/>
      <c r="K38" s="6"/>
    </row>
    <row r="39" spans="2:29" ht="15" thickBot="1" x14ac:dyDescent="0.4">
      <c r="B39" s="4"/>
      <c r="C39" s="5"/>
      <c r="D39" s="5"/>
      <c r="E39" s="11"/>
      <c r="F39" s="5" t="s">
        <v>61</v>
      </c>
      <c r="G39" s="5"/>
      <c r="H39" s="5"/>
      <c r="I39" s="5"/>
      <c r="J39" s="5"/>
      <c r="K39" s="6"/>
    </row>
    <row r="40" spans="2:29" ht="15" thickBot="1" x14ac:dyDescent="0.4">
      <c r="B40" s="4"/>
      <c r="C40" s="5"/>
      <c r="D40" s="5"/>
      <c r="E40" s="5"/>
      <c r="F40" s="10" t="s">
        <v>62</v>
      </c>
      <c r="G40" s="40">
        <f>X7</f>
        <v>50</v>
      </c>
      <c r="H40" s="5" t="s">
        <v>74</v>
      </c>
      <c r="I40" s="5"/>
      <c r="J40" s="5"/>
      <c r="K40" s="6"/>
    </row>
    <row r="41" spans="2:29" x14ac:dyDescent="0.35">
      <c r="B41" s="4"/>
      <c r="C41" s="5"/>
      <c r="D41" s="5"/>
      <c r="E41" s="5"/>
      <c r="F41" s="5"/>
      <c r="G41" s="5"/>
      <c r="H41" s="5"/>
      <c r="I41" s="5"/>
      <c r="J41" s="5"/>
      <c r="K41" s="6"/>
      <c r="S41" s="31"/>
    </row>
    <row r="42" spans="2:29" x14ac:dyDescent="0.35">
      <c r="B42" s="4"/>
      <c r="C42" s="5"/>
      <c r="D42" s="11"/>
      <c r="E42" s="11"/>
      <c r="F42" s="5"/>
      <c r="G42" s="5"/>
      <c r="H42" s="5"/>
      <c r="I42" s="5"/>
      <c r="J42" s="5"/>
      <c r="K42" s="6"/>
    </row>
    <row r="43" spans="2:29" x14ac:dyDescent="0.35">
      <c r="B43" s="4"/>
      <c r="C43" s="5"/>
      <c r="D43" s="5"/>
      <c r="E43" s="5"/>
      <c r="F43" s="5"/>
      <c r="G43" s="5"/>
      <c r="H43" s="5"/>
      <c r="I43" s="5"/>
      <c r="J43" s="5"/>
      <c r="K43" s="6"/>
    </row>
    <row r="44" spans="2:29" ht="15" thickBot="1" x14ac:dyDescent="0.4">
      <c r="B44" s="7"/>
      <c r="C44" s="8"/>
      <c r="D44" s="8"/>
      <c r="E44" s="8"/>
      <c r="F44" s="8"/>
      <c r="G44" s="8"/>
      <c r="H44" s="8"/>
      <c r="I44" s="8"/>
      <c r="J44" s="8"/>
      <c r="K44" s="9"/>
    </row>
    <row r="47" spans="2:29" x14ac:dyDescent="0.35">
      <c r="B47" s="128" t="s">
        <v>80</v>
      </c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</row>
    <row r="49" spans="2:27" x14ac:dyDescent="0.35">
      <c r="B49" s="125" t="s">
        <v>81</v>
      </c>
      <c r="C49" s="126"/>
      <c r="D49" s="126"/>
      <c r="E49" s="126"/>
      <c r="F49" s="126"/>
      <c r="G49" s="126"/>
      <c r="H49" s="126"/>
      <c r="I49" s="127"/>
      <c r="K49" s="125" t="s">
        <v>146</v>
      </c>
      <c r="L49" s="126"/>
      <c r="M49" s="126"/>
      <c r="N49" s="126"/>
      <c r="O49" s="126"/>
      <c r="P49" s="126"/>
      <c r="Q49" s="126"/>
      <c r="R49" s="127"/>
      <c r="T49" s="125" t="s">
        <v>86</v>
      </c>
      <c r="U49" s="126"/>
      <c r="V49" s="126"/>
      <c r="W49" s="126"/>
      <c r="X49" s="126"/>
      <c r="Y49" s="126"/>
      <c r="Z49" s="126"/>
      <c r="AA49" s="127"/>
    </row>
    <row r="50" spans="2:27" ht="15" thickBot="1" x14ac:dyDescent="0.4">
      <c r="B50" s="13"/>
      <c r="C50" s="14"/>
      <c r="D50" s="14"/>
      <c r="E50" s="14"/>
      <c r="F50" s="14"/>
      <c r="G50" s="14"/>
      <c r="H50" s="14"/>
      <c r="I50" s="15"/>
      <c r="K50" s="49"/>
      <c r="L50" s="11"/>
      <c r="M50" s="11"/>
      <c r="N50" s="11"/>
      <c r="O50" s="11"/>
      <c r="P50" s="11"/>
      <c r="Q50" s="11"/>
      <c r="R50" s="17"/>
      <c r="T50" s="13"/>
      <c r="U50" s="14"/>
      <c r="V50" s="14"/>
      <c r="W50" s="14"/>
      <c r="X50" s="14"/>
      <c r="Y50" s="14"/>
      <c r="Z50" s="14"/>
      <c r="AA50" s="15"/>
    </row>
    <row r="51" spans="2:27" ht="15" thickBot="1" x14ac:dyDescent="0.4">
      <c r="B51" s="49"/>
      <c r="C51" s="11"/>
      <c r="D51" s="11"/>
      <c r="E51" s="11"/>
      <c r="F51" s="11"/>
      <c r="G51" s="11"/>
      <c r="H51" s="11"/>
      <c r="I51" s="17"/>
      <c r="K51" s="48" t="s">
        <v>148</v>
      </c>
      <c r="L51" s="45">
        <v>0.08</v>
      </c>
      <c r="M51" s="21" t="s">
        <v>25</v>
      </c>
      <c r="N51" s="21"/>
      <c r="O51" s="21" t="s">
        <v>147</v>
      </c>
      <c r="P51" s="21"/>
      <c r="Q51" s="21"/>
      <c r="R51" s="23"/>
      <c r="T51" s="48" t="s">
        <v>148</v>
      </c>
      <c r="U51" s="45">
        <v>0.3</v>
      </c>
      <c r="V51" s="21" t="s">
        <v>25</v>
      </c>
      <c r="W51" s="21"/>
      <c r="X51" s="21" t="s">
        <v>90</v>
      </c>
      <c r="Y51" s="21"/>
      <c r="Z51" s="21"/>
      <c r="AA51" s="23"/>
    </row>
    <row r="52" spans="2:27" ht="15" thickBot="1" x14ac:dyDescent="0.4">
      <c r="B52" s="16" t="s">
        <v>177</v>
      </c>
      <c r="C52" s="44">
        <f>3*X3</f>
        <v>40.114229960662584</v>
      </c>
      <c r="D52" s="11" t="s">
        <v>49</v>
      </c>
      <c r="E52" s="21"/>
      <c r="F52" s="21"/>
      <c r="G52" s="21"/>
      <c r="H52" s="21"/>
      <c r="I52" s="23"/>
      <c r="K52" s="48" t="s">
        <v>91</v>
      </c>
      <c r="L52" s="45">
        <v>0.12</v>
      </c>
      <c r="M52" s="21" t="s">
        <v>25</v>
      </c>
      <c r="N52" s="5"/>
      <c r="O52" s="5"/>
      <c r="P52" s="5"/>
      <c r="Q52" s="5"/>
      <c r="R52" s="23"/>
      <c r="T52" s="48" t="s">
        <v>170</v>
      </c>
      <c r="U52" s="45">
        <v>0.35</v>
      </c>
      <c r="V52" s="21" t="s">
        <v>25</v>
      </c>
      <c r="W52" s="5"/>
      <c r="X52" s="5"/>
      <c r="Y52" s="5"/>
      <c r="Z52" s="5"/>
      <c r="AA52" s="23"/>
    </row>
    <row r="53" spans="2:27" ht="15" thickBot="1" x14ac:dyDescent="0.4">
      <c r="B53" s="49"/>
      <c r="C53" s="121" t="s">
        <v>178</v>
      </c>
      <c r="D53" s="11"/>
      <c r="E53" s="5"/>
      <c r="F53" s="5"/>
      <c r="G53" s="5"/>
      <c r="H53" s="5"/>
      <c r="I53" s="23"/>
      <c r="K53" s="16" t="s">
        <v>92</v>
      </c>
      <c r="L53" s="52">
        <f>PI()*L51^2/4*L52*1000</f>
        <v>0.60318578948924029</v>
      </c>
      <c r="M53" s="21" t="s">
        <v>56</v>
      </c>
      <c r="N53" s="5"/>
      <c r="O53" s="5"/>
      <c r="P53" s="5"/>
      <c r="Q53" s="5"/>
      <c r="R53" s="23"/>
      <c r="T53" s="16" t="s">
        <v>171</v>
      </c>
      <c r="U53" s="45">
        <v>0.15</v>
      </c>
      <c r="V53" s="21" t="s">
        <v>25</v>
      </c>
      <c r="W53" s="5"/>
      <c r="X53" s="5"/>
      <c r="Y53" s="5"/>
      <c r="Z53" s="5"/>
      <c r="AA53" s="23"/>
    </row>
    <row r="54" spans="2:27" ht="15" thickBot="1" x14ac:dyDescent="0.4">
      <c r="B54" s="48" t="s">
        <v>56</v>
      </c>
      <c r="C54" s="45">
        <v>0.6</v>
      </c>
      <c r="D54" s="21" t="s">
        <v>25</v>
      </c>
      <c r="E54" s="5"/>
      <c r="F54" s="5"/>
      <c r="G54" s="5"/>
      <c r="H54" s="5"/>
      <c r="I54" s="23"/>
      <c r="K54" s="48" t="s">
        <v>150</v>
      </c>
      <c r="L54" s="45">
        <v>50</v>
      </c>
      <c r="M54" s="11" t="s">
        <v>79</v>
      </c>
      <c r="N54" s="5"/>
      <c r="O54" s="5"/>
      <c r="P54" s="10" t="s">
        <v>149</v>
      </c>
      <c r="R54" s="23"/>
      <c r="T54" s="48" t="s">
        <v>83</v>
      </c>
      <c r="U54" s="44">
        <f>(PI()*U51^2/4*(U52+1/3*U53))*1000</f>
        <v>28.274333882308138</v>
      </c>
      <c r="V54" s="11" t="s">
        <v>56</v>
      </c>
      <c r="W54" s="5"/>
      <c r="X54" s="5"/>
      <c r="Y54" s="11"/>
      <c r="Z54" s="37" t="s">
        <v>168</v>
      </c>
      <c r="AA54" s="23"/>
    </row>
    <row r="55" spans="2:27" ht="15" thickBot="1" x14ac:dyDescent="0.4">
      <c r="B55" s="16" t="s">
        <v>179</v>
      </c>
      <c r="C55" s="45">
        <v>0.3</v>
      </c>
      <c r="D55" s="11" t="s">
        <v>25</v>
      </c>
      <c r="E55" s="5"/>
      <c r="F55" s="5"/>
      <c r="G55" s="5"/>
      <c r="H55" s="5"/>
      <c r="I55" s="23"/>
      <c r="K55" s="48" t="s">
        <v>151</v>
      </c>
      <c r="L55" s="28">
        <f>L53*L54/100/1000</f>
        <v>3.0159289474462013E-4</v>
      </c>
      <c r="M55" s="21" t="s">
        <v>27</v>
      </c>
      <c r="N55" s="5"/>
      <c r="O55" s="5"/>
      <c r="P55" s="5"/>
      <c r="Q55" s="5"/>
      <c r="R55" s="23"/>
      <c r="T55" s="48"/>
      <c r="U55" s="29"/>
      <c r="V55" s="21"/>
      <c r="W55" s="5"/>
      <c r="X55" s="5"/>
      <c r="Y55" s="5"/>
      <c r="Z55" s="5"/>
      <c r="AA55" s="23"/>
    </row>
    <row r="56" spans="2:27" ht="15" thickBot="1" x14ac:dyDescent="0.4">
      <c r="B56" s="48" t="s">
        <v>197</v>
      </c>
      <c r="C56" s="45">
        <v>0.8</v>
      </c>
      <c r="D56" s="11" t="s">
        <v>25</v>
      </c>
      <c r="E56" s="5"/>
      <c r="F56" s="5"/>
      <c r="G56" s="5"/>
      <c r="H56" s="5"/>
      <c r="I56" s="23"/>
      <c r="K56" s="48" t="s">
        <v>152</v>
      </c>
      <c r="L56" s="44">
        <f>N6*L55</f>
        <v>0.79922117107324331</v>
      </c>
      <c r="M56" s="21" t="s">
        <v>47</v>
      </c>
      <c r="N56" s="5"/>
      <c r="O56" s="5"/>
      <c r="P56" s="5"/>
      <c r="Q56" s="5"/>
      <c r="R56" s="23"/>
      <c r="T56" s="48"/>
      <c r="U56" s="113"/>
      <c r="V56" s="21"/>
      <c r="W56" s="5"/>
      <c r="X56" s="5"/>
      <c r="Y56" s="5"/>
      <c r="Z56" s="5"/>
      <c r="AA56" s="23"/>
    </row>
    <row r="57" spans="2:27" ht="15" thickBot="1" x14ac:dyDescent="0.4">
      <c r="B57" s="48" t="s">
        <v>191</v>
      </c>
      <c r="C57" s="45">
        <v>85</v>
      </c>
      <c r="D57" s="11" t="s">
        <v>79</v>
      </c>
      <c r="E57" s="5"/>
      <c r="F57" s="5"/>
      <c r="G57" s="5"/>
      <c r="H57" s="5"/>
      <c r="I57" s="23"/>
      <c r="K57" s="16" t="s">
        <v>153</v>
      </c>
      <c r="L57" s="44">
        <f>L56/(N26)/60</f>
        <v>15.984423421464866</v>
      </c>
      <c r="M57" s="21" t="s">
        <v>82</v>
      </c>
      <c r="N57" s="5"/>
      <c r="O57" s="5"/>
      <c r="P57" s="5"/>
      <c r="Q57" s="5"/>
      <c r="R57" s="23"/>
      <c r="T57" s="48"/>
      <c r="U57" s="113"/>
      <c r="V57" s="21"/>
      <c r="W57" s="5"/>
      <c r="X57" s="5"/>
      <c r="Y57" s="5"/>
      <c r="Z57" s="5"/>
      <c r="AA57" s="23"/>
    </row>
    <row r="58" spans="2:27" ht="15" thickBot="1" x14ac:dyDescent="0.4">
      <c r="B58" s="48" t="s">
        <v>181</v>
      </c>
      <c r="C58" s="123">
        <f>C54^2</f>
        <v>0.36</v>
      </c>
      <c r="D58" s="21" t="s">
        <v>26</v>
      </c>
      <c r="E58" s="5"/>
      <c r="F58" s="5"/>
      <c r="G58" s="5"/>
      <c r="H58" s="5"/>
      <c r="I58" s="23"/>
      <c r="K58" s="95"/>
      <c r="L58" s="96"/>
      <c r="M58" s="97" t="s">
        <v>154</v>
      </c>
      <c r="N58" s="5"/>
      <c r="O58" s="5"/>
      <c r="P58" s="5"/>
      <c r="Q58" s="5"/>
      <c r="R58" s="23"/>
      <c r="T58" s="110"/>
      <c r="U58" s="111"/>
      <c r="V58" s="112"/>
      <c r="W58" s="5"/>
      <c r="X58" s="5"/>
      <c r="Y58" s="11"/>
      <c r="Z58" s="5" t="s">
        <v>169</v>
      </c>
      <c r="AA58" s="23"/>
    </row>
    <row r="59" spans="2:27" ht="15" thickBot="1" x14ac:dyDescent="0.4">
      <c r="B59" s="16" t="s">
        <v>180</v>
      </c>
      <c r="C59" s="119">
        <f>C54*C55</f>
        <v>0.18</v>
      </c>
      <c r="D59" s="21" t="s">
        <v>26</v>
      </c>
      <c r="E59" s="5"/>
      <c r="F59" s="5"/>
      <c r="G59" s="5"/>
      <c r="H59" s="5"/>
      <c r="I59" s="23"/>
      <c r="K59" s="48"/>
      <c r="L59" s="47"/>
      <c r="M59" s="21" t="s">
        <v>161</v>
      </c>
      <c r="N59" s="21"/>
      <c r="O59" s="21"/>
      <c r="P59" s="21"/>
      <c r="Q59" s="21"/>
      <c r="R59" s="23"/>
      <c r="T59" s="48"/>
      <c r="U59" s="21"/>
      <c r="V59" s="21"/>
      <c r="W59" s="21"/>
      <c r="X59" s="21"/>
      <c r="Y59" s="21"/>
      <c r="Z59" s="21"/>
      <c r="AA59" s="23"/>
    </row>
    <row r="60" spans="2:27" ht="15" thickBot="1" x14ac:dyDescent="0.4">
      <c r="B60" s="48" t="s">
        <v>183</v>
      </c>
      <c r="C60" s="46">
        <f>C59*C56*1000</f>
        <v>144</v>
      </c>
      <c r="D60" s="11" t="s">
        <v>56</v>
      </c>
      <c r="E60" s="5"/>
      <c r="F60" s="5"/>
      <c r="G60" s="5"/>
      <c r="H60" s="5"/>
      <c r="I60" s="23"/>
      <c r="K60" s="48"/>
      <c r="L60" s="47" t="s">
        <v>155</v>
      </c>
      <c r="M60" s="21"/>
      <c r="N60" s="21"/>
      <c r="O60" s="21"/>
      <c r="P60" s="21"/>
      <c r="Q60" s="21"/>
      <c r="R60" s="23"/>
      <c r="T60" s="114"/>
      <c r="U60" s="99"/>
      <c r="V60" s="99"/>
      <c r="W60" s="99"/>
      <c r="X60" s="99"/>
      <c r="Y60" s="99"/>
      <c r="Z60" s="99"/>
      <c r="AA60" s="100"/>
    </row>
    <row r="61" spans="2:27" ht="15" thickBot="1" x14ac:dyDescent="0.4">
      <c r="B61" s="16" t="s">
        <v>182</v>
      </c>
      <c r="C61" s="46">
        <f>C60*C57/100</f>
        <v>122.4</v>
      </c>
      <c r="D61" s="11" t="s">
        <v>56</v>
      </c>
      <c r="E61" s="5"/>
      <c r="F61" s="5"/>
      <c r="G61" s="5"/>
      <c r="H61" s="5"/>
      <c r="I61" s="23"/>
      <c r="K61" s="48" t="s">
        <v>162</v>
      </c>
      <c r="L61" s="101">
        <f>L57/(4*60)</f>
        <v>6.6601764256103604E-2</v>
      </c>
      <c r="M61" s="21" t="s">
        <v>163</v>
      </c>
      <c r="N61" s="21"/>
      <c r="O61" s="21"/>
      <c r="P61" s="21"/>
      <c r="Q61" s="21"/>
      <c r="R61" s="23"/>
      <c r="T61" s="115"/>
      <c r="U61" s="116"/>
      <c r="V61" s="117"/>
      <c r="W61" s="117"/>
      <c r="X61" s="117"/>
      <c r="Y61" s="117"/>
      <c r="Z61" s="117"/>
      <c r="AA61" s="117"/>
    </row>
    <row r="62" spans="2:27" ht="15" thickBot="1" x14ac:dyDescent="0.4">
      <c r="B62" s="48" t="s">
        <v>84</v>
      </c>
      <c r="C62" s="52">
        <f>C61/C52</f>
        <v>3.0512862921718731</v>
      </c>
      <c r="D62" s="21" t="s">
        <v>82</v>
      </c>
      <c r="E62" s="5"/>
      <c r="F62" s="5"/>
      <c r="G62" s="5"/>
      <c r="H62" s="5"/>
      <c r="I62" s="23"/>
      <c r="K62" s="48"/>
      <c r="L62" s="47"/>
      <c r="M62" s="21" t="s">
        <v>164</v>
      </c>
      <c r="N62" s="21"/>
      <c r="O62" s="21"/>
      <c r="P62" s="21"/>
      <c r="Q62" s="21"/>
      <c r="R62" s="23"/>
      <c r="T62" s="103"/>
      <c r="U62" s="21"/>
      <c r="V62" s="21"/>
      <c r="W62" s="21"/>
      <c r="X62" s="21"/>
      <c r="Y62" s="21"/>
      <c r="Z62" s="21"/>
      <c r="AA62" s="21"/>
    </row>
    <row r="63" spans="2:27" ht="15" thickBot="1" x14ac:dyDescent="0.4">
      <c r="B63" s="48" t="s">
        <v>85</v>
      </c>
      <c r="C63" s="46">
        <f>C58*C56*1000</f>
        <v>288</v>
      </c>
      <c r="D63" s="11" t="s">
        <v>56</v>
      </c>
      <c r="E63" s="5"/>
      <c r="F63" s="5"/>
      <c r="G63" s="5"/>
      <c r="H63" s="5"/>
      <c r="I63" s="17"/>
      <c r="K63" s="48"/>
      <c r="L63" s="47"/>
      <c r="M63" s="21"/>
      <c r="N63" s="21"/>
      <c r="O63" s="21"/>
      <c r="P63" s="21"/>
      <c r="Q63" s="21"/>
      <c r="R63" s="23"/>
      <c r="T63" s="103"/>
      <c r="U63" s="21"/>
      <c r="V63" s="21"/>
      <c r="W63" s="21"/>
      <c r="X63" s="21"/>
      <c r="Y63" s="21"/>
      <c r="Z63" s="21"/>
      <c r="AA63" s="21"/>
    </row>
    <row r="64" spans="2:27" ht="15" thickBot="1" x14ac:dyDescent="0.4">
      <c r="B64" s="49" t="s">
        <v>184</v>
      </c>
      <c r="C64" s="46">
        <f>C63*C57/100</f>
        <v>244.8</v>
      </c>
      <c r="D64" s="21" t="s">
        <v>56</v>
      </c>
      <c r="E64" s="5"/>
      <c r="F64" s="5"/>
      <c r="G64" s="5"/>
      <c r="H64" s="5"/>
      <c r="I64" s="17"/>
      <c r="K64" s="98"/>
      <c r="L64" s="99"/>
      <c r="M64" s="99"/>
      <c r="N64" s="99"/>
      <c r="O64" s="99"/>
      <c r="P64" s="99"/>
      <c r="Q64" s="99"/>
      <c r="R64" s="100"/>
      <c r="T64" s="21"/>
      <c r="U64" s="21"/>
      <c r="V64" s="21"/>
      <c r="W64" s="21"/>
      <c r="X64" s="21"/>
      <c r="Y64" s="21"/>
      <c r="Z64" s="21"/>
      <c r="AA64" s="21"/>
    </row>
    <row r="65" spans="2:21" x14ac:dyDescent="0.35">
      <c r="C65" s="122"/>
      <c r="D65" s="11"/>
      <c r="E65" s="5"/>
      <c r="F65" s="5"/>
      <c r="G65" s="5"/>
      <c r="H65" s="5"/>
      <c r="I65" s="17"/>
    </row>
    <row r="66" spans="2:21" ht="15" thickBot="1" x14ac:dyDescent="0.4">
      <c r="B66" s="120" t="s">
        <v>185</v>
      </c>
      <c r="C66" s="11"/>
      <c r="D66" s="11"/>
      <c r="E66" s="5"/>
      <c r="F66" s="5"/>
      <c r="G66" s="5"/>
      <c r="H66" s="5"/>
      <c r="I66" s="17"/>
      <c r="K66" t="s">
        <v>156</v>
      </c>
      <c r="S66" t="s">
        <v>196</v>
      </c>
    </row>
    <row r="67" spans="2:21" ht="15" thickBot="1" x14ac:dyDescent="0.4">
      <c r="B67" s="16" t="s">
        <v>186</v>
      </c>
      <c r="C67" s="124">
        <f>3*N26</f>
        <v>2.5000000000000001E-3</v>
      </c>
      <c r="D67" s="11" t="s">
        <v>39</v>
      </c>
      <c r="E67" s="5"/>
      <c r="F67" s="5"/>
      <c r="G67" s="5"/>
      <c r="H67" s="5"/>
      <c r="I67" s="17"/>
      <c r="K67" s="36" t="s">
        <v>157</v>
      </c>
      <c r="L67" s="44">
        <f>X3</f>
        <v>13.371409986887528</v>
      </c>
      <c r="M67" t="s">
        <v>49</v>
      </c>
      <c r="S67" s="36" t="s">
        <v>192</v>
      </c>
      <c r="T67" s="44">
        <f>N26*60*3</f>
        <v>0.15000000000000002</v>
      </c>
      <c r="U67" t="s">
        <v>193</v>
      </c>
    </row>
    <row r="68" spans="2:21" ht="15" thickBot="1" x14ac:dyDescent="0.4">
      <c r="B68" s="16" t="s">
        <v>187</v>
      </c>
      <c r="C68" s="124">
        <f>C67/N6*1000</f>
        <v>9.4339622641509435E-4</v>
      </c>
      <c r="D68" s="21" t="s">
        <v>189</v>
      </c>
      <c r="E68" s="5"/>
      <c r="F68" s="5"/>
      <c r="G68" s="5"/>
      <c r="H68" s="5"/>
      <c r="I68" s="17"/>
      <c r="K68" s="36" t="s">
        <v>158</v>
      </c>
      <c r="L68" s="52">
        <f>N15</f>
        <v>0.02</v>
      </c>
      <c r="M68" t="s">
        <v>25</v>
      </c>
      <c r="S68" s="36" t="s">
        <v>72</v>
      </c>
      <c r="T68" s="45">
        <v>1.5</v>
      </c>
      <c r="U68" s="21" t="s">
        <v>49</v>
      </c>
    </row>
    <row r="69" spans="2:21" ht="15" thickBot="1" x14ac:dyDescent="0.4">
      <c r="B69" s="16" t="s">
        <v>188</v>
      </c>
      <c r="C69" s="50">
        <f>C64-C61</f>
        <v>122.4</v>
      </c>
      <c r="D69" s="21" t="s">
        <v>56</v>
      </c>
      <c r="E69" s="11"/>
      <c r="F69" s="11"/>
      <c r="G69" s="11"/>
      <c r="H69" s="11"/>
      <c r="I69" s="17"/>
      <c r="K69" s="36" t="s">
        <v>159</v>
      </c>
      <c r="L69" s="52">
        <f>L67/1000/60/(PI()*L68^2/4)</f>
        <v>0.70937533184049517</v>
      </c>
      <c r="M69" t="s">
        <v>44</v>
      </c>
      <c r="S69" s="36" t="s">
        <v>194</v>
      </c>
      <c r="T69" s="52">
        <f>T68*N5*0.001</f>
        <v>1.5</v>
      </c>
      <c r="U69" t="s">
        <v>193</v>
      </c>
    </row>
    <row r="70" spans="2:21" ht="15" thickBot="1" x14ac:dyDescent="0.4">
      <c r="B70" s="16" t="s">
        <v>190</v>
      </c>
      <c r="C70" s="44">
        <f>C69/C68</f>
        <v>129744</v>
      </c>
      <c r="D70" s="21" t="s">
        <v>88</v>
      </c>
      <c r="E70" s="11"/>
      <c r="F70" s="11"/>
      <c r="G70" s="11"/>
      <c r="H70" s="11"/>
      <c r="I70" s="17"/>
      <c r="J70" s="47"/>
      <c r="K70" s="104" t="s">
        <v>160</v>
      </c>
      <c r="S70" s="103" t="s">
        <v>195</v>
      </c>
      <c r="T70" s="44">
        <f>T67/T69*100</f>
        <v>10.000000000000002</v>
      </c>
      <c r="U70" t="s">
        <v>79</v>
      </c>
    </row>
    <row r="71" spans="2:21" ht="15" thickBot="1" x14ac:dyDescent="0.4">
      <c r="B71" s="16"/>
      <c r="C71" s="44">
        <f>C70/3600</f>
        <v>36.04</v>
      </c>
      <c r="D71" s="21" t="s">
        <v>98</v>
      </c>
      <c r="E71" s="11"/>
      <c r="F71" s="11"/>
      <c r="G71" s="11"/>
      <c r="H71" s="11"/>
      <c r="I71" s="17"/>
      <c r="J71" s="47"/>
      <c r="K71" s="103" t="s">
        <v>157</v>
      </c>
      <c r="L71" s="44">
        <f>L67*3</f>
        <v>40.114229960662584</v>
      </c>
      <c r="M71" t="s">
        <v>49</v>
      </c>
    </row>
    <row r="72" spans="2:21" ht="15" thickBot="1" x14ac:dyDescent="0.4">
      <c r="B72" s="49"/>
      <c r="C72" s="11"/>
      <c r="D72" s="11"/>
      <c r="E72" s="11"/>
      <c r="F72" s="11"/>
      <c r="G72" s="11"/>
      <c r="H72" s="11"/>
      <c r="I72" s="17"/>
      <c r="J72" s="47"/>
      <c r="K72" s="103" t="s">
        <v>158</v>
      </c>
      <c r="L72" s="105">
        <f>SQRT(4*(L71/1000/60/L69)/PI())</f>
        <v>3.4641016151377546E-2</v>
      </c>
      <c r="M72" t="s">
        <v>25</v>
      </c>
    </row>
    <row r="73" spans="2:21" x14ac:dyDescent="0.35">
      <c r="B73" s="49" t="s">
        <v>198</v>
      </c>
      <c r="C73" s="11">
        <f>C56*C57</f>
        <v>68</v>
      </c>
      <c r="D73" s="11"/>
      <c r="E73" s="11"/>
      <c r="F73" s="11"/>
      <c r="G73" s="11"/>
      <c r="H73" s="11"/>
      <c r="I73" s="17"/>
      <c r="J73" s="47"/>
    </row>
    <row r="74" spans="2:21" x14ac:dyDescent="0.35">
      <c r="B74" s="49"/>
      <c r="C74" s="11"/>
      <c r="D74" s="11"/>
      <c r="E74" s="11"/>
      <c r="F74" s="11"/>
      <c r="G74" s="11"/>
      <c r="H74" s="11"/>
      <c r="I74" s="17"/>
      <c r="J74" s="47"/>
    </row>
    <row r="75" spans="2:21" x14ac:dyDescent="0.35">
      <c r="B75" s="14"/>
      <c r="C75" s="14"/>
      <c r="D75" s="14"/>
      <c r="E75" s="14"/>
      <c r="F75" s="14"/>
      <c r="G75" s="14"/>
      <c r="H75" s="14"/>
      <c r="I75" s="14"/>
      <c r="J75" s="47"/>
    </row>
    <row r="76" spans="2:21" x14ac:dyDescent="0.35">
      <c r="J76" s="47"/>
    </row>
    <row r="77" spans="2:21" x14ac:dyDescent="0.35">
      <c r="J77" s="47"/>
    </row>
    <row r="78" spans="2:21" x14ac:dyDescent="0.35">
      <c r="C78" s="102"/>
      <c r="J78" s="47"/>
    </row>
    <row r="79" spans="2:21" x14ac:dyDescent="0.35">
      <c r="J79" s="47"/>
    </row>
    <row r="80" spans="2:21" x14ac:dyDescent="0.35">
      <c r="E80">
        <f>0.7*1.5</f>
        <v>1.0499999999999998</v>
      </c>
    </row>
  </sheetData>
  <mergeCells count="7">
    <mergeCell ref="K49:R49"/>
    <mergeCell ref="W1:Z1"/>
    <mergeCell ref="B47:AC47"/>
    <mergeCell ref="B49:I49"/>
    <mergeCell ref="M1:P1"/>
    <mergeCell ref="R1:U1"/>
    <mergeCell ref="T49:AA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5"/>
  <sheetViews>
    <sheetView topLeftCell="A14" zoomScale="115" zoomScaleNormal="115" zoomScaleSheetLayoutView="130" workbookViewId="0">
      <selection activeCell="O23" sqref="O23"/>
    </sheetView>
  </sheetViews>
  <sheetFormatPr defaultRowHeight="14.5" x14ac:dyDescent="0.35"/>
  <cols>
    <col min="1" max="1" width="3.453125" customWidth="1"/>
    <col min="2" max="2" width="10.81640625" bestFit="1" customWidth="1"/>
    <col min="3" max="3" width="12.7265625" bestFit="1" customWidth="1"/>
    <col min="4" max="4" width="9.54296875" bestFit="1" customWidth="1"/>
    <col min="6" max="6" width="40.453125" customWidth="1"/>
    <col min="7" max="7" width="3.453125" customWidth="1"/>
    <col min="12" max="12" width="14.453125" bestFit="1" customWidth="1"/>
    <col min="14" max="14" width="17.7265625" customWidth="1"/>
    <col min="15" max="15" width="8.36328125" customWidth="1"/>
  </cols>
  <sheetData>
    <row r="1" spans="1:12" ht="14.5" hidden="1" customHeight="1" x14ac:dyDescent="0.35"/>
    <row r="2" spans="1:12" ht="14.5" hidden="1" customHeight="1" x14ac:dyDescent="0.35">
      <c r="A2" t="s">
        <v>93</v>
      </c>
    </row>
    <row r="3" spans="1:12" ht="14.5" hidden="1" customHeight="1" x14ac:dyDescent="0.35"/>
    <row r="4" spans="1:12" ht="14.5" hidden="1" customHeight="1" x14ac:dyDescent="0.35">
      <c r="A4" t="s">
        <v>94</v>
      </c>
    </row>
    <row r="5" spans="1:12" ht="14.5" hidden="1" customHeight="1" x14ac:dyDescent="0.35">
      <c r="A5" t="s">
        <v>95</v>
      </c>
      <c r="B5" t="s">
        <v>98</v>
      </c>
      <c r="C5">
        <f>0.6*3 + 2.5*3 + 2.8</f>
        <v>12.100000000000001</v>
      </c>
    </row>
    <row r="6" spans="1:12" ht="14.5" hidden="1" customHeight="1" x14ac:dyDescent="0.35">
      <c r="B6" t="s">
        <v>99</v>
      </c>
      <c r="C6">
        <f>1.75*3+0.15*3+0.45*3+4.5+2</f>
        <v>13.55</v>
      </c>
      <c r="D6" t="s">
        <v>103</v>
      </c>
    </row>
    <row r="7" spans="1:12" ht="14.5" hidden="1" customHeight="1" x14ac:dyDescent="0.35">
      <c r="A7" t="s">
        <v>96</v>
      </c>
      <c r="B7" t="s">
        <v>98</v>
      </c>
      <c r="C7">
        <v>2.75</v>
      </c>
    </row>
    <row r="8" spans="1:12" ht="14.5" hidden="1" customHeight="1" x14ac:dyDescent="0.35">
      <c r="B8" t="s">
        <v>99</v>
      </c>
      <c r="C8">
        <f>0.65+1.05+0.3+0.8+3.5+0.1+6+1+0.15</f>
        <v>13.549999999999999</v>
      </c>
    </row>
    <row r="9" spans="1:12" ht="14.5" hidden="1" customHeight="1" x14ac:dyDescent="0.35">
      <c r="A9" t="s">
        <v>97</v>
      </c>
      <c r="B9" t="s">
        <v>98</v>
      </c>
      <c r="C9">
        <v>6</v>
      </c>
      <c r="D9" t="s">
        <v>101</v>
      </c>
    </row>
    <row r="10" spans="1:12" ht="14.5" hidden="1" customHeight="1" x14ac:dyDescent="0.35">
      <c r="B10" t="s">
        <v>99</v>
      </c>
      <c r="C10">
        <f>4.5+5.5+3*1.2+3*0.1</f>
        <v>13.9</v>
      </c>
    </row>
    <row r="11" spans="1:12" ht="14.5" hidden="1" customHeight="1" x14ac:dyDescent="0.35"/>
    <row r="12" spans="1:12" ht="14.5" hidden="1" customHeight="1" x14ac:dyDescent="0.35"/>
    <row r="13" spans="1:12" ht="14.5" hidden="1" customHeight="1" x14ac:dyDescent="0.35"/>
    <row r="14" spans="1:12" x14ac:dyDescent="0.35">
      <c r="B14" s="132" t="s">
        <v>100</v>
      </c>
      <c r="C14" s="132"/>
      <c r="D14" s="132"/>
      <c r="E14" s="132"/>
      <c r="F14" s="132"/>
    </row>
    <row r="15" spans="1:12" ht="29.5" thickBot="1" x14ac:dyDescent="0.4">
      <c r="C15" s="64" t="s">
        <v>107</v>
      </c>
      <c r="D15" s="65" t="s">
        <v>105</v>
      </c>
      <c r="E15" s="65" t="s">
        <v>106</v>
      </c>
      <c r="F15" s="65" t="s">
        <v>108</v>
      </c>
      <c r="H15" s="132" t="s">
        <v>117</v>
      </c>
      <c r="I15" s="132"/>
      <c r="J15" s="132"/>
      <c r="K15" s="132"/>
      <c r="L15" s="132"/>
    </row>
    <row r="16" spans="1:12" ht="15" thickBot="1" x14ac:dyDescent="0.4">
      <c r="B16" s="133" t="s">
        <v>94</v>
      </c>
      <c r="C16" s="54" t="s">
        <v>95</v>
      </c>
      <c r="D16" s="61">
        <f>7.4+8.4</f>
        <v>15.8</v>
      </c>
      <c r="E16" s="55" t="s">
        <v>25</v>
      </c>
      <c r="F16" s="56"/>
      <c r="I16" t="s">
        <v>82</v>
      </c>
      <c r="J16" t="s">
        <v>121</v>
      </c>
      <c r="K16" t="s">
        <v>122</v>
      </c>
    </row>
    <row r="17" spans="2:17" x14ac:dyDescent="0.35">
      <c r="B17" s="130"/>
      <c r="C17" s="53" t="s">
        <v>96</v>
      </c>
      <c r="D17" s="62">
        <f>7.8+2.1</f>
        <v>9.9</v>
      </c>
      <c r="E17" s="12" t="s">
        <v>25</v>
      </c>
      <c r="F17" s="57"/>
      <c r="H17" s="133" t="s">
        <v>72</v>
      </c>
      <c r="I17" s="55">
        <v>5</v>
      </c>
      <c r="J17" s="61">
        <v>13</v>
      </c>
      <c r="K17" s="55">
        <v>20</v>
      </c>
      <c r="L17" s="73" t="s">
        <v>124</v>
      </c>
      <c r="N17" s="144" t="s">
        <v>202</v>
      </c>
      <c r="O17" s="140"/>
      <c r="P17" s="142" t="s">
        <v>205</v>
      </c>
      <c r="Q17" s="73" t="s">
        <v>25</v>
      </c>
    </row>
    <row r="18" spans="2:17" ht="15" thickBot="1" x14ac:dyDescent="0.4">
      <c r="B18" s="131"/>
      <c r="C18" s="58" t="s">
        <v>97</v>
      </c>
      <c r="D18" s="63">
        <v>6.4</v>
      </c>
      <c r="E18" s="59" t="s">
        <v>25</v>
      </c>
      <c r="F18" s="60"/>
      <c r="H18" s="131"/>
      <c r="I18" s="59">
        <f>I17*3</f>
        <v>15</v>
      </c>
      <c r="J18" s="63">
        <f t="shared" ref="J18:K18" si="0">J17*3</f>
        <v>39</v>
      </c>
      <c r="K18" s="59">
        <f t="shared" si="0"/>
        <v>60</v>
      </c>
      <c r="L18" s="60" t="s">
        <v>123</v>
      </c>
      <c r="N18" s="145" t="s">
        <v>203</v>
      </c>
      <c r="O18" s="141"/>
      <c r="P18" s="143" t="s">
        <v>206</v>
      </c>
      <c r="Q18" s="60" t="s">
        <v>25</v>
      </c>
    </row>
    <row r="19" spans="2:17" x14ac:dyDescent="0.35">
      <c r="B19" s="133" t="s">
        <v>102</v>
      </c>
      <c r="C19" s="54" t="s">
        <v>95</v>
      </c>
      <c r="D19" s="61">
        <v>5</v>
      </c>
      <c r="E19" s="55" t="s">
        <v>110</v>
      </c>
      <c r="F19" s="56" t="s">
        <v>165</v>
      </c>
      <c r="H19" s="133" t="s">
        <v>118</v>
      </c>
      <c r="I19" s="55">
        <v>3</v>
      </c>
      <c r="J19" s="61">
        <v>4.5</v>
      </c>
      <c r="K19" s="55">
        <v>6</v>
      </c>
      <c r="L19" s="73" t="s">
        <v>125</v>
      </c>
      <c r="N19" s="146" t="s">
        <v>204</v>
      </c>
      <c r="O19" s="138" t="s">
        <v>60</v>
      </c>
      <c r="P19" s="142">
        <v>20</v>
      </c>
      <c r="Q19" s="73" t="s">
        <v>207</v>
      </c>
    </row>
    <row r="20" spans="2:17" ht="15" thickBot="1" x14ac:dyDescent="0.4">
      <c r="B20" s="130"/>
      <c r="C20" s="53" t="s">
        <v>96</v>
      </c>
      <c r="D20" s="62">
        <v>5</v>
      </c>
      <c r="E20" s="12" t="s">
        <v>110</v>
      </c>
      <c r="F20" s="57"/>
      <c r="H20" s="131"/>
      <c r="I20" s="59">
        <f>I19*3</f>
        <v>9</v>
      </c>
      <c r="J20" s="63">
        <f t="shared" ref="J20:K20" si="1">J19*3</f>
        <v>13.5</v>
      </c>
      <c r="K20" s="59">
        <f t="shared" si="1"/>
        <v>18</v>
      </c>
      <c r="L20" s="60" t="s">
        <v>123</v>
      </c>
      <c r="N20" s="147"/>
      <c r="O20" s="139" t="s">
        <v>200</v>
      </c>
      <c r="P20" s="143">
        <v>40</v>
      </c>
      <c r="Q20" s="60" t="s">
        <v>207</v>
      </c>
    </row>
    <row r="21" spans="2:17" ht="15" thickBot="1" x14ac:dyDescent="0.4">
      <c r="B21" s="131"/>
      <c r="C21" s="58" t="s">
        <v>97</v>
      </c>
      <c r="D21" s="63">
        <v>1</v>
      </c>
      <c r="E21" s="59" t="s">
        <v>110</v>
      </c>
      <c r="F21" s="60"/>
      <c r="H21" s="133" t="s">
        <v>119</v>
      </c>
      <c r="I21" s="55">
        <v>0</v>
      </c>
      <c r="J21" s="61">
        <v>50</v>
      </c>
      <c r="K21" s="55">
        <v>200</v>
      </c>
      <c r="L21" s="73" t="s">
        <v>126</v>
      </c>
    </row>
    <row r="22" spans="2:17" ht="15" thickBot="1" x14ac:dyDescent="0.4">
      <c r="B22" s="133" t="s">
        <v>104</v>
      </c>
      <c r="C22" s="54" t="s">
        <v>95</v>
      </c>
      <c r="D22" s="61"/>
      <c r="E22" s="55" t="s">
        <v>110</v>
      </c>
      <c r="F22" s="56"/>
      <c r="H22" s="134"/>
      <c r="I22" s="74">
        <f>I21*3</f>
        <v>0</v>
      </c>
      <c r="J22" s="75">
        <f t="shared" ref="J22:K22" si="2">J21*3</f>
        <v>150</v>
      </c>
      <c r="K22" s="74">
        <f t="shared" si="2"/>
        <v>600</v>
      </c>
      <c r="L22" s="76" t="s">
        <v>123</v>
      </c>
    </row>
    <row r="23" spans="2:17" ht="15" thickBot="1" x14ac:dyDescent="0.4">
      <c r="B23" s="130"/>
      <c r="C23" s="53" t="s">
        <v>96</v>
      </c>
      <c r="D23" s="62">
        <v>1</v>
      </c>
      <c r="E23" s="12" t="s">
        <v>110</v>
      </c>
      <c r="F23" s="57"/>
      <c r="H23" s="79" t="s">
        <v>120</v>
      </c>
      <c r="I23" s="77">
        <v>0</v>
      </c>
      <c r="J23" s="80">
        <v>0.75</v>
      </c>
      <c r="K23" s="77">
        <v>1.1000000000000001</v>
      </c>
      <c r="L23" s="78" t="s">
        <v>127</v>
      </c>
    </row>
    <row r="24" spans="2:17" ht="15" thickBot="1" x14ac:dyDescent="0.4">
      <c r="B24" s="131"/>
      <c r="C24" s="58" t="s">
        <v>97</v>
      </c>
      <c r="D24" s="63">
        <v>3</v>
      </c>
      <c r="E24" s="59" t="s">
        <v>110</v>
      </c>
      <c r="F24" s="60" t="s">
        <v>113</v>
      </c>
    </row>
    <row r="25" spans="2:17" x14ac:dyDescent="0.35">
      <c r="B25" s="129" t="s">
        <v>109</v>
      </c>
      <c r="C25" s="54" t="s">
        <v>95</v>
      </c>
      <c r="D25" s="61">
        <v>3</v>
      </c>
      <c r="E25" s="55" t="s">
        <v>110</v>
      </c>
      <c r="F25" s="56" t="s">
        <v>133</v>
      </c>
      <c r="H25" t="s">
        <v>130</v>
      </c>
      <c r="I25" s="81">
        <f>I22/(I18*1000)</f>
        <v>0</v>
      </c>
      <c r="J25" s="81">
        <f>J22/(J18*1000)</f>
        <v>3.8461538461538464E-3</v>
      </c>
      <c r="K25" s="81">
        <f>K22/(K18*1000)</f>
        <v>0.01</v>
      </c>
    </row>
    <row r="26" spans="2:17" x14ac:dyDescent="0.35">
      <c r="B26" s="130"/>
      <c r="C26" s="53" t="s">
        <v>96</v>
      </c>
      <c r="D26" s="62"/>
      <c r="E26" s="12" t="s">
        <v>110</v>
      </c>
      <c r="F26" s="57"/>
    </row>
    <row r="27" spans="2:17" ht="15" thickBot="1" x14ac:dyDescent="0.4">
      <c r="B27" s="131"/>
      <c r="C27" s="58" t="s">
        <v>97</v>
      </c>
      <c r="D27" s="63"/>
      <c r="E27" s="59" t="s">
        <v>110</v>
      </c>
      <c r="F27" s="60"/>
      <c r="H27" s="82" t="s">
        <v>140</v>
      </c>
      <c r="I27" s="82"/>
      <c r="J27" s="82"/>
      <c r="K27" s="82"/>
      <c r="L27" s="82"/>
    </row>
    <row r="28" spans="2:17" x14ac:dyDescent="0.35">
      <c r="B28" s="129" t="s">
        <v>111</v>
      </c>
      <c r="C28" s="54" t="s">
        <v>95</v>
      </c>
      <c r="D28" s="61">
        <v>6</v>
      </c>
      <c r="E28" s="55" t="s">
        <v>110</v>
      </c>
      <c r="F28" s="56" t="s">
        <v>134</v>
      </c>
      <c r="H28" s="72" t="s">
        <v>135</v>
      </c>
    </row>
    <row r="29" spans="2:17" x14ac:dyDescent="0.35">
      <c r="B29" s="130"/>
      <c r="C29" s="53" t="s">
        <v>96</v>
      </c>
      <c r="D29" s="62"/>
      <c r="E29" s="12" t="s">
        <v>110</v>
      </c>
      <c r="F29" s="57"/>
      <c r="H29" s="72" t="s">
        <v>136</v>
      </c>
    </row>
    <row r="30" spans="2:17" ht="15" thickBot="1" x14ac:dyDescent="0.4">
      <c r="B30" s="131"/>
      <c r="C30" s="58" t="s">
        <v>97</v>
      </c>
      <c r="D30" s="63">
        <v>3</v>
      </c>
      <c r="E30" s="59" t="s">
        <v>110</v>
      </c>
      <c r="F30" s="60" t="s">
        <v>113</v>
      </c>
      <c r="H30" s="72" t="s">
        <v>137</v>
      </c>
    </row>
    <row r="31" spans="2:17" x14ac:dyDescent="0.35">
      <c r="B31" s="129" t="s">
        <v>112</v>
      </c>
      <c r="C31" s="54" t="s">
        <v>95</v>
      </c>
      <c r="D31" s="61">
        <v>3</v>
      </c>
      <c r="E31" s="55" t="s">
        <v>110</v>
      </c>
      <c r="F31" s="56" t="s">
        <v>129</v>
      </c>
      <c r="H31" s="72" t="s">
        <v>138</v>
      </c>
    </row>
    <row r="32" spans="2:17" x14ac:dyDescent="0.35">
      <c r="B32" s="130"/>
      <c r="C32" s="53" t="s">
        <v>96</v>
      </c>
      <c r="D32" s="62"/>
      <c r="E32" s="12" t="s">
        <v>110</v>
      </c>
      <c r="F32" s="57"/>
      <c r="H32" s="72" t="s">
        <v>139</v>
      </c>
    </row>
    <row r="33" spans="2:12" ht="15" thickBot="1" x14ac:dyDescent="0.4">
      <c r="B33" s="131"/>
      <c r="C33" s="58" t="s">
        <v>97</v>
      </c>
      <c r="D33" s="63">
        <v>3</v>
      </c>
      <c r="E33" s="59" t="s">
        <v>110</v>
      </c>
      <c r="F33" s="60" t="s">
        <v>128</v>
      </c>
    </row>
    <row r="34" spans="2:12" ht="15" thickBot="1" x14ac:dyDescent="0.4">
      <c r="B34" s="66" t="s">
        <v>116</v>
      </c>
      <c r="C34" s="68"/>
      <c r="D34" s="69">
        <v>1</v>
      </c>
      <c r="E34" s="70" t="s">
        <v>110</v>
      </c>
      <c r="F34" s="71" t="s">
        <v>131</v>
      </c>
      <c r="H34" s="82" t="s">
        <v>141</v>
      </c>
      <c r="I34" s="82"/>
      <c r="J34" s="82"/>
      <c r="K34" s="82"/>
      <c r="L34" s="82"/>
    </row>
    <row r="35" spans="2:12" ht="15" thickBot="1" x14ac:dyDescent="0.4">
      <c r="B35" s="67" t="s">
        <v>114</v>
      </c>
      <c r="C35" s="54"/>
      <c r="D35" s="61">
        <v>1</v>
      </c>
      <c r="E35" s="55" t="s">
        <v>110</v>
      </c>
      <c r="F35" s="56" t="s">
        <v>132</v>
      </c>
      <c r="H35" s="72" t="s">
        <v>142</v>
      </c>
    </row>
    <row r="36" spans="2:12" x14ac:dyDescent="0.35">
      <c r="B36" s="129" t="s">
        <v>115</v>
      </c>
      <c r="C36" s="54" t="s">
        <v>81</v>
      </c>
      <c r="D36" s="61">
        <v>150</v>
      </c>
      <c r="E36" s="55" t="s">
        <v>56</v>
      </c>
      <c r="F36" s="56"/>
      <c r="H36" s="72" t="s">
        <v>143</v>
      </c>
    </row>
    <row r="37" spans="2:12" x14ac:dyDescent="0.35">
      <c r="B37" s="130"/>
      <c r="C37" s="53" t="s">
        <v>86</v>
      </c>
      <c r="D37" s="109">
        <v>40</v>
      </c>
      <c r="E37" s="12" t="s">
        <v>56</v>
      </c>
      <c r="F37" s="57"/>
      <c r="H37" s="72" t="s">
        <v>144</v>
      </c>
    </row>
    <row r="38" spans="2:12" ht="15" thickBot="1" x14ac:dyDescent="0.4">
      <c r="B38" s="131"/>
      <c r="C38" s="58" t="s">
        <v>166</v>
      </c>
      <c r="D38" s="63">
        <v>1</v>
      </c>
      <c r="E38" s="59" t="s">
        <v>56</v>
      </c>
      <c r="F38" s="60" t="s">
        <v>167</v>
      </c>
      <c r="H38" s="72" t="s">
        <v>145</v>
      </c>
    </row>
    <row r="41" spans="2:12" x14ac:dyDescent="0.35">
      <c r="B41" t="s">
        <v>172</v>
      </c>
    </row>
    <row r="42" spans="2:12" x14ac:dyDescent="0.35">
      <c r="B42" s="36" t="s">
        <v>174</v>
      </c>
      <c r="C42">
        <f>PI()*0.02^2/4*D16</f>
        <v>4.9637163926718733E-3</v>
      </c>
      <c r="D42" t="s">
        <v>27</v>
      </c>
    </row>
    <row r="43" spans="2:12" x14ac:dyDescent="0.35">
      <c r="B43" s="36" t="s">
        <v>175</v>
      </c>
      <c r="C43">
        <f>PI()*0.04^2/4*D17</f>
        <v>1.2440706908215582E-2</v>
      </c>
      <c r="D43" t="s">
        <v>27</v>
      </c>
    </row>
    <row r="44" spans="2:12" ht="15" thickBot="1" x14ac:dyDescent="0.4">
      <c r="B44" s="36" t="s">
        <v>173</v>
      </c>
      <c r="C44">
        <f>(D36+3*D38)*0.001</f>
        <v>0.153</v>
      </c>
      <c r="D44" t="s">
        <v>27</v>
      </c>
    </row>
    <row r="45" spans="2:12" ht="15" thickBot="1" x14ac:dyDescent="0.4">
      <c r="B45" s="36" t="s">
        <v>176</v>
      </c>
      <c r="C45" s="118">
        <f>SUM(C42:C44)*1000</f>
        <v>170.40442330088746</v>
      </c>
      <c r="D45" t="s">
        <v>56</v>
      </c>
    </row>
  </sheetData>
  <mergeCells count="15">
    <mergeCell ref="N19:N20"/>
    <mergeCell ref="N17:O17"/>
    <mergeCell ref="N18:O18"/>
    <mergeCell ref="B36:B38"/>
    <mergeCell ref="B14:F14"/>
    <mergeCell ref="H15:L15"/>
    <mergeCell ref="H17:H18"/>
    <mergeCell ref="H19:H20"/>
    <mergeCell ref="H21:H22"/>
    <mergeCell ref="B16:B18"/>
    <mergeCell ref="B19:B21"/>
    <mergeCell ref="B22:B24"/>
    <mergeCell ref="B25:B27"/>
    <mergeCell ref="B28:B30"/>
    <mergeCell ref="B31:B3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Flowsheet - dimensions</vt:lpstr>
      <vt:lpstr>Nominal</vt:lpstr>
      <vt:lpstr>Conditions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Otavio Matias</dc:creator>
  <cp:lastModifiedBy>Jose Otavio Matias</cp:lastModifiedBy>
  <cp:lastPrinted>2019-02-07T10:49:30Z</cp:lastPrinted>
  <dcterms:created xsi:type="dcterms:W3CDTF">2019-01-23T12:50:15Z</dcterms:created>
  <dcterms:modified xsi:type="dcterms:W3CDTF">2020-07-08T09:47:25Z</dcterms:modified>
</cp:coreProperties>
</file>