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5" yWindow="360" windowWidth="22680" windowHeight="10290"/>
  </bookViews>
  <sheets>
    <sheet name="Ab01" sheetId="16" r:id="rId1"/>
    <sheet name="Ab02" sheetId="9" r:id="rId2"/>
    <sheet name="Ab03" sheetId="10" r:id="rId3"/>
    <sheet name="Ab04" sheetId="11" r:id="rId4"/>
    <sheet name="Ab05" sheetId="12" r:id="rId5"/>
    <sheet name="Ab06" sheetId="14" r:id="rId6"/>
    <sheet name="Ab07" sheetId="13" r:id="rId7"/>
    <sheet name="Ab08" sheetId="15" r:id="rId8"/>
    <sheet name="Ab09" sheetId="7" r:id="rId9"/>
    <sheet name="Ab10" sheetId="8" r:id="rId10"/>
  </sheets>
  <calcPr calcId="145621"/>
</workbook>
</file>

<file path=xl/calcChain.xml><?xml version="1.0" encoding="utf-8"?>
<calcChain xmlns="http://schemas.openxmlformats.org/spreadsheetml/2006/main">
  <c r="L16" i="14" l="1"/>
  <c r="L5" i="14"/>
  <c r="L16" i="11"/>
  <c r="L16" i="12"/>
  <c r="L14" i="12"/>
  <c r="L12" i="12"/>
  <c r="L11" i="12"/>
  <c r="L10" i="12"/>
  <c r="L14" i="11"/>
  <c r="L12" i="11"/>
  <c r="L11" i="11"/>
  <c r="L10" i="11"/>
  <c r="D25" i="9" l="1"/>
  <c r="D26" i="9" s="1"/>
  <c r="D27" i="10"/>
  <c r="H19" i="11"/>
  <c r="L10" i="14" l="1"/>
  <c r="J12" i="16"/>
  <c r="J13" i="16"/>
  <c r="J14" i="16" s="1"/>
  <c r="J3" i="16"/>
  <c r="J4" i="16"/>
  <c r="J5" i="16" s="1"/>
  <c r="J6" i="16" l="1"/>
  <c r="J7" i="16"/>
  <c r="J17" i="16"/>
  <c r="J18" i="16" s="1"/>
  <c r="J19" i="16" s="1"/>
  <c r="J15" i="16"/>
  <c r="J16" i="16"/>
  <c r="J8" i="16" l="1"/>
  <c r="J9" i="16"/>
  <c r="J23" i="16" l="1"/>
  <c r="J22" i="16"/>
  <c r="F3" i="16"/>
  <c r="F5" i="16"/>
  <c r="F6" i="16"/>
  <c r="F7" i="16"/>
  <c r="F8" i="16"/>
  <c r="L4" i="16"/>
  <c r="F17" i="16"/>
  <c r="F14" i="16"/>
  <c r="F12" i="16"/>
  <c r="L3" i="16" l="1"/>
  <c r="L5" i="16" l="1"/>
  <c r="F4" i="7"/>
  <c r="J24" i="16" l="1"/>
  <c r="L7" i="16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17" i="8"/>
  <c r="D24" i="15"/>
  <c r="D23" i="15"/>
  <c r="L2" i="15" s="1"/>
  <c r="M2" i="15" s="1"/>
  <c r="D4" i="15"/>
  <c r="D5" i="15"/>
  <c r="D6" i="15"/>
  <c r="D7" i="15"/>
  <c r="D8" i="15"/>
  <c r="H2" i="15" s="1"/>
  <c r="H23" i="15" s="1"/>
  <c r="D9" i="15"/>
  <c r="D10" i="15"/>
  <c r="H7" i="15" s="1"/>
  <c r="D11" i="15"/>
  <c r="D12" i="15"/>
  <c r="D13" i="15"/>
  <c r="D14" i="15"/>
  <c r="D15" i="15"/>
  <c r="D16" i="15"/>
  <c r="D17" i="15"/>
  <c r="D18" i="15"/>
  <c r="H13" i="15" s="1"/>
  <c r="H14" i="15" s="1"/>
  <c r="D19" i="15"/>
  <c r="D3" i="15"/>
  <c r="H15" i="15"/>
  <c r="G15" i="15"/>
  <c r="F15" i="15"/>
  <c r="G13" i="15"/>
  <c r="H4" i="15"/>
  <c r="K2" i="15"/>
  <c r="K3" i="15" s="1"/>
  <c r="K2" i="13"/>
  <c r="L2" i="13" s="1"/>
  <c r="M2" i="13" s="1"/>
  <c r="H15" i="13"/>
  <c r="G15" i="13"/>
  <c r="F15" i="13"/>
  <c r="H13" i="13"/>
  <c r="H14" i="13" s="1"/>
  <c r="G13" i="13"/>
  <c r="H7" i="13"/>
  <c r="H16" i="13" s="1"/>
  <c r="H17" i="13" s="1"/>
  <c r="H19" i="13" s="1"/>
  <c r="H5" i="13"/>
  <c r="H8" i="13" s="1"/>
  <c r="H4" i="13"/>
  <c r="H3" i="13"/>
  <c r="H2" i="13"/>
  <c r="H23" i="13" s="1"/>
  <c r="H16" i="15" l="1"/>
  <c r="H17" i="15" s="1"/>
  <c r="H19" i="15" s="1"/>
  <c r="L9" i="16"/>
  <c r="L6" i="16"/>
  <c r="J28" i="16"/>
  <c r="J29" i="16" s="1"/>
  <c r="J30" i="16" s="1"/>
  <c r="J25" i="16"/>
  <c r="J27" i="16" s="1"/>
  <c r="L8" i="16"/>
  <c r="H3" i="15"/>
  <c r="H9" i="15" s="1"/>
  <c r="H11" i="15" s="1"/>
  <c r="H5" i="15"/>
  <c r="H24" i="15"/>
  <c r="H25" i="15" s="1"/>
  <c r="K4" i="15"/>
  <c r="L3" i="15"/>
  <c r="O2" i="15"/>
  <c r="H18" i="15"/>
  <c r="N2" i="15"/>
  <c r="O2" i="13"/>
  <c r="N2" i="13"/>
  <c r="K3" i="13"/>
  <c r="H18" i="13"/>
  <c r="H6" i="13"/>
  <c r="H24" i="13"/>
  <c r="H25" i="13" s="1"/>
  <c r="H9" i="13"/>
  <c r="H15" i="14"/>
  <c r="G15" i="14"/>
  <c r="F15" i="14"/>
  <c r="H13" i="14"/>
  <c r="H14" i="14" s="1"/>
  <c r="G13" i="14"/>
  <c r="H7" i="14"/>
  <c r="H16" i="14" s="1"/>
  <c r="H17" i="14" s="1"/>
  <c r="H19" i="14" s="1"/>
  <c r="H5" i="14"/>
  <c r="H4" i="14"/>
  <c r="H3" i="14"/>
  <c r="H2" i="14"/>
  <c r="L2" i="14" s="1"/>
  <c r="H6" i="15" l="1"/>
  <c r="H18" i="14"/>
  <c r="H6" i="14"/>
  <c r="H8" i="15"/>
  <c r="H10" i="15"/>
  <c r="H12" i="15" s="1"/>
  <c r="O3" i="15"/>
  <c r="N3" i="15"/>
  <c r="M3" i="15"/>
  <c r="K5" i="15"/>
  <c r="L4" i="15"/>
  <c r="L3" i="13"/>
  <c r="M3" i="13" s="1"/>
  <c r="K4" i="13"/>
  <c r="H10" i="13"/>
  <c r="H11" i="13"/>
  <c r="L3" i="14"/>
  <c r="H8" i="14"/>
  <c r="H9" i="14"/>
  <c r="H11" i="14" s="1"/>
  <c r="D6" i="12"/>
  <c r="D7" i="12"/>
  <c r="H2" i="12" s="1"/>
  <c r="D8" i="12"/>
  <c r="D9" i="12"/>
  <c r="H7" i="12" s="1"/>
  <c r="H16" i="12" s="1"/>
  <c r="H17" i="12" s="1"/>
  <c r="D10" i="12"/>
  <c r="D11" i="12"/>
  <c r="D13" i="12"/>
  <c r="D14" i="12"/>
  <c r="H15" i="12" s="1"/>
  <c r="D17" i="12"/>
  <c r="D18" i="12"/>
  <c r="G15" i="12"/>
  <c r="F15" i="12"/>
  <c r="G13" i="12"/>
  <c r="H4" i="12"/>
  <c r="H7" i="11"/>
  <c r="H16" i="11" s="1"/>
  <c r="H17" i="11" s="1"/>
  <c r="H2" i="11"/>
  <c r="H18" i="11" s="1"/>
  <c r="H3" i="11"/>
  <c r="H9" i="11" s="1"/>
  <c r="H11" i="11" s="1"/>
  <c r="H5" i="11"/>
  <c r="H4" i="11"/>
  <c r="H15" i="11"/>
  <c r="G15" i="11"/>
  <c r="F15" i="11"/>
  <c r="H13" i="11"/>
  <c r="H14" i="11" s="1"/>
  <c r="G13" i="11"/>
  <c r="D22" i="10"/>
  <c r="C22" i="10"/>
  <c r="B22" i="10"/>
  <c r="D20" i="10"/>
  <c r="C20" i="10"/>
  <c r="D19" i="10"/>
  <c r="D23" i="10" s="1"/>
  <c r="D24" i="10" s="1"/>
  <c r="D18" i="10"/>
  <c r="D25" i="10" s="1"/>
  <c r="D28" i="10" s="1"/>
  <c r="H18" i="10" s="1"/>
  <c r="H20" i="10" s="1"/>
  <c r="B18" i="10"/>
  <c r="H10" i="14" l="1"/>
  <c r="L18" i="14" s="1"/>
  <c r="L20" i="14" s="1"/>
  <c r="H18" i="12"/>
  <c r="H19" i="10"/>
  <c r="D29" i="10"/>
  <c r="J26" i="16"/>
  <c r="H20" i="15"/>
  <c r="L5" i="15"/>
  <c r="K6" i="15"/>
  <c r="N4" i="15"/>
  <c r="M4" i="15"/>
  <c r="O4" i="15"/>
  <c r="K5" i="13"/>
  <c r="L4" i="13"/>
  <c r="M4" i="13" s="1"/>
  <c r="N3" i="13"/>
  <c r="O3" i="13"/>
  <c r="H20" i="13"/>
  <c r="H12" i="13"/>
  <c r="H21" i="13" s="1"/>
  <c r="H12" i="14"/>
  <c r="H20" i="14"/>
  <c r="L4" i="14"/>
  <c r="H13" i="12"/>
  <c r="H14" i="12" s="1"/>
  <c r="H19" i="12"/>
  <c r="L2" i="12"/>
  <c r="H3" i="12"/>
  <c r="H5" i="12"/>
  <c r="H8" i="11"/>
  <c r="L2" i="11"/>
  <c r="L3" i="11" s="1"/>
  <c r="D26" i="10"/>
  <c r="H6" i="11"/>
  <c r="H10" i="11"/>
  <c r="H12" i="11" s="1"/>
  <c r="H2" i="10"/>
  <c r="D21" i="10"/>
  <c r="D20" i="9"/>
  <c r="C20" i="9"/>
  <c r="B20" i="9"/>
  <c r="D18" i="9"/>
  <c r="D19" i="9" s="1"/>
  <c r="H12" i="9" s="1"/>
  <c r="C18" i="9"/>
  <c r="D17" i="9"/>
  <c r="D21" i="9" s="1"/>
  <c r="B16" i="9"/>
  <c r="D16" i="9"/>
  <c r="L19" i="14" l="1"/>
  <c r="Y3" i="13"/>
  <c r="Y2" i="13"/>
  <c r="Y4" i="13"/>
  <c r="H2" i="9"/>
  <c r="H3" i="9" s="1"/>
  <c r="D23" i="9"/>
  <c r="S17" i="15"/>
  <c r="S20" i="15"/>
  <c r="S22" i="15"/>
  <c r="S10" i="15"/>
  <c r="S18" i="15"/>
  <c r="S21" i="15"/>
  <c r="S19" i="15"/>
  <c r="S13" i="15"/>
  <c r="S4" i="15"/>
  <c r="S16" i="15"/>
  <c r="S5" i="15"/>
  <c r="S15" i="15"/>
  <c r="S12" i="15"/>
  <c r="S7" i="15"/>
  <c r="S9" i="15"/>
  <c r="S8" i="15"/>
  <c r="S14" i="15"/>
  <c r="S3" i="15"/>
  <c r="S2" i="15"/>
  <c r="S11" i="15"/>
  <c r="S6" i="15"/>
  <c r="H21" i="15"/>
  <c r="K7" i="15"/>
  <c r="L6" i="15"/>
  <c r="M5" i="15"/>
  <c r="O5" i="15"/>
  <c r="N5" i="15"/>
  <c r="S4" i="13"/>
  <c r="S12" i="13"/>
  <c r="S11" i="13"/>
  <c r="S7" i="13"/>
  <c r="S20" i="13"/>
  <c r="S16" i="13"/>
  <c r="S13" i="13"/>
  <c r="S21" i="13"/>
  <c r="S19" i="13"/>
  <c r="S14" i="13"/>
  <c r="S22" i="13"/>
  <c r="S6" i="13"/>
  <c r="S10" i="13"/>
  <c r="S2" i="13"/>
  <c r="S18" i="13"/>
  <c r="S9" i="13"/>
  <c r="S5" i="13"/>
  <c r="S3" i="13"/>
  <c r="S17" i="13"/>
  <c r="S15" i="13"/>
  <c r="S8" i="13"/>
  <c r="P2" i="13"/>
  <c r="P3" i="13"/>
  <c r="N4" i="13"/>
  <c r="P4" i="13" s="1"/>
  <c r="O4" i="13"/>
  <c r="K6" i="13"/>
  <c r="L5" i="13"/>
  <c r="M5" i="13" s="1"/>
  <c r="H21" i="14"/>
  <c r="L9" i="14"/>
  <c r="L3" i="12"/>
  <c r="L4" i="12" s="1"/>
  <c r="H8" i="12"/>
  <c r="H6" i="12"/>
  <c r="H9" i="12"/>
  <c r="H11" i="12" s="1"/>
  <c r="L18" i="11"/>
  <c r="H20" i="11"/>
  <c r="H21" i="11" s="1"/>
  <c r="D22" i="9"/>
  <c r="D24" i="9"/>
  <c r="L4" i="11"/>
  <c r="H3" i="10"/>
  <c r="H4" i="10" s="1"/>
  <c r="H5" i="10" s="1"/>
  <c r="L16" i="8"/>
  <c r="M16" i="8"/>
  <c r="N16" i="8"/>
  <c r="K16" i="8"/>
  <c r="C17" i="8"/>
  <c r="E17" i="8" s="1"/>
  <c r="B18" i="8"/>
  <c r="C18" i="8" s="1"/>
  <c r="E18" i="8" s="1"/>
  <c r="C11" i="8"/>
  <c r="C10" i="8"/>
  <c r="D30" i="8" s="1"/>
  <c r="H7" i="9" l="1"/>
  <c r="Y5" i="13"/>
  <c r="H10" i="10"/>
  <c r="H16" i="10" s="1"/>
  <c r="P2" i="15"/>
  <c r="P3" i="15"/>
  <c r="Y4" i="15"/>
  <c r="Y2" i="15"/>
  <c r="Y5" i="15"/>
  <c r="Y3" i="15"/>
  <c r="P5" i="15"/>
  <c r="Q5" i="15" s="1"/>
  <c r="R5" i="15" s="1"/>
  <c r="P4" i="15"/>
  <c r="O6" i="15"/>
  <c r="N6" i="15"/>
  <c r="P6" i="15" s="1"/>
  <c r="M6" i="15"/>
  <c r="Y6" i="15"/>
  <c r="L7" i="15"/>
  <c r="K8" i="15"/>
  <c r="Q2" i="13"/>
  <c r="R2" i="13" s="1"/>
  <c r="U2" i="13" s="1"/>
  <c r="V2" i="13"/>
  <c r="K7" i="13"/>
  <c r="L6" i="13"/>
  <c r="Q4" i="13"/>
  <c r="R4" i="13" s="1"/>
  <c r="U4" i="13" s="1"/>
  <c r="V4" i="13"/>
  <c r="O5" i="13"/>
  <c r="N5" i="13"/>
  <c r="P5" i="13" s="1"/>
  <c r="Q3" i="13"/>
  <c r="R3" i="13" s="1"/>
  <c r="V3" i="13"/>
  <c r="H10" i="12"/>
  <c r="L18" i="12" s="1"/>
  <c r="L9" i="11"/>
  <c r="L20" i="11"/>
  <c r="L19" i="11"/>
  <c r="L5" i="11"/>
  <c r="H9" i="10"/>
  <c r="H4" i="9"/>
  <c r="H19" i="9"/>
  <c r="H20" i="9" s="1"/>
  <c r="F32" i="8"/>
  <c r="K18" i="8"/>
  <c r="N18" i="8"/>
  <c r="M18" i="8"/>
  <c r="L18" i="8"/>
  <c r="N17" i="8"/>
  <c r="M17" i="8"/>
  <c r="K17" i="8"/>
  <c r="L17" i="8"/>
  <c r="F17" i="8"/>
  <c r="D36" i="8"/>
  <c r="F30" i="8"/>
  <c r="D28" i="8"/>
  <c r="F22" i="8"/>
  <c r="D20" i="8"/>
  <c r="F35" i="8"/>
  <c r="D33" i="8"/>
  <c r="F27" i="8"/>
  <c r="D25" i="8"/>
  <c r="F19" i="8"/>
  <c r="F24" i="8"/>
  <c r="F37" i="8"/>
  <c r="D35" i="8"/>
  <c r="F29" i="8"/>
  <c r="D27" i="8"/>
  <c r="F21" i="8"/>
  <c r="D19" i="8"/>
  <c r="D22" i="8"/>
  <c r="F34" i="8"/>
  <c r="D32" i="8"/>
  <c r="F26" i="8"/>
  <c r="D24" i="8"/>
  <c r="F18" i="8"/>
  <c r="D21" i="8"/>
  <c r="D17" i="8"/>
  <c r="F36" i="8"/>
  <c r="D34" i="8"/>
  <c r="F28" i="8"/>
  <c r="D26" i="8"/>
  <c r="F20" i="8"/>
  <c r="D18" i="8"/>
  <c r="D37" i="8"/>
  <c r="F31" i="8"/>
  <c r="D29" i="8"/>
  <c r="F23" i="8"/>
  <c r="F33" i="8"/>
  <c r="D31" i="8"/>
  <c r="F25" i="8"/>
  <c r="D23" i="8"/>
  <c r="B19" i="8"/>
  <c r="L6" i="14" l="1"/>
  <c r="L7" i="14" s="1"/>
  <c r="M6" i="13"/>
  <c r="Y6" i="13"/>
  <c r="L20" i="12"/>
  <c r="L19" i="12"/>
  <c r="H21" i="9"/>
  <c r="H8" i="9"/>
  <c r="H17" i="9" s="1"/>
  <c r="V4" i="15"/>
  <c r="Q4" i="15"/>
  <c r="R4" i="15" s="1"/>
  <c r="U4" i="15" s="1"/>
  <c r="V5" i="15"/>
  <c r="V3" i="15"/>
  <c r="Q3" i="15"/>
  <c r="R3" i="15" s="1"/>
  <c r="Q2" i="15"/>
  <c r="R2" i="15" s="1"/>
  <c r="U2" i="15" s="1"/>
  <c r="V2" i="15"/>
  <c r="U5" i="15"/>
  <c r="T5" i="15"/>
  <c r="W5" i="15" s="1"/>
  <c r="Q6" i="15"/>
  <c r="R6" i="15" s="1"/>
  <c r="V6" i="15"/>
  <c r="M7" i="15"/>
  <c r="N7" i="15"/>
  <c r="P7" i="15" s="1"/>
  <c r="O7" i="15"/>
  <c r="Y7" i="15"/>
  <c r="K9" i="15"/>
  <c r="L8" i="15"/>
  <c r="U3" i="13"/>
  <c r="T3" i="13"/>
  <c r="W3" i="13" s="1"/>
  <c r="AA3" i="13" s="1"/>
  <c r="T2" i="13"/>
  <c r="W2" i="13" s="1"/>
  <c r="T4" i="13"/>
  <c r="O6" i="13"/>
  <c r="N6" i="13"/>
  <c r="P6" i="13" s="1"/>
  <c r="K8" i="13"/>
  <c r="L7" i="13"/>
  <c r="Q5" i="13"/>
  <c r="R5" i="13" s="1"/>
  <c r="V5" i="13"/>
  <c r="L6" i="11"/>
  <c r="L7" i="11" s="1"/>
  <c r="H20" i="12"/>
  <c r="L9" i="12" s="1"/>
  <c r="H12" i="12"/>
  <c r="H6" i="10"/>
  <c r="H7" i="10" s="1"/>
  <c r="H5" i="9"/>
  <c r="H10" i="9" s="1"/>
  <c r="G17" i="8"/>
  <c r="I17" i="8"/>
  <c r="H17" i="8"/>
  <c r="J17" i="8"/>
  <c r="H18" i="8"/>
  <c r="J18" i="8"/>
  <c r="G18" i="8"/>
  <c r="I18" i="8"/>
  <c r="B20" i="8"/>
  <c r="C19" i="8"/>
  <c r="L12" i="14" l="1"/>
  <c r="L11" i="14"/>
  <c r="L14" i="14" s="1"/>
  <c r="L17" i="14" s="1"/>
  <c r="M7" i="13"/>
  <c r="Y7" i="13"/>
  <c r="H12" i="10"/>
  <c r="H11" i="10"/>
  <c r="H14" i="10" s="1"/>
  <c r="H9" i="9"/>
  <c r="T2" i="15"/>
  <c r="W2" i="15" s="1"/>
  <c r="Z2" i="15" s="1"/>
  <c r="AB2" i="15" s="1"/>
  <c r="T4" i="15"/>
  <c r="W4" i="15" s="1"/>
  <c r="U3" i="15"/>
  <c r="T3" i="15"/>
  <c r="W3" i="15" s="1"/>
  <c r="U6" i="15"/>
  <c r="T6" i="15"/>
  <c r="W6" i="15" s="1"/>
  <c r="V7" i="15"/>
  <c r="Q7" i="15"/>
  <c r="R7" i="15" s="1"/>
  <c r="O8" i="15"/>
  <c r="N8" i="15"/>
  <c r="P8" i="15" s="1"/>
  <c r="M8" i="15"/>
  <c r="Y8" i="15"/>
  <c r="AA5" i="15"/>
  <c r="Z5" i="15"/>
  <c r="AB5" i="15" s="1"/>
  <c r="X5" i="15"/>
  <c r="K10" i="15"/>
  <c r="L9" i="15"/>
  <c r="Z2" i="13"/>
  <c r="AB2" i="13" s="1"/>
  <c r="AA2" i="13"/>
  <c r="X3" i="13"/>
  <c r="Z3" i="13"/>
  <c r="AB3" i="13" s="1"/>
  <c r="X2" i="13"/>
  <c r="U5" i="13"/>
  <c r="T5" i="13"/>
  <c r="W4" i="13"/>
  <c r="AA4" i="13" s="1"/>
  <c r="N7" i="13"/>
  <c r="P7" i="13" s="1"/>
  <c r="O7" i="13"/>
  <c r="K9" i="13"/>
  <c r="L8" i="13"/>
  <c r="Q6" i="13"/>
  <c r="R6" i="13" s="1"/>
  <c r="U6" i="13" s="1"/>
  <c r="V6" i="13"/>
  <c r="H21" i="12"/>
  <c r="E19" i="8"/>
  <c r="M19" i="8"/>
  <c r="N19" i="8"/>
  <c r="K19" i="8"/>
  <c r="L19" i="8"/>
  <c r="B21" i="8"/>
  <c r="C20" i="8"/>
  <c r="L15" i="14" l="1"/>
  <c r="M8" i="13"/>
  <c r="Y8" i="13"/>
  <c r="H15" i="9"/>
  <c r="H18" i="9" s="1"/>
  <c r="H13" i="9"/>
  <c r="H15" i="10"/>
  <c r="H17" i="10"/>
  <c r="AA4" i="15"/>
  <c r="Z4" i="15"/>
  <c r="AB4" i="15" s="1"/>
  <c r="X4" i="15"/>
  <c r="X2" i="15"/>
  <c r="AA2" i="15"/>
  <c r="AA3" i="15"/>
  <c r="Z3" i="15"/>
  <c r="AB3" i="15" s="1"/>
  <c r="X3" i="15"/>
  <c r="U7" i="15"/>
  <c r="T7" i="15"/>
  <c r="W7" i="15" s="1"/>
  <c r="Q8" i="15"/>
  <c r="R8" i="15" s="1"/>
  <c r="U8" i="15" s="1"/>
  <c r="V8" i="15"/>
  <c r="O9" i="15"/>
  <c r="N9" i="15"/>
  <c r="P9" i="15" s="1"/>
  <c r="M9" i="15"/>
  <c r="Y9" i="15"/>
  <c r="L10" i="15"/>
  <c r="K11" i="15"/>
  <c r="Z6" i="15"/>
  <c r="AB6" i="15" s="1"/>
  <c r="X6" i="15"/>
  <c r="AA6" i="15"/>
  <c r="X4" i="13"/>
  <c r="Z4" i="13"/>
  <c r="AB4" i="13" s="1"/>
  <c r="W5" i="13"/>
  <c r="AA5" i="13" s="1"/>
  <c r="N8" i="13"/>
  <c r="P8" i="13" s="1"/>
  <c r="O8" i="13"/>
  <c r="K10" i="13"/>
  <c r="L9" i="13"/>
  <c r="Q7" i="13"/>
  <c r="R7" i="13" s="1"/>
  <c r="V7" i="13"/>
  <c r="T6" i="13"/>
  <c r="L5" i="12"/>
  <c r="G19" i="8"/>
  <c r="I19" i="8"/>
  <c r="J19" i="8"/>
  <c r="H19" i="8"/>
  <c r="E20" i="8"/>
  <c r="K20" i="8"/>
  <c r="L20" i="8"/>
  <c r="M20" i="8"/>
  <c r="N20" i="8"/>
  <c r="B22" i="8"/>
  <c r="C21" i="8"/>
  <c r="M9" i="13" l="1"/>
  <c r="Y9" i="13"/>
  <c r="H16" i="9"/>
  <c r="V9" i="15"/>
  <c r="Q9" i="15"/>
  <c r="R9" i="15" s="1"/>
  <c r="T8" i="15"/>
  <c r="W8" i="15" s="1"/>
  <c r="K12" i="15"/>
  <c r="L11" i="15"/>
  <c r="M10" i="15"/>
  <c r="N10" i="15"/>
  <c r="P10" i="15" s="1"/>
  <c r="O10" i="15"/>
  <c r="Y10" i="15"/>
  <c r="AA7" i="15"/>
  <c r="Z7" i="15"/>
  <c r="AB7" i="15" s="1"/>
  <c r="X7" i="15"/>
  <c r="L15" i="11"/>
  <c r="L17" i="11"/>
  <c r="X5" i="13"/>
  <c r="Z5" i="13"/>
  <c r="AB5" i="13" s="1"/>
  <c r="U7" i="13"/>
  <c r="T7" i="13"/>
  <c r="W6" i="13"/>
  <c r="AA6" i="13" s="1"/>
  <c r="Q8" i="13"/>
  <c r="R8" i="13" s="1"/>
  <c r="U8" i="13" s="1"/>
  <c r="V8" i="13"/>
  <c r="O9" i="13"/>
  <c r="N9" i="13"/>
  <c r="P9" i="13" s="1"/>
  <c r="K11" i="13"/>
  <c r="L10" i="13"/>
  <c r="L6" i="12"/>
  <c r="L7" i="12" s="1"/>
  <c r="J20" i="8"/>
  <c r="G20" i="8"/>
  <c r="H20" i="8"/>
  <c r="I20" i="8"/>
  <c r="E21" i="8"/>
  <c r="K21" i="8"/>
  <c r="L21" i="8"/>
  <c r="M21" i="8"/>
  <c r="N21" i="8"/>
  <c r="B23" i="8"/>
  <c r="C22" i="8"/>
  <c r="M10" i="13" l="1"/>
  <c r="Y10" i="13"/>
  <c r="U9" i="15"/>
  <c r="T9" i="15"/>
  <c r="W9" i="15" s="1"/>
  <c r="AA8" i="15"/>
  <c r="Z8" i="15"/>
  <c r="AB8" i="15" s="1"/>
  <c r="X8" i="15"/>
  <c r="K13" i="15"/>
  <c r="L12" i="15"/>
  <c r="O11" i="15"/>
  <c r="N11" i="15"/>
  <c r="P11" i="15" s="1"/>
  <c r="M11" i="15"/>
  <c r="Y11" i="15"/>
  <c r="Q10" i="15"/>
  <c r="R10" i="15" s="1"/>
  <c r="V10" i="15"/>
  <c r="X6" i="13"/>
  <c r="Z6" i="13"/>
  <c r="AB6" i="13" s="1"/>
  <c r="Q9" i="13"/>
  <c r="R9" i="13" s="1"/>
  <c r="U9" i="13" s="1"/>
  <c r="V9" i="13"/>
  <c r="W7" i="13"/>
  <c r="AA7" i="13" s="1"/>
  <c r="T8" i="13"/>
  <c r="K12" i="13"/>
  <c r="L11" i="13"/>
  <c r="N10" i="13"/>
  <c r="P10" i="13" s="1"/>
  <c r="O10" i="13"/>
  <c r="J21" i="8"/>
  <c r="H21" i="8"/>
  <c r="I21" i="8"/>
  <c r="G21" i="8"/>
  <c r="E22" i="8"/>
  <c r="L22" i="8"/>
  <c r="M22" i="8"/>
  <c r="N22" i="8"/>
  <c r="K22" i="8"/>
  <c r="B24" i="8"/>
  <c r="C24" i="8" s="1"/>
  <c r="C23" i="8"/>
  <c r="M11" i="13" l="1"/>
  <c r="Y11" i="13"/>
  <c r="U10" i="15"/>
  <c r="T10" i="15"/>
  <c r="W10" i="15" s="1"/>
  <c r="N12" i="15"/>
  <c r="P12" i="15" s="1"/>
  <c r="M12" i="15"/>
  <c r="O12" i="15"/>
  <c r="Y12" i="15"/>
  <c r="K14" i="15"/>
  <c r="L13" i="15"/>
  <c r="AA9" i="15"/>
  <c r="X9" i="15"/>
  <c r="Z9" i="15"/>
  <c r="AB9" i="15" s="1"/>
  <c r="Q11" i="15"/>
  <c r="R11" i="15" s="1"/>
  <c r="U11" i="15" s="1"/>
  <c r="V11" i="15"/>
  <c r="L17" i="12"/>
  <c r="L15" i="12"/>
  <c r="X7" i="13"/>
  <c r="Z7" i="13"/>
  <c r="AB7" i="13" s="1"/>
  <c r="N11" i="13"/>
  <c r="P11" i="13" s="1"/>
  <c r="O11" i="13"/>
  <c r="K13" i="13"/>
  <c r="L12" i="13"/>
  <c r="Q10" i="13"/>
  <c r="R10" i="13" s="1"/>
  <c r="V10" i="13"/>
  <c r="W8" i="13"/>
  <c r="AA8" i="13" s="1"/>
  <c r="T9" i="13"/>
  <c r="I22" i="8"/>
  <c r="G22" i="8"/>
  <c r="J22" i="8"/>
  <c r="H22" i="8"/>
  <c r="K24" i="8"/>
  <c r="N24" i="8"/>
  <c r="L24" i="8"/>
  <c r="M24" i="8"/>
  <c r="E23" i="8"/>
  <c r="L23" i="8"/>
  <c r="K23" i="8"/>
  <c r="M23" i="8"/>
  <c r="N23" i="8"/>
  <c r="B25" i="8"/>
  <c r="E24" i="8"/>
  <c r="M12" i="13" l="1"/>
  <c r="Y12" i="13"/>
  <c r="O13" i="15"/>
  <c r="M13" i="15"/>
  <c r="N13" i="15"/>
  <c r="P13" i="15" s="1"/>
  <c r="Y13" i="15"/>
  <c r="K15" i="15"/>
  <c r="L14" i="15"/>
  <c r="V12" i="15"/>
  <c r="Q12" i="15"/>
  <c r="R12" i="15" s="1"/>
  <c r="T11" i="15"/>
  <c r="W11" i="15" s="1"/>
  <c r="AA10" i="15"/>
  <c r="Z10" i="15"/>
  <c r="AB10" i="15" s="1"/>
  <c r="X10" i="15"/>
  <c r="X8" i="13"/>
  <c r="Z8" i="13"/>
  <c r="AB8" i="13" s="1"/>
  <c r="U10" i="13"/>
  <c r="T10" i="13"/>
  <c r="Q11" i="13"/>
  <c r="R11" i="13" s="1"/>
  <c r="V11" i="13"/>
  <c r="N12" i="13"/>
  <c r="P12" i="13" s="1"/>
  <c r="O12" i="13"/>
  <c r="W9" i="13"/>
  <c r="AA9" i="13" s="1"/>
  <c r="K14" i="13"/>
  <c r="L13" i="13"/>
  <c r="I23" i="8"/>
  <c r="H23" i="8"/>
  <c r="G23" i="8"/>
  <c r="J23" i="8"/>
  <c r="H24" i="8"/>
  <c r="G24" i="8"/>
  <c r="I24" i="8"/>
  <c r="J24" i="8"/>
  <c r="B26" i="8"/>
  <c r="C25" i="8"/>
  <c r="M13" i="13" l="1"/>
  <c r="Y13" i="13"/>
  <c r="U12" i="15"/>
  <c r="T12" i="15"/>
  <c r="W12" i="15" s="1"/>
  <c r="L15" i="15"/>
  <c r="K16" i="15"/>
  <c r="Q13" i="15"/>
  <c r="R13" i="15" s="1"/>
  <c r="V13" i="15"/>
  <c r="O14" i="15"/>
  <c r="N14" i="15"/>
  <c r="P14" i="15" s="1"/>
  <c r="M14" i="15"/>
  <c r="Y14" i="15"/>
  <c r="Z11" i="15"/>
  <c r="AB11" i="15" s="1"/>
  <c r="X11" i="15"/>
  <c r="AA11" i="15"/>
  <c r="X9" i="13"/>
  <c r="Z9" i="13"/>
  <c r="AB9" i="13" s="1"/>
  <c r="U11" i="13"/>
  <c r="T11" i="13"/>
  <c r="W11" i="13" s="1"/>
  <c r="AA11" i="13" s="1"/>
  <c r="N13" i="13"/>
  <c r="P13" i="13" s="1"/>
  <c r="O13" i="13"/>
  <c r="K15" i="13"/>
  <c r="L14" i="13"/>
  <c r="W10" i="13"/>
  <c r="AA10" i="13" s="1"/>
  <c r="Q12" i="13"/>
  <c r="R12" i="13" s="1"/>
  <c r="U12" i="13" s="1"/>
  <c r="V12" i="13"/>
  <c r="E25" i="8"/>
  <c r="M25" i="8"/>
  <c r="N25" i="8"/>
  <c r="K25" i="8"/>
  <c r="L25" i="8"/>
  <c r="B27" i="8"/>
  <c r="C26" i="8"/>
  <c r="M14" i="13" l="1"/>
  <c r="Y14" i="13"/>
  <c r="U13" i="15"/>
  <c r="T13" i="15"/>
  <c r="W13" i="15" s="1"/>
  <c r="K17" i="15"/>
  <c r="L16" i="15"/>
  <c r="N15" i="15"/>
  <c r="P15" i="15" s="1"/>
  <c r="M15" i="15"/>
  <c r="O15" i="15"/>
  <c r="Y15" i="15"/>
  <c r="AA12" i="15"/>
  <c r="X12" i="15"/>
  <c r="Z12" i="15"/>
  <c r="AB12" i="15" s="1"/>
  <c r="V14" i="15"/>
  <c r="Q14" i="15"/>
  <c r="R14" i="15" s="1"/>
  <c r="X11" i="13"/>
  <c r="Z11" i="13"/>
  <c r="AB11" i="13" s="1"/>
  <c r="X10" i="13"/>
  <c r="Z10" i="13"/>
  <c r="AB10" i="13" s="1"/>
  <c r="K16" i="13"/>
  <c r="L15" i="13"/>
  <c r="Q13" i="13"/>
  <c r="R13" i="13" s="1"/>
  <c r="V13" i="13"/>
  <c r="T12" i="13"/>
  <c r="N14" i="13"/>
  <c r="P14" i="13" s="1"/>
  <c r="O14" i="13"/>
  <c r="H25" i="8"/>
  <c r="G25" i="8"/>
  <c r="I25" i="8"/>
  <c r="J25" i="8"/>
  <c r="E26" i="8"/>
  <c r="L26" i="8"/>
  <c r="M26" i="8"/>
  <c r="N26" i="8"/>
  <c r="K26" i="8"/>
  <c r="B28" i="8"/>
  <c r="C27" i="8"/>
  <c r="M15" i="13" l="1"/>
  <c r="Y15" i="13"/>
  <c r="U14" i="15"/>
  <c r="T14" i="15"/>
  <c r="W14" i="15" s="1"/>
  <c r="Q15" i="15"/>
  <c r="R15" i="15" s="1"/>
  <c r="V15" i="15"/>
  <c r="O16" i="15"/>
  <c r="N16" i="15"/>
  <c r="P16" i="15" s="1"/>
  <c r="M16" i="15"/>
  <c r="Y16" i="15"/>
  <c r="K18" i="15"/>
  <c r="L17" i="15"/>
  <c r="AA13" i="15"/>
  <c r="Z13" i="15"/>
  <c r="AB13" i="15" s="1"/>
  <c r="X13" i="15"/>
  <c r="U13" i="13"/>
  <c r="T13" i="13"/>
  <c r="N15" i="13"/>
  <c r="P15" i="13" s="1"/>
  <c r="O15" i="13"/>
  <c r="K17" i="13"/>
  <c r="L16" i="13"/>
  <c r="Q14" i="13"/>
  <c r="R14" i="13" s="1"/>
  <c r="V14" i="13"/>
  <c r="W12" i="13"/>
  <c r="AA12" i="13" s="1"/>
  <c r="H26" i="8"/>
  <c r="J26" i="8"/>
  <c r="I26" i="8"/>
  <c r="G26" i="8"/>
  <c r="E27" i="8"/>
  <c r="L27" i="8"/>
  <c r="M27" i="8"/>
  <c r="K27" i="8"/>
  <c r="N27" i="8"/>
  <c r="B29" i="8"/>
  <c r="C28" i="8"/>
  <c r="M16" i="13" l="1"/>
  <c r="Y16" i="13"/>
  <c r="U15" i="15"/>
  <c r="T15" i="15"/>
  <c r="W15" i="15" s="1"/>
  <c r="N17" i="15"/>
  <c r="P17" i="15" s="1"/>
  <c r="M17" i="15"/>
  <c r="O17" i="15"/>
  <c r="Y17" i="15"/>
  <c r="Q16" i="15"/>
  <c r="R16" i="15" s="1"/>
  <c r="V16" i="15"/>
  <c r="X14" i="15"/>
  <c r="AA14" i="15"/>
  <c r="Z14" i="15"/>
  <c r="AB14" i="15" s="1"/>
  <c r="K19" i="15"/>
  <c r="L18" i="15"/>
  <c r="X12" i="13"/>
  <c r="Z12" i="13"/>
  <c r="AB12" i="13" s="1"/>
  <c r="U14" i="13"/>
  <c r="T14" i="13"/>
  <c r="Q15" i="13"/>
  <c r="R15" i="13" s="1"/>
  <c r="V15" i="13"/>
  <c r="W13" i="13"/>
  <c r="AA13" i="13" s="1"/>
  <c r="N16" i="13"/>
  <c r="P16" i="13" s="1"/>
  <c r="O16" i="13"/>
  <c r="K18" i="13"/>
  <c r="L17" i="13"/>
  <c r="G27" i="8"/>
  <c r="H27" i="8"/>
  <c r="I27" i="8"/>
  <c r="J27" i="8"/>
  <c r="E28" i="8"/>
  <c r="L28" i="8"/>
  <c r="M28" i="8"/>
  <c r="K28" i="8"/>
  <c r="N28" i="8"/>
  <c r="B30" i="8"/>
  <c r="C29" i="8"/>
  <c r="M17" i="13" l="1"/>
  <c r="Y17" i="13"/>
  <c r="U16" i="15"/>
  <c r="T16" i="15"/>
  <c r="W16" i="15" s="1"/>
  <c r="K20" i="15"/>
  <c r="L19" i="15"/>
  <c r="O18" i="15"/>
  <c r="N18" i="15"/>
  <c r="P18" i="15" s="1"/>
  <c r="M18" i="15"/>
  <c r="Y18" i="15"/>
  <c r="V17" i="15"/>
  <c r="Q17" i="15"/>
  <c r="R17" i="15" s="1"/>
  <c r="AA15" i="15"/>
  <c r="Z15" i="15"/>
  <c r="AB15" i="15" s="1"/>
  <c r="X15" i="15"/>
  <c r="X13" i="13"/>
  <c r="Z13" i="13"/>
  <c r="AB13" i="13" s="1"/>
  <c r="U15" i="13"/>
  <c r="T15" i="13"/>
  <c r="K19" i="13"/>
  <c r="L18" i="13"/>
  <c r="W14" i="13"/>
  <c r="AA14" i="13" s="1"/>
  <c r="Q16" i="13"/>
  <c r="R16" i="13" s="1"/>
  <c r="V16" i="13"/>
  <c r="N17" i="13"/>
  <c r="P17" i="13" s="1"/>
  <c r="O17" i="13"/>
  <c r="G28" i="8"/>
  <c r="J28" i="8"/>
  <c r="H28" i="8"/>
  <c r="I28" i="8"/>
  <c r="E29" i="8"/>
  <c r="K29" i="8"/>
  <c r="L29" i="8"/>
  <c r="M29" i="8"/>
  <c r="N29" i="8"/>
  <c r="B31" i="8"/>
  <c r="C30" i="8"/>
  <c r="M18" i="13" l="1"/>
  <c r="Y18" i="13"/>
  <c r="U17" i="15"/>
  <c r="T17" i="15"/>
  <c r="W17" i="15" s="1"/>
  <c r="N19" i="15"/>
  <c r="P19" i="15" s="1"/>
  <c r="M19" i="15"/>
  <c r="O19" i="15"/>
  <c r="Y19" i="15"/>
  <c r="L20" i="15"/>
  <c r="K21" i="15"/>
  <c r="Q18" i="15"/>
  <c r="R18" i="15" s="1"/>
  <c r="V18" i="15"/>
  <c r="X16" i="15"/>
  <c r="AA16" i="15"/>
  <c r="Z16" i="15"/>
  <c r="AB16" i="15" s="1"/>
  <c r="X14" i="13"/>
  <c r="Z14" i="13"/>
  <c r="AB14" i="13" s="1"/>
  <c r="U16" i="13"/>
  <c r="T16" i="13"/>
  <c r="Q17" i="13"/>
  <c r="R17" i="13" s="1"/>
  <c r="V17" i="13"/>
  <c r="K20" i="13"/>
  <c r="L19" i="13"/>
  <c r="W15" i="13"/>
  <c r="AA15" i="13" s="1"/>
  <c r="N18" i="13"/>
  <c r="P18" i="13" s="1"/>
  <c r="O18" i="13"/>
  <c r="H29" i="8"/>
  <c r="I29" i="8"/>
  <c r="J29" i="8"/>
  <c r="G29" i="8"/>
  <c r="E30" i="8"/>
  <c r="N30" i="8"/>
  <c r="K30" i="8"/>
  <c r="L30" i="8"/>
  <c r="M30" i="8"/>
  <c r="B32" i="8"/>
  <c r="C31" i="8"/>
  <c r="L4" i="7"/>
  <c r="O4" i="7" s="1"/>
  <c r="G4" i="7"/>
  <c r="C19" i="7"/>
  <c r="C18" i="7"/>
  <c r="M19" i="13" l="1"/>
  <c r="Y19" i="13"/>
  <c r="U18" i="15"/>
  <c r="T18" i="15"/>
  <c r="W18" i="15" s="1"/>
  <c r="M20" i="15"/>
  <c r="O20" i="15"/>
  <c r="N20" i="15"/>
  <c r="P20" i="15" s="1"/>
  <c r="Y20" i="15"/>
  <c r="K22" i="15"/>
  <c r="L22" i="15" s="1"/>
  <c r="L21" i="15"/>
  <c r="V19" i="15"/>
  <c r="Q19" i="15"/>
  <c r="R19" i="15" s="1"/>
  <c r="AA17" i="15"/>
  <c r="Z17" i="15"/>
  <c r="AB17" i="15" s="1"/>
  <c r="X17" i="15"/>
  <c r="X15" i="13"/>
  <c r="Z15" i="13"/>
  <c r="AB15" i="13" s="1"/>
  <c r="U17" i="13"/>
  <c r="T17" i="13"/>
  <c r="Q18" i="13"/>
  <c r="R18" i="13" s="1"/>
  <c r="U18" i="13" s="1"/>
  <c r="V18" i="13"/>
  <c r="W16" i="13"/>
  <c r="AA16" i="13" s="1"/>
  <c r="N19" i="13"/>
  <c r="P19" i="13" s="1"/>
  <c r="O19" i="13"/>
  <c r="K21" i="13"/>
  <c r="L20" i="13"/>
  <c r="J30" i="8"/>
  <c r="G30" i="8"/>
  <c r="H30" i="8"/>
  <c r="I30" i="8"/>
  <c r="E31" i="8"/>
  <c r="L31" i="8"/>
  <c r="M31" i="8"/>
  <c r="K31" i="8"/>
  <c r="N31" i="8"/>
  <c r="B33" i="8"/>
  <c r="C32" i="8"/>
  <c r="H4" i="7"/>
  <c r="I4" i="7" s="1"/>
  <c r="J4" i="7" s="1"/>
  <c r="K4" i="7" s="1"/>
  <c r="M4" i="7" s="1"/>
  <c r="H9" i="7" s="1"/>
  <c r="M20" i="13" l="1"/>
  <c r="Y20" i="13"/>
  <c r="U19" i="15"/>
  <c r="T19" i="15"/>
  <c r="W19" i="15" s="1"/>
  <c r="O21" i="15"/>
  <c r="N21" i="15"/>
  <c r="P21" i="15" s="1"/>
  <c r="M21" i="15"/>
  <c r="Y21" i="15"/>
  <c r="Q20" i="15"/>
  <c r="R20" i="15" s="1"/>
  <c r="V20" i="15"/>
  <c r="O22" i="15"/>
  <c r="M22" i="15"/>
  <c r="N22" i="15"/>
  <c r="P22" i="15" s="1"/>
  <c r="Y22" i="15"/>
  <c r="AA18" i="15"/>
  <c r="Z18" i="15"/>
  <c r="AB18" i="15" s="1"/>
  <c r="X18" i="15"/>
  <c r="X16" i="13"/>
  <c r="Z16" i="13"/>
  <c r="AB16" i="13" s="1"/>
  <c r="T18" i="13"/>
  <c r="W18" i="13" s="1"/>
  <c r="AA18" i="13" s="1"/>
  <c r="Q19" i="13"/>
  <c r="R19" i="13" s="1"/>
  <c r="V19" i="13"/>
  <c r="N20" i="13"/>
  <c r="P20" i="13" s="1"/>
  <c r="O20" i="13"/>
  <c r="K22" i="13"/>
  <c r="L22" i="13" s="1"/>
  <c r="L21" i="13"/>
  <c r="W17" i="13"/>
  <c r="AA17" i="13" s="1"/>
  <c r="G31" i="8"/>
  <c r="I31" i="8"/>
  <c r="J31" i="8"/>
  <c r="H31" i="8"/>
  <c r="E32" i="8"/>
  <c r="K32" i="8"/>
  <c r="L32" i="8"/>
  <c r="M32" i="8"/>
  <c r="N32" i="8"/>
  <c r="B34" i="8"/>
  <c r="C33" i="8"/>
  <c r="H8" i="7"/>
  <c r="N4" i="7"/>
  <c r="H7" i="7" s="1"/>
  <c r="H10" i="7" s="1"/>
  <c r="H11" i="7" s="1"/>
  <c r="M21" i="13" l="1"/>
  <c r="Y21" i="13"/>
  <c r="M22" i="13"/>
  <c r="Y22" i="13"/>
  <c r="U20" i="15"/>
  <c r="T20" i="15"/>
  <c r="W20" i="15" s="1"/>
  <c r="V22" i="15"/>
  <c r="Q22" i="15"/>
  <c r="R22" i="15" s="1"/>
  <c r="Q21" i="15"/>
  <c r="R21" i="15" s="1"/>
  <c r="V21" i="15"/>
  <c r="X19" i="15"/>
  <c r="AA19" i="15"/>
  <c r="Z19" i="15"/>
  <c r="AB19" i="15" s="1"/>
  <c r="X18" i="13"/>
  <c r="Z18" i="13"/>
  <c r="AB18" i="13" s="1"/>
  <c r="X17" i="13"/>
  <c r="Z17" i="13"/>
  <c r="AB17" i="13" s="1"/>
  <c r="U19" i="13"/>
  <c r="T19" i="13"/>
  <c r="N22" i="13"/>
  <c r="P22" i="13" s="1"/>
  <c r="O22" i="13"/>
  <c r="O21" i="13"/>
  <c r="N21" i="13"/>
  <c r="P21" i="13" s="1"/>
  <c r="Q20" i="13"/>
  <c r="R20" i="13" s="1"/>
  <c r="V20" i="13"/>
  <c r="H12" i="7"/>
  <c r="H13" i="7"/>
  <c r="J32" i="8"/>
  <c r="H32" i="8"/>
  <c r="G32" i="8"/>
  <c r="I32" i="8"/>
  <c r="E33" i="8"/>
  <c r="M33" i="8"/>
  <c r="N33" i="8"/>
  <c r="K33" i="8"/>
  <c r="L33" i="8"/>
  <c r="B35" i="8"/>
  <c r="C34" i="8"/>
  <c r="U21" i="15" l="1"/>
  <c r="T21" i="15"/>
  <c r="W21" i="15" s="1"/>
  <c r="U22" i="15"/>
  <c r="T22" i="15"/>
  <c r="W22" i="15" s="1"/>
  <c r="AA20" i="15"/>
  <c r="Z20" i="15"/>
  <c r="AB20" i="15" s="1"/>
  <c r="X20" i="15"/>
  <c r="U20" i="13"/>
  <c r="T20" i="13"/>
  <c r="Q21" i="13"/>
  <c r="R21" i="13" s="1"/>
  <c r="U21" i="13" s="1"/>
  <c r="V21" i="13"/>
  <c r="Q22" i="13"/>
  <c r="R22" i="13" s="1"/>
  <c r="V22" i="13"/>
  <c r="W19" i="13"/>
  <c r="AA19" i="13" s="1"/>
  <c r="H33" i="8"/>
  <c r="G33" i="8"/>
  <c r="I33" i="8"/>
  <c r="J33" i="8"/>
  <c r="E34" i="8"/>
  <c r="L34" i="8"/>
  <c r="M34" i="8"/>
  <c r="N34" i="8"/>
  <c r="K34" i="8"/>
  <c r="B36" i="8"/>
  <c r="C35" i="8"/>
  <c r="Z21" i="15" l="1"/>
  <c r="AB21" i="15" s="1"/>
  <c r="X21" i="15"/>
  <c r="AA21" i="15"/>
  <c r="AA22" i="15"/>
  <c r="Z22" i="15"/>
  <c r="AB22" i="15" s="1"/>
  <c r="X22" i="15"/>
  <c r="X19" i="13"/>
  <c r="Z19" i="13"/>
  <c r="AB19" i="13" s="1"/>
  <c r="U22" i="13"/>
  <c r="T22" i="13"/>
  <c r="W22" i="13" s="1"/>
  <c r="AA22" i="13" s="1"/>
  <c r="W20" i="13"/>
  <c r="AA20" i="13" s="1"/>
  <c r="T21" i="13"/>
  <c r="H34" i="8"/>
  <c r="J34" i="8"/>
  <c r="G34" i="8"/>
  <c r="I34" i="8"/>
  <c r="E35" i="8"/>
  <c r="L35" i="8"/>
  <c r="M35" i="8"/>
  <c r="K35" i="8"/>
  <c r="N35" i="8"/>
  <c r="C36" i="8"/>
  <c r="B37" i="8"/>
  <c r="C37" i="8" s="1"/>
  <c r="X20" i="13" l="1"/>
  <c r="Z20" i="13"/>
  <c r="AB20" i="13" s="1"/>
  <c r="X22" i="13"/>
  <c r="Z22" i="13"/>
  <c r="AB22" i="13" s="1"/>
  <c r="W21" i="13"/>
  <c r="AA21" i="13" s="1"/>
  <c r="G35" i="8"/>
  <c r="I35" i="8"/>
  <c r="J35" i="8"/>
  <c r="H35" i="8"/>
  <c r="E37" i="8"/>
  <c r="K37" i="8"/>
  <c r="L37" i="8"/>
  <c r="M37" i="8"/>
  <c r="N37" i="8"/>
  <c r="E36" i="8"/>
  <c r="L36" i="8"/>
  <c r="M36" i="8"/>
  <c r="N36" i="8"/>
  <c r="K36" i="8"/>
  <c r="X21" i="13" l="1"/>
  <c r="Z21" i="13"/>
  <c r="AB21" i="13" s="1"/>
  <c r="I36" i="8"/>
  <c r="J36" i="8"/>
  <c r="G36" i="8"/>
  <c r="H36" i="8"/>
  <c r="H37" i="8"/>
  <c r="I37" i="8"/>
  <c r="G37" i="8"/>
  <c r="J37" i="8"/>
</calcChain>
</file>

<file path=xl/sharedStrings.xml><?xml version="1.0" encoding="utf-8"?>
<sst xmlns="http://schemas.openxmlformats.org/spreadsheetml/2006/main" count="817" uniqueCount="180">
  <si>
    <t>km/h</t>
  </si>
  <si>
    <t>DADOS</t>
  </si>
  <si>
    <t>rho_comb</t>
  </si>
  <si>
    <t>PC_comb</t>
  </si>
  <si>
    <t>rot_min</t>
  </si>
  <si>
    <t>rpm</t>
  </si>
  <si>
    <t>rot_max</t>
  </si>
  <si>
    <t>kW</t>
  </si>
  <si>
    <t>CV</t>
  </si>
  <si>
    <t>DADOS DO MOTOR</t>
  </si>
  <si>
    <t>DADOS DO VEÍCULO</t>
  </si>
  <si>
    <t>rot</t>
  </si>
  <si>
    <t>a</t>
  </si>
  <si>
    <t>b</t>
  </si>
  <si>
    <t>c</t>
  </si>
  <si>
    <t>Pot_max_rot</t>
  </si>
  <si>
    <t>alpha</t>
  </si>
  <si>
    <t>mu_p</t>
  </si>
  <si>
    <t>mu_n</t>
  </si>
  <si>
    <t>rel_pot</t>
  </si>
  <si>
    <t>rel_rot</t>
  </si>
  <si>
    <t>eta</t>
  </si>
  <si>
    <t>rel_pot_real</t>
  </si>
  <si>
    <t>ALPHA</t>
  </si>
  <si>
    <t>ETA</t>
  </si>
  <si>
    <t>Pot_des_kW</t>
  </si>
  <si>
    <t>Pot_pico_kW</t>
  </si>
  <si>
    <t>rot_pot_pico</t>
  </si>
  <si>
    <t>rot_tor_pico</t>
  </si>
  <si>
    <t>eta_pico</t>
  </si>
  <si>
    <t>Pot_pico_CV</t>
  </si>
  <si>
    <t>P_des_CV</t>
  </si>
  <si>
    <t>PC</t>
  </si>
  <si>
    <t>kJ/kg</t>
  </si>
  <si>
    <t>kgCO2/kgcomb</t>
  </si>
  <si>
    <t>POT_comb</t>
  </si>
  <si>
    <t>[CV]</t>
  </si>
  <si>
    <t>POT_mec</t>
  </si>
  <si>
    <t>[kW]</t>
  </si>
  <si>
    <t>kg/litro</t>
  </si>
  <si>
    <t>AutEsp</t>
  </si>
  <si>
    <t>[km/litro]</t>
  </si>
  <si>
    <t>V_ref</t>
  </si>
  <si>
    <t>rot_ref</t>
  </si>
  <si>
    <t>rot_perc</t>
  </si>
  <si>
    <t>[rpm]</t>
  </si>
  <si>
    <t>Pot_max_rot [kW]</t>
  </si>
  <si>
    <t>C</t>
  </si>
  <si>
    <t>K</t>
  </si>
  <si>
    <t>p_asp</t>
  </si>
  <si>
    <t>T_asp</t>
  </si>
  <si>
    <t>kPa</t>
  </si>
  <si>
    <t>T_1</t>
  </si>
  <si>
    <t>V_desl</t>
  </si>
  <si>
    <t>cc</t>
  </si>
  <si>
    <t>m^3</t>
  </si>
  <si>
    <t>R_ar</t>
  </si>
  <si>
    <t>kJ/kg.K</t>
  </si>
  <si>
    <t>cp_ar</t>
  </si>
  <si>
    <t>cv_ar</t>
  </si>
  <si>
    <t>r_v</t>
  </si>
  <si>
    <t>V_1</t>
  </si>
  <si>
    <t>V_2</t>
  </si>
  <si>
    <t>q_h</t>
  </si>
  <si>
    <t>kJ/kg_ar</t>
  </si>
  <si>
    <t>kgCO2/h</t>
  </si>
  <si>
    <t>[litros/h]</t>
  </si>
  <si>
    <t>T_2</t>
  </si>
  <si>
    <t>k</t>
  </si>
  <si>
    <t xml:space="preserve">T_3 </t>
  </si>
  <si>
    <t>T_4</t>
  </si>
  <si>
    <t>v_asp</t>
  </si>
  <si>
    <t>m^3/kg</t>
  </si>
  <si>
    <t>m_dot_ar</t>
  </si>
  <si>
    <t>kg/s</t>
  </si>
  <si>
    <t>AC_comb</t>
  </si>
  <si>
    <t>kg_ar/kg_comb</t>
  </si>
  <si>
    <t>kg_CO2/kg_comb</t>
  </si>
  <si>
    <t>m_dot_comb</t>
  </si>
  <si>
    <t>litros/h</t>
  </si>
  <si>
    <t>kg_CO2/h</t>
  </si>
  <si>
    <t>km/litro</t>
  </si>
  <si>
    <t>Pot_mec</t>
  </si>
  <si>
    <t>Pot_comb</t>
  </si>
  <si>
    <t>T_4s</t>
  </si>
  <si>
    <t>T_2s</t>
  </si>
  <si>
    <t>eta_comp</t>
  </si>
  <si>
    <t>eta_exp</t>
  </si>
  <si>
    <t>x</t>
  </si>
  <si>
    <t>atomos de C</t>
  </si>
  <si>
    <t>y</t>
  </si>
  <si>
    <t>atomos de H</t>
  </si>
  <si>
    <t>z</t>
  </si>
  <si>
    <t>atomos de O</t>
  </si>
  <si>
    <t>cp_comb</t>
  </si>
  <si>
    <t>lambda</t>
  </si>
  <si>
    <t>nu_ar</t>
  </si>
  <si>
    <t>AC_massa</t>
  </si>
  <si>
    <t>M_ar</t>
  </si>
  <si>
    <t>M_comb</t>
  </si>
  <si>
    <t>y_comb</t>
  </si>
  <si>
    <t>m_comb_desl</t>
  </si>
  <si>
    <t>kg</t>
  </si>
  <si>
    <t>m_ar_desl</t>
  </si>
  <si>
    <t>E_cil</t>
  </si>
  <si>
    <t>kJ</t>
  </si>
  <si>
    <t>Vel_ref</t>
  </si>
  <si>
    <t>m_ar_rec</t>
  </si>
  <si>
    <t>m_cil</t>
  </si>
  <si>
    <t>FATORES DE ATENUAÇÃO</t>
  </si>
  <si>
    <t>FluxCal_min</t>
  </si>
  <si>
    <t>FluxCal_max</t>
  </si>
  <si>
    <t>Atrito_min</t>
  </si>
  <si>
    <t>Atrito_max</t>
  </si>
  <si>
    <t>f_fluxcal</t>
  </si>
  <si>
    <t>f_atrito</t>
  </si>
  <si>
    <t>T_3</t>
  </si>
  <si>
    <t>T4</t>
  </si>
  <si>
    <t>W_comp</t>
  </si>
  <si>
    <t>W_exp</t>
  </si>
  <si>
    <t>Q_l</t>
  </si>
  <si>
    <t>Q_h</t>
  </si>
  <si>
    <t>Q_h_util</t>
  </si>
  <si>
    <t>w</t>
  </si>
  <si>
    <t>Pot_mec [CV]</t>
  </si>
  <si>
    <t>Torque [N.m]</t>
  </si>
  <si>
    <t>eta [%]</t>
  </si>
  <si>
    <t>[rad/s]</t>
  </si>
  <si>
    <t>Pot [CV]</t>
  </si>
  <si>
    <t>(alpha=1)</t>
  </si>
  <si>
    <t>P_mec</t>
  </si>
  <si>
    <t>kg/h</t>
  </si>
  <si>
    <t>R$/litro</t>
  </si>
  <si>
    <t>R$/km</t>
  </si>
  <si>
    <t>R$/kWh</t>
  </si>
  <si>
    <t>kgCO2/kWh</t>
  </si>
  <si>
    <t>kcal/kg</t>
  </si>
  <si>
    <t>R$/kg</t>
  </si>
  <si>
    <t>kWh/h</t>
  </si>
  <si>
    <t>km/litro_eq</t>
  </si>
  <si>
    <t>kcal/h</t>
  </si>
  <si>
    <t>SI</t>
  </si>
  <si>
    <t>W</t>
  </si>
  <si>
    <t>m/s</t>
  </si>
  <si>
    <t>R$/m^3</t>
  </si>
  <si>
    <t>kg/m^3</t>
  </si>
  <si>
    <t>R$/J</t>
  </si>
  <si>
    <t>kgCO2/J</t>
  </si>
  <si>
    <t>J/kg</t>
  </si>
  <si>
    <t>V</t>
  </si>
  <si>
    <t>m^3/s</t>
  </si>
  <si>
    <t>kgCO2/s</t>
  </si>
  <si>
    <t>m/m^3</t>
  </si>
  <si>
    <t>R$/m</t>
  </si>
  <si>
    <t>eta_mot</t>
  </si>
  <si>
    <t>kappa_km</t>
  </si>
  <si>
    <t>A_esp</t>
  </si>
  <si>
    <t>m_dot_comb_equiv</t>
  </si>
  <si>
    <t>DELTA_dot</t>
  </si>
  <si>
    <t>kappa_litro</t>
  </si>
  <si>
    <t>kappa_kg</t>
  </si>
  <si>
    <t>P_fonte</t>
  </si>
  <si>
    <t>kgCO2/kg_ref</t>
  </si>
  <si>
    <t>kappa_J</t>
  </si>
  <si>
    <t>eta_motor</t>
  </si>
  <si>
    <t>DELTA_dot_comb_equiv</t>
  </si>
  <si>
    <t>A_esp_comb_equiv</t>
  </si>
  <si>
    <t>01: Dados MCI</t>
  </si>
  <si>
    <t>02: Dados ME</t>
  </si>
  <si>
    <t>03: Dados PH</t>
  </si>
  <si>
    <t>04: Resultados MCI</t>
  </si>
  <si>
    <t>05: Resultados ME</t>
  </si>
  <si>
    <t>06: Resultados PH</t>
  </si>
  <si>
    <t>p_1</t>
  </si>
  <si>
    <t>m_comb</t>
  </si>
  <si>
    <t>psi_kg</t>
  </si>
  <si>
    <t>psi_J</t>
  </si>
  <si>
    <t>PSI_dot</t>
  </si>
  <si>
    <t>psi_comb</t>
  </si>
  <si>
    <t>Visões em Duas Rodas - Fábio Magnani - Volume 1  - Capítulo 1 - Parte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</si>
</sst>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E+0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mbria"/>
      <family val="1"/>
    </font>
    <font>
      <sz val="12"/>
      <color rgb="FF000000"/>
      <name val="Cambria"/>
      <family val="1"/>
      <scheme val="major"/>
    </font>
    <font>
      <sz val="12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2" borderId="0" xfId="0" applyFont="1" applyFill="1" applyBorder="1" applyProtection="1"/>
    <xf numFmtId="0" fontId="1" fillId="2" borderId="0" xfId="0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2" fontId="0" fillId="2" borderId="0" xfId="0" applyNumberFormat="1" applyFont="1" applyFill="1" applyBorder="1" applyAlignment="1" applyProtection="1">
      <alignment horizontal="center"/>
    </xf>
    <xf numFmtId="0" fontId="0" fillId="2" borderId="2" xfId="0" applyFont="1" applyFill="1" applyBorder="1" applyAlignment="1" applyProtection="1">
      <alignment horizontal="center"/>
    </xf>
    <xf numFmtId="2" fontId="0" fillId="2" borderId="7" xfId="0" applyNumberFormat="1" applyFont="1" applyFill="1" applyBorder="1" applyAlignment="1" applyProtection="1">
      <alignment horizontal="center"/>
    </xf>
    <xf numFmtId="9" fontId="0" fillId="2" borderId="15" xfId="0" applyNumberFormat="1" applyFont="1" applyFill="1" applyBorder="1" applyAlignment="1" applyProtection="1">
      <alignment horizontal="center"/>
    </xf>
    <xf numFmtId="2" fontId="0" fillId="2" borderId="17" xfId="0" applyNumberFormat="1" applyFont="1" applyFill="1" applyBorder="1" applyAlignment="1" applyProtection="1">
      <alignment horizontal="center"/>
    </xf>
    <xf numFmtId="2" fontId="0" fillId="2" borderId="18" xfId="0" applyNumberFormat="1" applyFont="1" applyFill="1" applyBorder="1" applyAlignment="1" applyProtection="1">
      <alignment horizontal="center"/>
    </xf>
    <xf numFmtId="2" fontId="0" fillId="2" borderId="24" xfId="0" applyNumberFormat="1" applyFont="1" applyFill="1" applyBorder="1" applyAlignment="1" applyProtection="1">
      <alignment horizontal="center"/>
    </xf>
    <xf numFmtId="2" fontId="0" fillId="2" borderId="26" xfId="0" applyNumberFormat="1" applyFont="1" applyFill="1" applyBorder="1" applyAlignment="1" applyProtection="1">
      <alignment horizontal="center"/>
    </xf>
    <xf numFmtId="1" fontId="0" fillId="2" borderId="25" xfId="0" applyNumberFormat="1" applyFont="1" applyFill="1" applyBorder="1" applyAlignment="1" applyProtection="1">
      <alignment horizontal="center"/>
    </xf>
    <xf numFmtId="2" fontId="0" fillId="2" borderId="25" xfId="0" applyNumberFormat="1" applyFont="1" applyFill="1" applyBorder="1" applyAlignment="1" applyProtection="1">
      <alignment horizontal="center"/>
    </xf>
    <xf numFmtId="1" fontId="0" fillId="2" borderId="27" xfId="0" applyNumberFormat="1" applyFont="1" applyFill="1" applyBorder="1" applyAlignment="1" applyProtection="1">
      <alignment horizontal="center"/>
    </xf>
    <xf numFmtId="2" fontId="0" fillId="2" borderId="27" xfId="0" applyNumberFormat="1" applyFont="1" applyFill="1" applyBorder="1" applyAlignment="1" applyProtection="1">
      <alignment horizontal="center"/>
    </xf>
    <xf numFmtId="0" fontId="0" fillId="2" borderId="0" xfId="0" applyFill="1" applyBorder="1" applyProtection="1"/>
    <xf numFmtId="0" fontId="0" fillId="2" borderId="1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center"/>
    </xf>
    <xf numFmtId="0" fontId="0" fillId="2" borderId="4" xfId="0" applyFill="1" applyBorder="1" applyAlignment="1" applyProtection="1">
      <alignment horizontal="center"/>
    </xf>
    <xf numFmtId="164" fontId="0" fillId="2" borderId="5" xfId="0" applyNumberFormat="1" applyFill="1" applyBorder="1" applyAlignment="1" applyProtection="1">
      <alignment horizontal="center"/>
    </xf>
    <xf numFmtId="2" fontId="0" fillId="2" borderId="0" xfId="0" applyNumberFormat="1" applyFill="1" applyBorder="1" applyAlignment="1" applyProtection="1">
      <alignment horizontal="center"/>
    </xf>
    <xf numFmtId="11" fontId="0" fillId="2" borderId="6" xfId="0" applyNumberFormat="1" applyFont="1" applyFill="1" applyBorder="1" applyAlignment="1" applyProtection="1">
      <alignment horizontal="center"/>
    </xf>
    <xf numFmtId="11" fontId="0" fillId="2" borderId="7" xfId="0" applyNumberFormat="1" applyFont="1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0" fillId="2" borderId="8" xfId="0" applyNumberFormat="1" applyFill="1" applyBorder="1" applyAlignment="1" applyProtection="1">
      <alignment horizontal="center"/>
    </xf>
    <xf numFmtId="0" fontId="0" fillId="2" borderId="5" xfId="0" applyFill="1" applyBorder="1" applyAlignment="1" applyProtection="1">
      <alignment horizontal="center"/>
    </xf>
    <xf numFmtId="0" fontId="0" fillId="2" borderId="6" xfId="0" applyFill="1" applyBorder="1" applyAlignment="1" applyProtection="1">
      <alignment horizontal="center"/>
    </xf>
    <xf numFmtId="0" fontId="0" fillId="2" borderId="8" xfId="0" applyFill="1" applyBorder="1" applyAlignment="1" applyProtection="1">
      <alignment horizontal="center"/>
    </xf>
    <xf numFmtId="164" fontId="0" fillId="2" borderId="3" xfId="0" applyNumberFormat="1" applyFill="1" applyBorder="1" applyAlignment="1" applyProtection="1">
      <alignment horizontal="center"/>
    </xf>
    <xf numFmtId="0" fontId="0" fillId="2" borderId="10" xfId="0" applyFont="1" applyFill="1" applyBorder="1" applyAlignment="1" applyProtection="1">
      <alignment horizontal="center"/>
    </xf>
    <xf numFmtId="164" fontId="0" fillId="2" borderId="3" xfId="0" applyNumberFormat="1" applyFont="1" applyFill="1" applyBorder="1" applyAlignment="1" applyProtection="1">
      <alignment horizontal="center"/>
    </xf>
    <xf numFmtId="2" fontId="0" fillId="2" borderId="9" xfId="0" applyNumberFormat="1" applyFont="1" applyFill="1" applyBorder="1" applyAlignment="1" applyProtection="1">
      <alignment horizontal="center"/>
    </xf>
    <xf numFmtId="2" fontId="0" fillId="2" borderId="8" xfId="0" applyNumberFormat="1" applyFont="1" applyFill="1" applyBorder="1" applyAlignment="1" applyProtection="1">
      <alignment horizontal="center"/>
    </xf>
    <xf numFmtId="164" fontId="0" fillId="2" borderId="0" xfId="0" applyNumberFormat="1" applyFill="1" applyBorder="1" applyAlignment="1" applyProtection="1">
      <alignment horizontal="center"/>
    </xf>
    <xf numFmtId="2" fontId="0" fillId="2" borderId="0" xfId="0" applyNumberFormat="1" applyFill="1" applyBorder="1" applyProtection="1"/>
    <xf numFmtId="1" fontId="0" fillId="3" borderId="5" xfId="0" applyNumberFormat="1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2" borderId="4" xfId="0" applyFont="1" applyFill="1" applyBorder="1" applyAlignment="1" applyProtection="1">
      <alignment horizontal="center"/>
    </xf>
    <xf numFmtId="11" fontId="0" fillId="2" borderId="24" xfId="0" applyNumberFormat="1" applyFont="1" applyFill="1" applyBorder="1" applyAlignment="1" applyProtection="1">
      <alignment horizontal="center"/>
    </xf>
    <xf numFmtId="11" fontId="0" fillId="2" borderId="0" xfId="0" applyNumberFormat="1" applyFont="1" applyFill="1" applyBorder="1" applyAlignment="1" applyProtection="1">
      <alignment horizontal="center"/>
    </xf>
    <xf numFmtId="165" fontId="0" fillId="2" borderId="0" xfId="0" applyNumberFormat="1" applyFill="1" applyBorder="1" applyAlignment="1" applyProtection="1">
      <alignment horizontal="center"/>
    </xf>
    <xf numFmtId="165" fontId="0" fillId="2" borderId="5" xfId="0" applyNumberFormat="1" applyFill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/>
    </xf>
    <xf numFmtId="11" fontId="0" fillId="2" borderId="26" xfId="0" applyNumberFormat="1" applyFont="1" applyFill="1" applyBorder="1" applyAlignment="1" applyProtection="1">
      <alignment horizontal="center"/>
    </xf>
    <xf numFmtId="165" fontId="0" fillId="2" borderId="7" xfId="0" applyNumberFormat="1" applyFill="1" applyBorder="1" applyAlignment="1" applyProtection="1">
      <alignment horizontal="center"/>
    </xf>
    <xf numFmtId="165" fontId="0" fillId="2" borderId="8" xfId="0" applyNumberFormat="1" applyFill="1" applyBorder="1" applyAlignment="1" applyProtection="1">
      <alignment horizontal="center"/>
    </xf>
    <xf numFmtId="0" fontId="0" fillId="3" borderId="17" xfId="0" applyFont="1" applyFill="1" applyBorder="1" applyAlignment="1" applyProtection="1">
      <alignment horizontal="center"/>
      <protection locked="0"/>
    </xf>
    <xf numFmtId="0" fontId="0" fillId="3" borderId="18" xfId="0" applyFont="1" applyFill="1" applyBorder="1" applyAlignment="1" applyProtection="1">
      <alignment horizontal="center"/>
      <protection locked="0"/>
    </xf>
    <xf numFmtId="0" fontId="0" fillId="3" borderId="19" xfId="0" applyFont="1" applyFill="1" applyBorder="1" applyAlignment="1" applyProtection="1">
      <alignment horizontal="center"/>
      <protection locked="0"/>
    </xf>
    <xf numFmtId="2" fontId="0" fillId="2" borderId="19" xfId="0" applyNumberFormat="1" applyFont="1" applyFill="1" applyBorder="1" applyAlignment="1" applyProtection="1">
      <alignment horizontal="center"/>
    </xf>
    <xf numFmtId="0" fontId="0" fillId="2" borderId="14" xfId="0" applyFill="1" applyBorder="1" applyAlignment="1" applyProtection="1">
      <alignment horizontal="center"/>
    </xf>
    <xf numFmtId="0" fontId="0" fillId="2" borderId="15" xfId="0" applyFill="1" applyBorder="1" applyAlignment="1" applyProtection="1">
      <alignment horizontal="center"/>
    </xf>
    <xf numFmtId="0" fontId="0" fillId="2" borderId="1" xfId="0" applyFont="1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2" borderId="16" xfId="0" applyFill="1" applyBorder="1" applyAlignment="1" applyProtection="1">
      <alignment horizontal="center"/>
    </xf>
    <xf numFmtId="2" fontId="0" fillId="2" borderId="3" xfId="0" applyNumberFormat="1" applyFont="1" applyFill="1" applyBorder="1" applyAlignment="1" applyProtection="1">
      <alignment horizontal="center"/>
    </xf>
    <xf numFmtId="2" fontId="0" fillId="2" borderId="5" xfId="0" applyNumberFormat="1" applyFont="1" applyFill="1" applyBorder="1" applyAlignment="1" applyProtection="1">
      <alignment horizontal="center"/>
    </xf>
    <xf numFmtId="2" fontId="0" fillId="2" borderId="5" xfId="0" applyNumberFormat="1" applyFill="1" applyBorder="1" applyAlignment="1" applyProtection="1">
      <alignment horizontal="center"/>
    </xf>
    <xf numFmtId="2" fontId="0" fillId="2" borderId="23" xfId="0" applyNumberFormat="1" applyFill="1" applyBorder="1" applyAlignment="1" applyProtection="1">
      <alignment horizontal="center"/>
    </xf>
    <xf numFmtId="0" fontId="0" fillId="2" borderId="25" xfId="0" applyFill="1" applyBorder="1" applyProtection="1"/>
    <xf numFmtId="0" fontId="0" fillId="2" borderId="25" xfId="0" applyFill="1" applyBorder="1" applyAlignment="1" applyProtection="1">
      <alignment horizontal="center"/>
    </xf>
    <xf numFmtId="0" fontId="0" fillId="2" borderId="27" xfId="0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0" fillId="2" borderId="1" xfId="0" applyFill="1" applyBorder="1" applyProtection="1"/>
    <xf numFmtId="0" fontId="0" fillId="2" borderId="13" xfId="0" applyFill="1" applyBorder="1" applyProtection="1"/>
    <xf numFmtId="0" fontId="0" fillId="2" borderId="3" xfId="0" applyFont="1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left"/>
    </xf>
    <xf numFmtId="164" fontId="0" fillId="2" borderId="2" xfId="0" applyNumberFormat="1" applyFill="1" applyBorder="1" applyAlignment="1" applyProtection="1">
      <alignment horizontal="center"/>
    </xf>
    <xf numFmtId="2" fontId="0" fillId="2" borderId="13" xfId="0" applyNumberFormat="1" applyFill="1" applyBorder="1" applyAlignment="1" applyProtection="1">
      <alignment horizontal="center"/>
    </xf>
    <xf numFmtId="0" fontId="0" fillId="2" borderId="23" xfId="0" applyFont="1" applyFill="1" applyBorder="1" applyAlignment="1" applyProtection="1">
      <alignment horizontal="center"/>
    </xf>
    <xf numFmtId="2" fontId="0" fillId="2" borderId="22" xfId="0" applyNumberFormat="1" applyFont="1" applyFill="1" applyBorder="1" applyAlignment="1" applyProtection="1">
      <alignment horizontal="center"/>
    </xf>
    <xf numFmtId="2" fontId="0" fillId="2" borderId="2" xfId="0" applyNumberFormat="1" applyFont="1" applyFill="1" applyBorder="1" applyAlignment="1" applyProtection="1">
      <alignment horizontal="center"/>
    </xf>
    <xf numFmtId="0" fontId="0" fillId="2" borderId="22" xfId="0" applyFont="1" applyFill="1" applyBorder="1" applyAlignment="1" applyProtection="1">
      <alignment horizontal="center"/>
    </xf>
    <xf numFmtId="0" fontId="0" fillId="2" borderId="2" xfId="0" applyFont="1" applyFill="1" applyBorder="1" applyAlignment="1" applyProtection="1">
      <alignment horizontal="left"/>
    </xf>
    <xf numFmtId="0" fontId="0" fillId="2" borderId="22" xfId="0" applyFill="1" applyBorder="1" applyAlignment="1" applyProtection="1">
      <alignment horizontal="center"/>
    </xf>
    <xf numFmtId="0" fontId="0" fillId="2" borderId="14" xfId="0" applyFont="1" applyFill="1" applyBorder="1" applyAlignment="1" applyProtection="1">
      <alignment horizontal="center"/>
    </xf>
    <xf numFmtId="0" fontId="0" fillId="2" borderId="21" xfId="0" applyFont="1" applyFill="1" applyBorder="1" applyAlignment="1" applyProtection="1">
      <alignment horizontal="center"/>
    </xf>
    <xf numFmtId="9" fontId="0" fillId="2" borderId="20" xfId="0" applyNumberFormat="1" applyFont="1" applyFill="1" applyBorder="1" applyAlignment="1" applyProtection="1">
      <alignment horizontal="center"/>
    </xf>
    <xf numFmtId="9" fontId="0" fillId="2" borderId="21" xfId="0" applyNumberFormat="1" applyFont="1" applyFill="1" applyBorder="1" applyAlignment="1" applyProtection="1">
      <alignment horizontal="center"/>
    </xf>
    <xf numFmtId="0" fontId="0" fillId="2" borderId="28" xfId="0" applyFill="1" applyBorder="1" applyAlignment="1" applyProtection="1">
      <alignment horizontal="center"/>
    </xf>
    <xf numFmtId="0" fontId="0" fillId="2" borderId="29" xfId="0" applyFill="1" applyBorder="1" applyAlignment="1" applyProtection="1">
      <alignment horizontal="center"/>
    </xf>
    <xf numFmtId="0" fontId="0" fillId="2" borderId="11" xfId="0" applyFill="1" applyBorder="1" applyProtection="1"/>
    <xf numFmtId="0" fontId="0" fillId="2" borderId="12" xfId="0" applyFill="1" applyBorder="1" applyProtection="1"/>
    <xf numFmtId="0" fontId="0" fillId="2" borderId="30" xfId="0" applyFill="1" applyBorder="1" applyAlignment="1" applyProtection="1">
      <alignment horizontal="center"/>
    </xf>
    <xf numFmtId="0" fontId="0" fillId="2" borderId="19" xfId="0" applyFill="1" applyBorder="1" applyAlignment="1" applyProtection="1">
      <alignment horizontal="center"/>
    </xf>
    <xf numFmtId="164" fontId="0" fillId="2" borderId="25" xfId="0" applyNumberFormat="1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164" fontId="0" fillId="2" borderId="23" xfId="0" applyNumberFormat="1" applyFill="1" applyBorder="1" applyAlignment="1" applyProtection="1">
      <alignment horizontal="center"/>
    </xf>
    <xf numFmtId="0" fontId="0" fillId="2" borderId="27" xfId="0" applyFill="1" applyBorder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165" fontId="0" fillId="2" borderId="3" xfId="0" applyNumberFormat="1" applyFill="1" applyBorder="1" applyAlignment="1" applyProtection="1">
      <alignment horizontal="center"/>
    </xf>
    <xf numFmtId="164" fontId="0" fillId="2" borderId="0" xfId="0" applyNumberFormat="1" applyFill="1" applyProtection="1"/>
    <xf numFmtId="11" fontId="0" fillId="2" borderId="5" xfId="0" applyNumberFormat="1" applyFill="1" applyBorder="1" applyAlignment="1" applyProtection="1">
      <alignment horizontal="center"/>
    </xf>
    <xf numFmtId="2" fontId="0" fillId="2" borderId="8" xfId="0" applyNumberFormat="1" applyFill="1" applyBorder="1" applyAlignment="1" applyProtection="1">
      <alignment horizontal="center"/>
    </xf>
    <xf numFmtId="1" fontId="0" fillId="2" borderId="8" xfId="0" applyNumberFormat="1" applyFill="1" applyBorder="1" applyAlignment="1" applyProtection="1">
      <alignment horizontal="center"/>
    </xf>
    <xf numFmtId="2" fontId="0" fillId="3" borderId="5" xfId="0" applyNumberFormat="1" applyFill="1" applyBorder="1" applyAlignment="1" applyProtection="1">
      <alignment horizontal="center"/>
      <protection locked="0"/>
    </xf>
    <xf numFmtId="166" fontId="0" fillId="2" borderId="5" xfId="0" applyNumberFormat="1" applyFill="1" applyBorder="1" applyAlignment="1" applyProtection="1">
      <alignment horizontal="center"/>
    </xf>
    <xf numFmtId="2" fontId="0" fillId="2" borderId="3" xfId="0" applyNumberFormat="1" applyFill="1" applyBorder="1" applyAlignment="1" applyProtection="1">
      <alignment horizontal="center"/>
    </xf>
    <xf numFmtId="2" fontId="0" fillId="2" borderId="5" xfId="0" applyNumberFormat="1" applyFill="1" applyBorder="1" applyAlignment="1" applyProtection="1">
      <alignment horizontal="center"/>
      <protection locked="0"/>
    </xf>
    <xf numFmtId="0" fontId="0" fillId="2" borderId="11" xfId="0" applyFill="1" applyBorder="1" applyAlignment="1" applyProtection="1">
      <alignment horizontal="center"/>
    </xf>
    <xf numFmtId="0" fontId="0" fillId="2" borderId="33" xfId="0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0" fontId="0" fillId="2" borderId="4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1" fontId="0" fillId="3" borderId="34" xfId="0" applyNumberFormat="1" applyFill="1" applyBorder="1" applyAlignment="1" applyProtection="1">
      <alignment horizontal="center"/>
      <protection locked="0"/>
    </xf>
    <xf numFmtId="1" fontId="0" fillId="3" borderId="35" xfId="0" applyNumberFormat="1" applyFill="1" applyBorder="1" applyAlignment="1" applyProtection="1">
      <alignment horizontal="center"/>
      <protection locked="0"/>
    </xf>
    <xf numFmtId="2" fontId="0" fillId="3" borderId="35" xfId="0" applyNumberFormat="1" applyFill="1" applyBorder="1" applyAlignment="1" applyProtection="1">
      <alignment horizontal="center"/>
    </xf>
    <xf numFmtId="2" fontId="0" fillId="3" borderId="36" xfId="0" applyNumberFormat="1" applyFill="1" applyBorder="1" applyAlignment="1" applyProtection="1">
      <alignment horizontal="center"/>
    </xf>
    <xf numFmtId="0" fontId="0" fillId="2" borderId="23" xfId="0" applyFill="1" applyBorder="1" applyProtection="1"/>
    <xf numFmtId="2" fontId="0" fillId="2" borderId="3" xfId="0" applyNumberFormat="1" applyFill="1" applyBorder="1" applyProtection="1"/>
    <xf numFmtId="2" fontId="0" fillId="2" borderId="8" xfId="0" applyNumberFormat="1" applyFill="1" applyBorder="1" applyProtection="1"/>
    <xf numFmtId="165" fontId="0" fillId="2" borderId="0" xfId="0" applyNumberFormat="1" applyFill="1" applyProtection="1"/>
    <xf numFmtId="2" fontId="0" fillId="2" borderId="0" xfId="0" applyNumberFormat="1" applyFill="1" applyProtection="1"/>
    <xf numFmtId="1" fontId="0" fillId="2" borderId="0" xfId="0" applyNumberFormat="1" applyFill="1" applyProtection="1"/>
    <xf numFmtId="11" fontId="0" fillId="2" borderId="0" xfId="0" applyNumberFormat="1" applyFill="1" applyProtection="1"/>
    <xf numFmtId="1" fontId="0" fillId="2" borderId="0" xfId="0" applyNumberFormat="1" applyFill="1" applyBorder="1" applyAlignment="1" applyProtection="1">
      <alignment horizontal="center"/>
    </xf>
    <xf numFmtId="1" fontId="0" fillId="2" borderId="5" xfId="0" applyNumberFormat="1" applyFill="1" applyBorder="1" applyAlignment="1" applyProtection="1">
      <alignment horizontal="center"/>
    </xf>
    <xf numFmtId="2" fontId="0" fillId="4" borderId="5" xfId="0" applyNumberFormat="1" applyFill="1" applyBorder="1" applyAlignment="1" applyProtection="1">
      <alignment horizontal="center"/>
    </xf>
    <xf numFmtId="2" fontId="0" fillId="4" borderId="8" xfId="0" applyNumberFormat="1" applyFill="1" applyBorder="1" applyAlignment="1" applyProtection="1">
      <alignment horizontal="center"/>
    </xf>
    <xf numFmtId="1" fontId="0" fillId="2" borderId="7" xfId="0" applyNumberFormat="1" applyFill="1" applyBorder="1" applyAlignment="1" applyProtection="1">
      <alignment horizontal="center"/>
    </xf>
    <xf numFmtId="0" fontId="0" fillId="2" borderId="37" xfId="0" applyFill="1" applyBorder="1" applyAlignment="1" applyProtection="1">
      <alignment horizontal="center"/>
    </xf>
    <xf numFmtId="165" fontId="0" fillId="2" borderId="25" xfId="0" applyNumberFormat="1" applyFill="1" applyBorder="1" applyAlignment="1" applyProtection="1">
      <alignment horizontal="center"/>
    </xf>
    <xf numFmtId="165" fontId="0" fillId="2" borderId="27" xfId="0" applyNumberForma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165" fontId="0" fillId="2" borderId="5" xfId="0" applyNumberFormat="1" applyFill="1" applyBorder="1" applyAlignment="1" applyProtection="1">
      <alignment horizontal="center"/>
      <protection locked="0"/>
    </xf>
    <xf numFmtId="11" fontId="0" fillId="2" borderId="0" xfId="0" applyNumberFormat="1" applyFill="1" applyBorder="1" applyAlignment="1" applyProtection="1">
      <alignment horizontal="center"/>
    </xf>
    <xf numFmtId="0" fontId="0" fillId="2" borderId="32" xfId="0" applyFill="1" applyBorder="1" applyProtection="1"/>
    <xf numFmtId="166" fontId="0" fillId="2" borderId="8" xfId="0" applyNumberFormat="1" applyFill="1" applyBorder="1" applyAlignment="1" applyProtection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2" borderId="4" xfId="0" applyFont="1" applyFill="1" applyBorder="1" applyAlignment="1" applyProtection="1">
      <alignment horizontal="center"/>
    </xf>
    <xf numFmtId="0" fontId="4" fillId="2" borderId="6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</xf>
    <xf numFmtId="0" fontId="5" fillId="2" borderId="2" xfId="0" applyFont="1" applyFill="1" applyBorder="1" applyProtection="1"/>
    <xf numFmtId="0" fontId="5" fillId="2" borderId="3" xfId="0" applyFont="1" applyFill="1" applyBorder="1" applyProtection="1"/>
    <xf numFmtId="0" fontId="5" fillId="2" borderId="3" xfId="0" applyFont="1" applyFill="1" applyBorder="1" applyAlignment="1" applyProtection="1">
      <alignment horizontal="center"/>
    </xf>
    <xf numFmtId="0" fontId="5" fillId="2" borderId="0" xfId="0" applyFont="1" applyFill="1" applyProtection="1"/>
    <xf numFmtId="0" fontId="5" fillId="2" borderId="38" xfId="0" applyFont="1" applyFill="1" applyBorder="1" applyProtection="1"/>
    <xf numFmtId="0" fontId="5" fillId="2" borderId="32" xfId="0" applyFont="1" applyFill="1" applyBorder="1" applyProtection="1"/>
    <xf numFmtId="0" fontId="5" fillId="2" borderId="23" xfId="0" applyFont="1" applyFill="1" applyBorder="1" applyAlignment="1" applyProtection="1">
      <alignment horizontal="center"/>
    </xf>
    <xf numFmtId="0" fontId="5" fillId="2" borderId="25" xfId="0" applyFont="1" applyFill="1" applyBorder="1" applyAlignment="1" applyProtection="1">
      <alignment horizontal="center"/>
    </xf>
    <xf numFmtId="0" fontId="5" fillId="2" borderId="5" xfId="0" applyFont="1" applyFill="1" applyBorder="1" applyAlignment="1" applyProtection="1">
      <alignment horizontal="center"/>
    </xf>
    <xf numFmtId="164" fontId="5" fillId="2" borderId="5" xfId="0" applyNumberFormat="1" applyFont="1" applyFill="1" applyBorder="1" applyAlignment="1" applyProtection="1">
      <alignment horizontal="center"/>
    </xf>
    <xf numFmtId="0" fontId="5" fillId="2" borderId="27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5" fillId="2" borderId="8" xfId="0" applyFont="1" applyFill="1" applyBorder="1" applyAlignment="1" applyProtection="1">
      <alignment horizontal="center"/>
    </xf>
    <xf numFmtId="0" fontId="5" fillId="2" borderId="0" xfId="0" applyFont="1" applyFill="1" applyAlignment="1" applyProtection="1">
      <alignment horizontal="center"/>
    </xf>
    <xf numFmtId="0" fontId="5" fillId="2" borderId="31" xfId="0" applyFont="1" applyFill="1" applyBorder="1" applyAlignment="1" applyProtection="1">
      <alignment horizontal="center"/>
    </xf>
    <xf numFmtId="0" fontId="5" fillId="2" borderId="32" xfId="0" applyFont="1" applyFill="1" applyBorder="1" applyAlignment="1" applyProtection="1">
      <alignment horizontal="center"/>
    </xf>
    <xf numFmtId="164" fontId="5" fillId="2" borderId="8" xfId="0" applyNumberFormat="1" applyFont="1" applyFill="1" applyBorder="1" applyAlignment="1" applyProtection="1">
      <alignment horizontal="center"/>
    </xf>
    <xf numFmtId="0" fontId="5" fillId="3" borderId="3" xfId="0" applyFont="1" applyFill="1" applyBorder="1" applyAlignment="1" applyProtection="1">
      <alignment horizontal="center"/>
      <protection locked="0"/>
    </xf>
    <xf numFmtId="166" fontId="5" fillId="2" borderId="5" xfId="0" applyNumberFormat="1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</xf>
    <xf numFmtId="165" fontId="5" fillId="2" borderId="0" xfId="0" applyNumberFormat="1" applyFont="1" applyFill="1" applyBorder="1" applyAlignment="1" applyProtection="1">
      <alignment horizontal="center"/>
    </xf>
    <xf numFmtId="165" fontId="5" fillId="2" borderId="4" xfId="0" applyNumberFormat="1" applyFont="1" applyFill="1" applyBorder="1" applyAlignment="1" applyProtection="1">
      <alignment horizontal="center"/>
    </xf>
    <xf numFmtId="0" fontId="5" fillId="3" borderId="5" xfId="0" applyFont="1" applyFill="1" applyBorder="1" applyAlignment="1" applyProtection="1">
      <alignment horizontal="center"/>
      <protection locked="0"/>
    </xf>
    <xf numFmtId="0" fontId="5" fillId="3" borderId="8" xfId="0" applyFont="1" applyFill="1" applyBorder="1" applyAlignment="1" applyProtection="1">
      <alignment horizontal="center"/>
      <protection locked="0"/>
    </xf>
    <xf numFmtId="166" fontId="5" fillId="2" borderId="8" xfId="0" applyNumberFormat="1" applyFont="1" applyFill="1" applyBorder="1" applyAlignment="1" applyProtection="1">
      <alignment horizontal="center"/>
    </xf>
    <xf numFmtId="0" fontId="5" fillId="2" borderId="31" xfId="0" applyFont="1" applyFill="1" applyBorder="1" applyAlignment="1" applyProtection="1">
      <alignment horizontal="left"/>
    </xf>
    <xf numFmtId="0" fontId="5" fillId="2" borderId="38" xfId="0" applyFont="1" applyFill="1" applyBorder="1" applyAlignment="1" applyProtection="1">
      <alignment horizontal="center"/>
    </xf>
    <xf numFmtId="2" fontId="5" fillId="3" borderId="8" xfId="0" applyNumberFormat="1" applyFont="1" applyFill="1" applyBorder="1" applyAlignment="1" applyProtection="1">
      <alignment horizontal="center"/>
      <protection locked="0"/>
    </xf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" fontId="5" fillId="2" borderId="5" xfId="0" applyNumberFormat="1" applyFont="1" applyFill="1" applyBorder="1" applyAlignment="1" applyProtection="1">
      <alignment horizontal="center"/>
    </xf>
    <xf numFmtId="0" fontId="0" fillId="2" borderId="1" xfId="0" applyFill="1" applyBorder="1" applyAlignment="1">
      <alignment horizontal="center"/>
    </xf>
    <xf numFmtId="2" fontId="5" fillId="2" borderId="3" xfId="0" applyNumberFormat="1" applyFont="1" applyFill="1" applyBorder="1" applyAlignment="1" applyProtection="1">
      <alignment horizontal="center"/>
    </xf>
    <xf numFmtId="2" fontId="5" fillId="2" borderId="8" xfId="0" applyNumberFormat="1" applyFont="1" applyFill="1" applyBorder="1" applyAlignment="1" applyProtection="1">
      <alignment horizontal="center"/>
    </xf>
    <xf numFmtId="165" fontId="5" fillId="2" borderId="5" xfId="0" applyNumberFormat="1" applyFont="1" applyFill="1" applyBorder="1" applyAlignment="1" applyProtection="1">
      <alignment horizontal="center"/>
    </xf>
    <xf numFmtId="165" fontId="5" fillId="2" borderId="8" xfId="0" applyNumberFormat="1" applyFont="1" applyFill="1" applyBorder="1" applyAlignment="1" applyProtection="1">
      <alignment horizontal="center"/>
    </xf>
    <xf numFmtId="1" fontId="5" fillId="2" borderId="5" xfId="0" applyNumberFormat="1" applyFont="1" applyFill="1" applyBorder="1" applyAlignment="1" applyProtection="1">
      <alignment horizontal="center"/>
    </xf>
    <xf numFmtId="2" fontId="0" fillId="3" borderId="35" xfId="0" applyNumberFormat="1" applyFill="1" applyBorder="1" applyAlignment="1" applyProtection="1">
      <alignment horizontal="center"/>
      <protection locked="0"/>
    </xf>
    <xf numFmtId="2" fontId="0" fillId="3" borderId="36" xfId="0" applyNumberForma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5372593973131"/>
          <c:y val="9.0215678639506303E-2"/>
          <c:w val="0.59594678723887085"/>
          <c:h val="0.74037689451660027"/>
        </c:manualLayout>
      </c:layout>
      <c:scatterChart>
        <c:scatterStyle val="lineMarker"/>
        <c:varyColors val="0"/>
        <c:ser>
          <c:idx val="1"/>
          <c:order val="0"/>
          <c:tx>
            <c:strRef>
              <c:f>'Ab07'!$AB$1</c:f>
              <c:strCache>
                <c:ptCount val="1"/>
                <c:pt idx="0">
                  <c:v>eta [%]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'Ab07'!$L$2:$L$22</c:f>
              <c:numCache>
                <c:formatCode>General</c:formatCode>
                <c:ptCount val="21"/>
                <c:pt idx="0">
                  <c:v>1400</c:v>
                </c:pt>
                <c:pt idx="1">
                  <c:v>1787.5</c:v>
                </c:pt>
                <c:pt idx="2">
                  <c:v>2175</c:v>
                </c:pt>
                <c:pt idx="3">
                  <c:v>2562.5</c:v>
                </c:pt>
                <c:pt idx="4">
                  <c:v>2950</c:v>
                </c:pt>
                <c:pt idx="5">
                  <c:v>3337.5</c:v>
                </c:pt>
                <c:pt idx="6">
                  <c:v>3725</c:v>
                </c:pt>
                <c:pt idx="7">
                  <c:v>4112.5</c:v>
                </c:pt>
                <c:pt idx="8">
                  <c:v>4500</c:v>
                </c:pt>
                <c:pt idx="9">
                  <c:v>4887.5</c:v>
                </c:pt>
                <c:pt idx="10">
                  <c:v>5275</c:v>
                </c:pt>
                <c:pt idx="11">
                  <c:v>5662.4999999999991</c:v>
                </c:pt>
                <c:pt idx="12">
                  <c:v>6050</c:v>
                </c:pt>
                <c:pt idx="13">
                  <c:v>6437.5</c:v>
                </c:pt>
                <c:pt idx="14">
                  <c:v>6825.0000000000009</c:v>
                </c:pt>
                <c:pt idx="15">
                  <c:v>7212.5000000000009</c:v>
                </c:pt>
                <c:pt idx="16">
                  <c:v>7600.0000000000009</c:v>
                </c:pt>
                <c:pt idx="17">
                  <c:v>7987.5000000000018</c:v>
                </c:pt>
                <c:pt idx="18">
                  <c:v>8375.0000000000018</c:v>
                </c:pt>
                <c:pt idx="19">
                  <c:v>8762.5000000000018</c:v>
                </c:pt>
                <c:pt idx="20">
                  <c:v>9150.0000000000018</c:v>
                </c:pt>
              </c:numCache>
            </c:numRef>
          </c:xVal>
          <c:yVal>
            <c:numRef>
              <c:f>'Ab07'!$AB$2:$AB$22</c:f>
              <c:numCache>
                <c:formatCode>0.0</c:formatCode>
                <c:ptCount val="21"/>
                <c:pt idx="0">
                  <c:v>17.223506195738874</c:v>
                </c:pt>
                <c:pt idx="1">
                  <c:v>17.309260217137034</c:v>
                </c:pt>
                <c:pt idx="2">
                  <c:v>17.386684129123957</c:v>
                </c:pt>
                <c:pt idx="3">
                  <c:v>17.455777931699661</c:v>
                </c:pt>
                <c:pt idx="4">
                  <c:v>17.51654162486415</c:v>
                </c:pt>
                <c:pt idx="5">
                  <c:v>17.568975208617392</c:v>
                </c:pt>
                <c:pt idx="6">
                  <c:v>17.613078682959411</c:v>
                </c:pt>
                <c:pt idx="7">
                  <c:v>17.648852047890216</c:v>
                </c:pt>
                <c:pt idx="8">
                  <c:v>17.676295303409766</c:v>
                </c:pt>
                <c:pt idx="9">
                  <c:v>17.695408449518112</c:v>
                </c:pt>
                <c:pt idx="10">
                  <c:v>17.706191486215232</c:v>
                </c:pt>
                <c:pt idx="11">
                  <c:v>17.708644413501112</c:v>
                </c:pt>
                <c:pt idx="12">
                  <c:v>17.702767231375766</c:v>
                </c:pt>
                <c:pt idx="13">
                  <c:v>17.688559939839184</c:v>
                </c:pt>
                <c:pt idx="14">
                  <c:v>17.666022538891387</c:v>
                </c:pt>
                <c:pt idx="15">
                  <c:v>17.635155028532356</c:v>
                </c:pt>
                <c:pt idx="16">
                  <c:v>17.5959574087621</c:v>
                </c:pt>
                <c:pt idx="17">
                  <c:v>17.548429679580615</c:v>
                </c:pt>
                <c:pt idx="18">
                  <c:v>17.492571840987914</c:v>
                </c:pt>
                <c:pt idx="19">
                  <c:v>17.428383892983977</c:v>
                </c:pt>
                <c:pt idx="20">
                  <c:v>17.355865835568807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'Ab07'!$AA$1</c:f>
              <c:strCache>
                <c:ptCount val="1"/>
                <c:pt idx="0">
                  <c:v>Torque [N.m]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'Ab07'!$L$2:$L$22</c:f>
              <c:numCache>
                <c:formatCode>General</c:formatCode>
                <c:ptCount val="21"/>
                <c:pt idx="0">
                  <c:v>1400</c:v>
                </c:pt>
                <c:pt idx="1">
                  <c:v>1787.5</c:v>
                </c:pt>
                <c:pt idx="2">
                  <c:v>2175</c:v>
                </c:pt>
                <c:pt idx="3">
                  <c:v>2562.5</c:v>
                </c:pt>
                <c:pt idx="4">
                  <c:v>2950</c:v>
                </c:pt>
                <c:pt idx="5">
                  <c:v>3337.5</c:v>
                </c:pt>
                <c:pt idx="6">
                  <c:v>3725</c:v>
                </c:pt>
                <c:pt idx="7">
                  <c:v>4112.5</c:v>
                </c:pt>
                <c:pt idx="8">
                  <c:v>4500</c:v>
                </c:pt>
                <c:pt idx="9">
                  <c:v>4887.5</c:v>
                </c:pt>
                <c:pt idx="10">
                  <c:v>5275</c:v>
                </c:pt>
                <c:pt idx="11">
                  <c:v>5662.4999999999991</c:v>
                </c:pt>
                <c:pt idx="12">
                  <c:v>6050</c:v>
                </c:pt>
                <c:pt idx="13">
                  <c:v>6437.5</c:v>
                </c:pt>
                <c:pt idx="14">
                  <c:v>6825.0000000000009</c:v>
                </c:pt>
                <c:pt idx="15">
                  <c:v>7212.5000000000009</c:v>
                </c:pt>
                <c:pt idx="16">
                  <c:v>7600.0000000000009</c:v>
                </c:pt>
                <c:pt idx="17">
                  <c:v>7987.5000000000018</c:v>
                </c:pt>
                <c:pt idx="18">
                  <c:v>8375.0000000000018</c:v>
                </c:pt>
                <c:pt idx="19">
                  <c:v>8762.5000000000018</c:v>
                </c:pt>
                <c:pt idx="20">
                  <c:v>9150.0000000000018</c:v>
                </c:pt>
              </c:numCache>
            </c:numRef>
          </c:xVal>
          <c:yVal>
            <c:numRef>
              <c:f>'Ab07'!$AA$2:$AA$22</c:f>
              <c:numCache>
                <c:formatCode>0.00</c:formatCode>
                <c:ptCount val="21"/>
                <c:pt idx="0">
                  <c:v>6.7204398808119361</c:v>
                </c:pt>
                <c:pt idx="1">
                  <c:v>6.7539002424128016</c:v>
                </c:pt>
                <c:pt idx="2">
                  <c:v>6.7841102786233254</c:v>
                </c:pt>
                <c:pt idx="3">
                  <c:v>6.8110699894435038</c:v>
                </c:pt>
                <c:pt idx="4">
                  <c:v>6.8347793748733485</c:v>
                </c:pt>
                <c:pt idx="5">
                  <c:v>6.8552384349128381</c:v>
                </c:pt>
                <c:pt idx="6">
                  <c:v>6.8724471695619878</c:v>
                </c:pt>
                <c:pt idx="7">
                  <c:v>6.8864055788208001</c:v>
                </c:pt>
                <c:pt idx="8">
                  <c:v>6.8971136626892617</c:v>
                </c:pt>
                <c:pt idx="9">
                  <c:v>6.9045714211673861</c:v>
                </c:pt>
                <c:pt idx="10">
                  <c:v>6.9087788542551678</c:v>
                </c:pt>
                <c:pt idx="11">
                  <c:v>6.9097359619526033</c:v>
                </c:pt>
                <c:pt idx="12">
                  <c:v>6.9074427442596962</c:v>
                </c:pt>
                <c:pt idx="13">
                  <c:v>6.9018992011764411</c:v>
                </c:pt>
                <c:pt idx="14">
                  <c:v>6.8931053327028513</c:v>
                </c:pt>
                <c:pt idx="15">
                  <c:v>6.8810611388389145</c:v>
                </c:pt>
                <c:pt idx="16">
                  <c:v>6.8657666195846332</c:v>
                </c:pt>
                <c:pt idx="17">
                  <c:v>6.8472217749400111</c:v>
                </c:pt>
                <c:pt idx="18">
                  <c:v>6.8254266049050498</c:v>
                </c:pt>
                <c:pt idx="19">
                  <c:v>6.8003811094797406</c:v>
                </c:pt>
                <c:pt idx="20">
                  <c:v>6.7720852886640879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'Ab07'!$X$1</c:f>
              <c:strCache>
                <c:ptCount val="1"/>
                <c:pt idx="0">
                  <c:v>Pot_mec [CV]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'Ab07'!$L$2:$L$22</c:f>
              <c:numCache>
                <c:formatCode>General</c:formatCode>
                <c:ptCount val="21"/>
                <c:pt idx="0">
                  <c:v>1400</c:v>
                </c:pt>
                <c:pt idx="1">
                  <c:v>1787.5</c:v>
                </c:pt>
                <c:pt idx="2">
                  <c:v>2175</c:v>
                </c:pt>
                <c:pt idx="3">
                  <c:v>2562.5</c:v>
                </c:pt>
                <c:pt idx="4">
                  <c:v>2950</c:v>
                </c:pt>
                <c:pt idx="5">
                  <c:v>3337.5</c:v>
                </c:pt>
                <c:pt idx="6">
                  <c:v>3725</c:v>
                </c:pt>
                <c:pt idx="7">
                  <c:v>4112.5</c:v>
                </c:pt>
                <c:pt idx="8">
                  <c:v>4500</c:v>
                </c:pt>
                <c:pt idx="9">
                  <c:v>4887.5</c:v>
                </c:pt>
                <c:pt idx="10">
                  <c:v>5275</c:v>
                </c:pt>
                <c:pt idx="11">
                  <c:v>5662.4999999999991</c:v>
                </c:pt>
                <c:pt idx="12">
                  <c:v>6050</c:v>
                </c:pt>
                <c:pt idx="13">
                  <c:v>6437.5</c:v>
                </c:pt>
                <c:pt idx="14">
                  <c:v>6825.0000000000009</c:v>
                </c:pt>
                <c:pt idx="15">
                  <c:v>7212.5000000000009</c:v>
                </c:pt>
                <c:pt idx="16">
                  <c:v>7600.0000000000009</c:v>
                </c:pt>
                <c:pt idx="17">
                  <c:v>7987.5000000000018</c:v>
                </c:pt>
                <c:pt idx="18">
                  <c:v>8375.0000000000018</c:v>
                </c:pt>
                <c:pt idx="19">
                  <c:v>8762.5000000000018</c:v>
                </c:pt>
                <c:pt idx="20">
                  <c:v>9150.0000000000018</c:v>
                </c:pt>
              </c:numCache>
            </c:numRef>
          </c:xVal>
          <c:yVal>
            <c:numRef>
              <c:f>'Ab07'!$X$2:$X$22</c:f>
              <c:numCache>
                <c:formatCode>0.00</c:formatCode>
                <c:ptCount val="21"/>
                <c:pt idx="0">
                  <c:v>1.3405003280025227</c:v>
                </c:pt>
                <c:pt idx="1">
                  <c:v>1.7200532045134826</c:v>
                </c:pt>
                <c:pt idx="2">
                  <c:v>2.1022935060366783</c:v>
                </c:pt>
                <c:pt idx="3">
                  <c:v>2.4866828871919155</c:v>
                </c:pt>
                <c:pt idx="4">
                  <c:v>2.8726830025990013</c:v>
                </c:pt>
                <c:pt idx="5">
                  <c:v>3.2597555068777342</c:v>
                </c:pt>
                <c:pt idx="6">
                  <c:v>3.6473620546479251</c:v>
                </c:pt>
                <c:pt idx="7">
                  <c:v>4.0349643005293796</c:v>
                </c:pt>
                <c:pt idx="8">
                  <c:v>4.4220238991418945</c:v>
                </c:pt>
                <c:pt idx="9">
                  <c:v>4.8080025051052857</c:v>
                </c:pt>
                <c:pt idx="10">
                  <c:v>5.1923617730393534</c:v>
                </c:pt>
                <c:pt idx="11">
                  <c:v>5.5745633575638989</c:v>
                </c:pt>
                <c:pt idx="12">
                  <c:v>5.954068913298733</c:v>
                </c:pt>
                <c:pt idx="13">
                  <c:v>6.3303400948636543</c:v>
                </c:pt>
                <c:pt idx="14">
                  <c:v>6.7028385568784774</c:v>
                </c:pt>
                <c:pt idx="15">
                  <c:v>7.071025953962998</c:v>
                </c:pt>
                <c:pt idx="16">
                  <c:v>7.4343639407370254</c:v>
                </c:pt>
                <c:pt idx="17">
                  <c:v>7.7923141718203643</c:v>
                </c:pt>
                <c:pt idx="18">
                  <c:v>8.1443383018328248</c:v>
                </c:pt>
                <c:pt idx="19">
                  <c:v>8.4898979853942009</c:v>
                </c:pt>
                <c:pt idx="20">
                  <c:v>8.8284548771243028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89984"/>
        <c:axId val="120709504"/>
      </c:scatterChart>
      <c:valAx>
        <c:axId val="10528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Rotação [rpm]</a:t>
                </a:r>
              </a:p>
            </c:rich>
          </c:tx>
          <c:layout>
            <c:manualLayout>
              <c:xMode val="edge"/>
              <c:yMode val="edge"/>
              <c:x val="0.51292181958050664"/>
              <c:y val="0.916120468687741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0709504"/>
        <c:crosses val="autoZero"/>
        <c:crossBetween val="midCat"/>
      </c:valAx>
      <c:valAx>
        <c:axId val="120709504"/>
        <c:scaling>
          <c:orientation val="minMax"/>
          <c:max val="2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eta[%],</a:t>
                </a:r>
                <a:r>
                  <a:rPr lang="en-US" baseline="0"/>
                  <a:t> torque [N.m], potência [CV]</a:t>
                </a:r>
              </a:p>
            </c:rich>
          </c:tx>
          <c:layout>
            <c:manualLayout>
              <c:xMode val="edge"/>
              <c:yMode val="edge"/>
              <c:x val="3.2308038097729849E-2"/>
              <c:y val="0.1915571836630545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0528998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3199042615594745"/>
          <c:y val="5.7724255360062073E-2"/>
          <c:w val="0.24566194941008429"/>
          <c:h val="0.1898468073802722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5372593973131"/>
          <c:y val="9.0215678639506303E-2"/>
          <c:w val="0.6098456393426257"/>
          <c:h val="0.74037689451660027"/>
        </c:manualLayout>
      </c:layout>
      <c:scatterChart>
        <c:scatterStyle val="lineMarker"/>
        <c:varyColors val="0"/>
        <c:ser>
          <c:idx val="1"/>
          <c:order val="0"/>
          <c:tx>
            <c:strRef>
              <c:f>'Ab08'!$AB$1</c:f>
              <c:strCache>
                <c:ptCount val="1"/>
                <c:pt idx="0">
                  <c:v>eta [%]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'Ab08'!$L$2:$L$22</c:f>
              <c:numCache>
                <c:formatCode>General</c:formatCode>
                <c:ptCount val="21"/>
                <c:pt idx="0">
                  <c:v>1400</c:v>
                </c:pt>
                <c:pt idx="1">
                  <c:v>1787.5</c:v>
                </c:pt>
                <c:pt idx="2">
                  <c:v>2175</c:v>
                </c:pt>
                <c:pt idx="3">
                  <c:v>2562.5</c:v>
                </c:pt>
                <c:pt idx="4">
                  <c:v>2950</c:v>
                </c:pt>
                <c:pt idx="5">
                  <c:v>3337.5</c:v>
                </c:pt>
                <c:pt idx="6">
                  <c:v>3725</c:v>
                </c:pt>
                <c:pt idx="7">
                  <c:v>4112.5</c:v>
                </c:pt>
                <c:pt idx="8">
                  <c:v>4500</c:v>
                </c:pt>
                <c:pt idx="9">
                  <c:v>4887.5</c:v>
                </c:pt>
                <c:pt idx="10">
                  <c:v>5275</c:v>
                </c:pt>
                <c:pt idx="11">
                  <c:v>5662.4999999999991</c:v>
                </c:pt>
                <c:pt idx="12">
                  <c:v>6050</c:v>
                </c:pt>
                <c:pt idx="13">
                  <c:v>6437.5</c:v>
                </c:pt>
                <c:pt idx="14">
                  <c:v>6825.0000000000009</c:v>
                </c:pt>
                <c:pt idx="15">
                  <c:v>7212.5000000000009</c:v>
                </c:pt>
                <c:pt idx="16">
                  <c:v>7600.0000000000009</c:v>
                </c:pt>
                <c:pt idx="17">
                  <c:v>7987.5000000000018</c:v>
                </c:pt>
                <c:pt idx="18">
                  <c:v>8375.0000000000018</c:v>
                </c:pt>
                <c:pt idx="19">
                  <c:v>8762.5000000000018</c:v>
                </c:pt>
                <c:pt idx="20">
                  <c:v>9150.0000000000018</c:v>
                </c:pt>
              </c:numCache>
            </c:numRef>
          </c:xVal>
          <c:yVal>
            <c:numRef>
              <c:f>'Ab08'!$AB$2:$AB$22</c:f>
              <c:numCache>
                <c:formatCode>0.0</c:formatCode>
                <c:ptCount val="21"/>
                <c:pt idx="0">
                  <c:v>38.122269108776955</c:v>
                </c:pt>
                <c:pt idx="1">
                  <c:v>38.122269108776962</c:v>
                </c:pt>
                <c:pt idx="2">
                  <c:v>38.122269108776955</c:v>
                </c:pt>
                <c:pt idx="3">
                  <c:v>38.122269108776955</c:v>
                </c:pt>
                <c:pt idx="4">
                  <c:v>38.122269108776955</c:v>
                </c:pt>
                <c:pt idx="5">
                  <c:v>38.122269108776955</c:v>
                </c:pt>
                <c:pt idx="6">
                  <c:v>38.122269108776955</c:v>
                </c:pt>
                <c:pt idx="7">
                  <c:v>38.122269108776955</c:v>
                </c:pt>
                <c:pt idx="8">
                  <c:v>38.122269108776955</c:v>
                </c:pt>
                <c:pt idx="9">
                  <c:v>38.122269108776955</c:v>
                </c:pt>
                <c:pt idx="10">
                  <c:v>38.122269108776955</c:v>
                </c:pt>
                <c:pt idx="11">
                  <c:v>38.122269108776955</c:v>
                </c:pt>
                <c:pt idx="12">
                  <c:v>38.122269108776955</c:v>
                </c:pt>
                <c:pt idx="13">
                  <c:v>38.122269108776955</c:v>
                </c:pt>
                <c:pt idx="14">
                  <c:v>38.122269108776955</c:v>
                </c:pt>
                <c:pt idx="15">
                  <c:v>38.122269108776955</c:v>
                </c:pt>
                <c:pt idx="16">
                  <c:v>38.122269108776955</c:v>
                </c:pt>
                <c:pt idx="17">
                  <c:v>38.122269108776948</c:v>
                </c:pt>
                <c:pt idx="18">
                  <c:v>38.122269108776955</c:v>
                </c:pt>
                <c:pt idx="19">
                  <c:v>38.122269108776955</c:v>
                </c:pt>
                <c:pt idx="20">
                  <c:v>38.122269108776955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'Ab08'!$AA$1</c:f>
              <c:strCache>
                <c:ptCount val="1"/>
                <c:pt idx="0">
                  <c:v>Torque [N.m]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'Ab08'!$L$2:$L$22</c:f>
              <c:numCache>
                <c:formatCode>General</c:formatCode>
                <c:ptCount val="21"/>
                <c:pt idx="0">
                  <c:v>1400</c:v>
                </c:pt>
                <c:pt idx="1">
                  <c:v>1787.5</c:v>
                </c:pt>
                <c:pt idx="2">
                  <c:v>2175</c:v>
                </c:pt>
                <c:pt idx="3">
                  <c:v>2562.5</c:v>
                </c:pt>
                <c:pt idx="4">
                  <c:v>2950</c:v>
                </c:pt>
                <c:pt idx="5">
                  <c:v>3337.5</c:v>
                </c:pt>
                <c:pt idx="6">
                  <c:v>3725</c:v>
                </c:pt>
                <c:pt idx="7">
                  <c:v>4112.5</c:v>
                </c:pt>
                <c:pt idx="8">
                  <c:v>4500</c:v>
                </c:pt>
                <c:pt idx="9">
                  <c:v>4887.5</c:v>
                </c:pt>
                <c:pt idx="10">
                  <c:v>5275</c:v>
                </c:pt>
                <c:pt idx="11">
                  <c:v>5662.4999999999991</c:v>
                </c:pt>
                <c:pt idx="12">
                  <c:v>6050</c:v>
                </c:pt>
                <c:pt idx="13">
                  <c:v>6437.5</c:v>
                </c:pt>
                <c:pt idx="14">
                  <c:v>6825.0000000000009</c:v>
                </c:pt>
                <c:pt idx="15">
                  <c:v>7212.5000000000009</c:v>
                </c:pt>
                <c:pt idx="16">
                  <c:v>7600.0000000000009</c:v>
                </c:pt>
                <c:pt idx="17">
                  <c:v>7987.5000000000018</c:v>
                </c:pt>
                <c:pt idx="18">
                  <c:v>8375.0000000000018</c:v>
                </c:pt>
                <c:pt idx="19">
                  <c:v>8762.5000000000018</c:v>
                </c:pt>
                <c:pt idx="20">
                  <c:v>9150.0000000000018</c:v>
                </c:pt>
              </c:numCache>
            </c:numRef>
          </c:xVal>
          <c:yVal>
            <c:numRef>
              <c:f>'Ab08'!$AA$2:$AA$22</c:f>
              <c:numCache>
                <c:formatCode>0.00</c:formatCode>
                <c:ptCount val="21"/>
                <c:pt idx="0">
                  <c:v>14.874928179783366</c:v>
                </c:pt>
                <c:pt idx="1">
                  <c:v>14.874928179783366</c:v>
                </c:pt>
                <c:pt idx="2">
                  <c:v>14.874928179783367</c:v>
                </c:pt>
                <c:pt idx="3">
                  <c:v>14.874928179783362</c:v>
                </c:pt>
                <c:pt idx="4">
                  <c:v>14.874928179783369</c:v>
                </c:pt>
                <c:pt idx="5">
                  <c:v>14.874928179783364</c:v>
                </c:pt>
                <c:pt idx="6">
                  <c:v>14.874928179783364</c:v>
                </c:pt>
                <c:pt idx="7">
                  <c:v>14.874928179783366</c:v>
                </c:pt>
                <c:pt idx="8">
                  <c:v>14.874928179783364</c:v>
                </c:pt>
                <c:pt idx="9">
                  <c:v>14.874928179783367</c:v>
                </c:pt>
                <c:pt idx="10">
                  <c:v>14.874928179783366</c:v>
                </c:pt>
                <c:pt idx="11">
                  <c:v>14.874928179783367</c:v>
                </c:pt>
                <c:pt idx="12">
                  <c:v>14.874928179783364</c:v>
                </c:pt>
                <c:pt idx="13">
                  <c:v>14.874928179783366</c:v>
                </c:pt>
                <c:pt idx="14">
                  <c:v>14.874928179783366</c:v>
                </c:pt>
                <c:pt idx="15">
                  <c:v>14.874928179783367</c:v>
                </c:pt>
                <c:pt idx="16">
                  <c:v>14.874928179783366</c:v>
                </c:pt>
                <c:pt idx="17">
                  <c:v>14.874928179783366</c:v>
                </c:pt>
                <c:pt idx="18">
                  <c:v>14.874928179783366</c:v>
                </c:pt>
                <c:pt idx="19">
                  <c:v>14.874928179783367</c:v>
                </c:pt>
                <c:pt idx="20">
                  <c:v>14.874928179783366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'Ab08'!$X$1</c:f>
              <c:strCache>
                <c:ptCount val="1"/>
                <c:pt idx="0">
                  <c:v>Pot_mec [CV]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'Ab08'!$L$2:$L$22</c:f>
              <c:numCache>
                <c:formatCode>General</c:formatCode>
                <c:ptCount val="21"/>
                <c:pt idx="0">
                  <c:v>1400</c:v>
                </c:pt>
                <c:pt idx="1">
                  <c:v>1787.5</c:v>
                </c:pt>
                <c:pt idx="2">
                  <c:v>2175</c:v>
                </c:pt>
                <c:pt idx="3">
                  <c:v>2562.5</c:v>
                </c:pt>
                <c:pt idx="4">
                  <c:v>2950</c:v>
                </c:pt>
                <c:pt idx="5">
                  <c:v>3337.5</c:v>
                </c:pt>
                <c:pt idx="6">
                  <c:v>3725</c:v>
                </c:pt>
                <c:pt idx="7">
                  <c:v>4112.5</c:v>
                </c:pt>
                <c:pt idx="8">
                  <c:v>4500</c:v>
                </c:pt>
                <c:pt idx="9">
                  <c:v>4887.5</c:v>
                </c:pt>
                <c:pt idx="10">
                  <c:v>5275</c:v>
                </c:pt>
                <c:pt idx="11">
                  <c:v>5662.4999999999991</c:v>
                </c:pt>
                <c:pt idx="12">
                  <c:v>6050</c:v>
                </c:pt>
                <c:pt idx="13">
                  <c:v>6437.5</c:v>
                </c:pt>
                <c:pt idx="14">
                  <c:v>6825.0000000000009</c:v>
                </c:pt>
                <c:pt idx="15">
                  <c:v>7212.5000000000009</c:v>
                </c:pt>
                <c:pt idx="16">
                  <c:v>7600.0000000000009</c:v>
                </c:pt>
                <c:pt idx="17">
                  <c:v>7987.5000000000018</c:v>
                </c:pt>
                <c:pt idx="18">
                  <c:v>8375.0000000000018</c:v>
                </c:pt>
                <c:pt idx="19">
                  <c:v>8762.5000000000018</c:v>
                </c:pt>
                <c:pt idx="20">
                  <c:v>9150.0000000000018</c:v>
                </c:pt>
              </c:numCache>
            </c:numRef>
          </c:xVal>
          <c:yVal>
            <c:numRef>
              <c:f>'Ab08'!$Y$2:$Y$22</c:f>
              <c:numCache>
                <c:formatCode>0.00</c:formatCode>
                <c:ptCount val="21"/>
                <c:pt idx="0">
                  <c:v>5.7204829834567086</c:v>
                </c:pt>
                <c:pt idx="1">
                  <c:v>7.3038309520920475</c:v>
                </c:pt>
                <c:pt idx="2">
                  <c:v>8.8871789207273881</c:v>
                </c:pt>
                <c:pt idx="3">
                  <c:v>10.470526889362727</c:v>
                </c:pt>
                <c:pt idx="4">
                  <c:v>12.053874857998066</c:v>
                </c:pt>
                <c:pt idx="5">
                  <c:v>13.637222826633405</c:v>
                </c:pt>
                <c:pt idx="6">
                  <c:v>15.220570795268744</c:v>
                </c:pt>
                <c:pt idx="7">
                  <c:v>16.803918763904083</c:v>
                </c:pt>
                <c:pt idx="8">
                  <c:v>18.387266732539423</c:v>
                </c:pt>
                <c:pt idx="9">
                  <c:v>19.97061470117476</c:v>
                </c:pt>
                <c:pt idx="10">
                  <c:v>21.553962669810101</c:v>
                </c:pt>
                <c:pt idx="11">
                  <c:v>23.137310638445435</c:v>
                </c:pt>
                <c:pt idx="12">
                  <c:v>24.720658607080779</c:v>
                </c:pt>
                <c:pt idx="13">
                  <c:v>26.304006575716119</c:v>
                </c:pt>
                <c:pt idx="14">
                  <c:v>27.88735454435146</c:v>
                </c:pt>
                <c:pt idx="15">
                  <c:v>29.470702512986801</c:v>
                </c:pt>
                <c:pt idx="16">
                  <c:v>31.054050481622138</c:v>
                </c:pt>
                <c:pt idx="17">
                  <c:v>32.637398450257486</c:v>
                </c:pt>
                <c:pt idx="18">
                  <c:v>34.220746418892823</c:v>
                </c:pt>
                <c:pt idx="19">
                  <c:v>35.80409438752816</c:v>
                </c:pt>
                <c:pt idx="20">
                  <c:v>37.387442356163504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82880"/>
        <c:axId val="121889152"/>
      </c:scatterChart>
      <c:valAx>
        <c:axId val="12188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Rotação [rpm]</a:t>
                </a:r>
              </a:p>
            </c:rich>
          </c:tx>
          <c:layout>
            <c:manualLayout>
              <c:xMode val="edge"/>
              <c:yMode val="edge"/>
              <c:x val="0.51292181958050664"/>
              <c:y val="0.916120468687741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1889152"/>
        <c:crosses val="autoZero"/>
        <c:crossBetween val="midCat"/>
      </c:valAx>
      <c:valAx>
        <c:axId val="1218891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eta[%],</a:t>
                </a:r>
                <a:r>
                  <a:rPr lang="en-US" baseline="0"/>
                  <a:t> torque [N.m], potência [CV]</a:t>
                </a:r>
              </a:p>
            </c:rich>
          </c:tx>
          <c:layout>
            <c:manualLayout>
              <c:xMode val="edge"/>
              <c:yMode val="edge"/>
              <c:x val="3.2308038097729849E-2"/>
              <c:y val="0.1915571836630545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2188288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3846271593229929"/>
          <c:y val="4.663626284396663E-2"/>
          <c:w val="0.24566194941008429"/>
          <c:h val="0.1898468073802722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25372593973131"/>
          <c:y val="9.0215678639506303E-2"/>
          <c:w val="0.78734162660050278"/>
          <c:h val="0.740376894516600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'Ab10'!$J$16</c:f>
              <c:strCache>
                <c:ptCount val="1"/>
                <c:pt idx="0">
                  <c:v>1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'Ab10'!$C$17:$C$37</c:f>
              <c:numCache>
                <c:formatCode>0</c:formatCode>
                <c:ptCount val="21"/>
                <c:pt idx="0">
                  <c:v>1400</c:v>
                </c:pt>
                <c:pt idx="1">
                  <c:v>1787.5</c:v>
                </c:pt>
                <c:pt idx="2">
                  <c:v>2175</c:v>
                </c:pt>
                <c:pt idx="3">
                  <c:v>2562.5</c:v>
                </c:pt>
                <c:pt idx="4">
                  <c:v>2950</c:v>
                </c:pt>
                <c:pt idx="5">
                  <c:v>3337.5</c:v>
                </c:pt>
                <c:pt idx="6">
                  <c:v>3725</c:v>
                </c:pt>
                <c:pt idx="7">
                  <c:v>4112.5</c:v>
                </c:pt>
                <c:pt idx="8">
                  <c:v>4500</c:v>
                </c:pt>
                <c:pt idx="9">
                  <c:v>4887.5</c:v>
                </c:pt>
                <c:pt idx="10">
                  <c:v>5275</c:v>
                </c:pt>
                <c:pt idx="11">
                  <c:v>5662.4999999999991</c:v>
                </c:pt>
                <c:pt idx="12">
                  <c:v>6050</c:v>
                </c:pt>
                <c:pt idx="13">
                  <c:v>6437.5</c:v>
                </c:pt>
                <c:pt idx="14">
                  <c:v>6825.0000000000009</c:v>
                </c:pt>
                <c:pt idx="15">
                  <c:v>7212.5000000000009</c:v>
                </c:pt>
                <c:pt idx="16">
                  <c:v>7600.0000000000009</c:v>
                </c:pt>
                <c:pt idx="17">
                  <c:v>7987.5000000000018</c:v>
                </c:pt>
                <c:pt idx="18">
                  <c:v>8375.0000000000018</c:v>
                </c:pt>
                <c:pt idx="19">
                  <c:v>8762.5000000000018</c:v>
                </c:pt>
                <c:pt idx="20">
                  <c:v>9150.0000000000018</c:v>
                </c:pt>
              </c:numCache>
            </c:numRef>
          </c:xVal>
          <c:yVal>
            <c:numRef>
              <c:f>'Ab10'!$J$17:$J$37</c:f>
              <c:numCache>
                <c:formatCode>0.00</c:formatCode>
                <c:ptCount val="21"/>
                <c:pt idx="0">
                  <c:v>0.82477923875432524</c:v>
                </c:pt>
                <c:pt idx="1">
                  <c:v>1.3870213329909169</c:v>
                </c:pt>
                <c:pt idx="2">
                  <c:v>2.0619611483564011</c:v>
                </c:pt>
                <c:pt idx="3">
                  <c:v>2.8324450218966262</c:v>
                </c:pt>
                <c:pt idx="4">
                  <c:v>3.6813192906574397</c:v>
                </c:pt>
                <c:pt idx="5">
                  <c:v>4.5914302916846887</c:v>
                </c:pt>
                <c:pt idx="6">
                  <c:v>5.5456243620242214</c:v>
                </c:pt>
                <c:pt idx="7">
                  <c:v>6.5267478387218851</c:v>
                </c:pt>
                <c:pt idx="8">
                  <c:v>7.5176470588235293</c:v>
                </c:pt>
                <c:pt idx="9">
                  <c:v>8.5011683593749989</c:v>
                </c:pt>
                <c:pt idx="10">
                  <c:v>9.460158077422145</c:v>
                </c:pt>
                <c:pt idx="11">
                  <c:v>10.37746255001081</c:v>
                </c:pt>
                <c:pt idx="12">
                  <c:v>11.23592811418685</c:v>
                </c:pt>
                <c:pt idx="13">
                  <c:v>12.018401106996109</c:v>
                </c:pt>
                <c:pt idx="14">
                  <c:v>12.707727865484431</c:v>
                </c:pt>
                <c:pt idx="15">
                  <c:v>13.286754726697666</c:v>
                </c:pt>
                <c:pt idx="16">
                  <c:v>13.738328027681664</c:v>
                </c:pt>
                <c:pt idx="17">
                  <c:v>14.045294105482267</c:v>
                </c:pt>
                <c:pt idx="18">
                  <c:v>14.19049929714533</c:v>
                </c:pt>
                <c:pt idx="19">
                  <c:v>14.156789939716694</c:v>
                </c:pt>
                <c:pt idx="20">
                  <c:v>13.927012370242213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'Ab10'!$I$16</c:f>
              <c:strCache>
                <c:ptCount val="1"/>
                <c:pt idx="0">
                  <c:v>0,75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'Ab10'!$C$17:$C$37</c:f>
              <c:numCache>
                <c:formatCode>0</c:formatCode>
                <c:ptCount val="21"/>
                <c:pt idx="0">
                  <c:v>1400</c:v>
                </c:pt>
                <c:pt idx="1">
                  <c:v>1787.5</c:v>
                </c:pt>
                <c:pt idx="2">
                  <c:v>2175</c:v>
                </c:pt>
                <c:pt idx="3">
                  <c:v>2562.5</c:v>
                </c:pt>
                <c:pt idx="4">
                  <c:v>2950</c:v>
                </c:pt>
                <c:pt idx="5">
                  <c:v>3337.5</c:v>
                </c:pt>
                <c:pt idx="6">
                  <c:v>3725</c:v>
                </c:pt>
                <c:pt idx="7">
                  <c:v>4112.5</c:v>
                </c:pt>
                <c:pt idx="8">
                  <c:v>4500</c:v>
                </c:pt>
                <c:pt idx="9">
                  <c:v>4887.5</c:v>
                </c:pt>
                <c:pt idx="10">
                  <c:v>5275</c:v>
                </c:pt>
                <c:pt idx="11">
                  <c:v>5662.4999999999991</c:v>
                </c:pt>
                <c:pt idx="12">
                  <c:v>6050</c:v>
                </c:pt>
                <c:pt idx="13">
                  <c:v>6437.5</c:v>
                </c:pt>
                <c:pt idx="14">
                  <c:v>6825.0000000000009</c:v>
                </c:pt>
                <c:pt idx="15">
                  <c:v>7212.5000000000009</c:v>
                </c:pt>
                <c:pt idx="16">
                  <c:v>7600.0000000000009</c:v>
                </c:pt>
                <c:pt idx="17">
                  <c:v>7987.5000000000018</c:v>
                </c:pt>
                <c:pt idx="18">
                  <c:v>8375.0000000000018</c:v>
                </c:pt>
                <c:pt idx="19">
                  <c:v>8762.5000000000018</c:v>
                </c:pt>
                <c:pt idx="20">
                  <c:v>9150.0000000000018</c:v>
                </c:pt>
              </c:numCache>
            </c:numRef>
          </c:xVal>
          <c:yVal>
            <c:numRef>
              <c:f>'Ab10'!$I$17:$I$37</c:f>
              <c:numCache>
                <c:formatCode>0.00</c:formatCode>
                <c:ptCount val="21"/>
                <c:pt idx="0">
                  <c:v>0.61858442906574396</c:v>
                </c:pt>
                <c:pt idx="1">
                  <c:v>1.0402659997431876</c:v>
                </c:pt>
                <c:pt idx="2">
                  <c:v>1.5464708612673008</c:v>
                </c:pt>
                <c:pt idx="3">
                  <c:v>2.1243337664224695</c:v>
                </c:pt>
                <c:pt idx="4">
                  <c:v>2.7609894679930802</c:v>
                </c:pt>
                <c:pt idx="5">
                  <c:v>3.4435727187635168</c:v>
                </c:pt>
                <c:pt idx="6">
                  <c:v>4.1592182715181663</c:v>
                </c:pt>
                <c:pt idx="7">
                  <c:v>4.8950608790414138</c:v>
                </c:pt>
                <c:pt idx="8">
                  <c:v>5.6382352941176466</c:v>
                </c:pt>
                <c:pt idx="9">
                  <c:v>6.3758762695312496</c:v>
                </c:pt>
                <c:pt idx="10">
                  <c:v>7.0951185580666083</c:v>
                </c:pt>
                <c:pt idx="11">
                  <c:v>7.7830969125081078</c:v>
                </c:pt>
                <c:pt idx="12">
                  <c:v>8.4269460856401377</c:v>
                </c:pt>
                <c:pt idx="13">
                  <c:v>9.0138008302470816</c:v>
                </c:pt>
                <c:pt idx="14">
                  <c:v>9.5307958991133219</c:v>
                </c:pt>
                <c:pt idx="15">
                  <c:v>9.9650660450232493</c:v>
                </c:pt>
                <c:pt idx="16">
                  <c:v>10.303746020761249</c:v>
                </c:pt>
                <c:pt idx="17">
                  <c:v>10.533970579111699</c:v>
                </c:pt>
                <c:pt idx="18">
                  <c:v>10.642874472858997</c:v>
                </c:pt>
                <c:pt idx="19">
                  <c:v>10.61759245478752</c:v>
                </c:pt>
                <c:pt idx="20">
                  <c:v>10.445259277681661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'Ab10'!$H$16</c:f>
              <c:strCache>
                <c:ptCount val="1"/>
                <c:pt idx="0">
                  <c:v>0,5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'Ab10'!$C$17:$C$37</c:f>
              <c:numCache>
                <c:formatCode>0</c:formatCode>
                <c:ptCount val="21"/>
                <c:pt idx="0">
                  <c:v>1400</c:v>
                </c:pt>
                <c:pt idx="1">
                  <c:v>1787.5</c:v>
                </c:pt>
                <c:pt idx="2">
                  <c:v>2175</c:v>
                </c:pt>
                <c:pt idx="3">
                  <c:v>2562.5</c:v>
                </c:pt>
                <c:pt idx="4">
                  <c:v>2950</c:v>
                </c:pt>
                <c:pt idx="5">
                  <c:v>3337.5</c:v>
                </c:pt>
                <c:pt idx="6">
                  <c:v>3725</c:v>
                </c:pt>
                <c:pt idx="7">
                  <c:v>4112.5</c:v>
                </c:pt>
                <c:pt idx="8">
                  <c:v>4500</c:v>
                </c:pt>
                <c:pt idx="9">
                  <c:v>4887.5</c:v>
                </c:pt>
                <c:pt idx="10">
                  <c:v>5275</c:v>
                </c:pt>
                <c:pt idx="11">
                  <c:v>5662.4999999999991</c:v>
                </c:pt>
                <c:pt idx="12">
                  <c:v>6050</c:v>
                </c:pt>
                <c:pt idx="13">
                  <c:v>6437.5</c:v>
                </c:pt>
                <c:pt idx="14">
                  <c:v>6825.0000000000009</c:v>
                </c:pt>
                <c:pt idx="15">
                  <c:v>7212.5000000000009</c:v>
                </c:pt>
                <c:pt idx="16">
                  <c:v>7600.0000000000009</c:v>
                </c:pt>
                <c:pt idx="17">
                  <c:v>7987.5000000000018</c:v>
                </c:pt>
                <c:pt idx="18">
                  <c:v>8375.0000000000018</c:v>
                </c:pt>
                <c:pt idx="19">
                  <c:v>8762.5000000000018</c:v>
                </c:pt>
                <c:pt idx="20">
                  <c:v>9150.0000000000018</c:v>
                </c:pt>
              </c:numCache>
            </c:numRef>
          </c:xVal>
          <c:yVal>
            <c:numRef>
              <c:f>'Ab10'!$H$17:$H$37</c:f>
              <c:numCache>
                <c:formatCode>0.00</c:formatCode>
                <c:ptCount val="21"/>
                <c:pt idx="0">
                  <c:v>0.41238961937716262</c:v>
                </c:pt>
                <c:pt idx="1">
                  <c:v>0.69351066649545845</c:v>
                </c:pt>
                <c:pt idx="2">
                  <c:v>1.0309805741782005</c:v>
                </c:pt>
                <c:pt idx="3">
                  <c:v>1.4162225109483131</c:v>
                </c:pt>
                <c:pt idx="4">
                  <c:v>1.8406596453287198</c:v>
                </c:pt>
                <c:pt idx="5">
                  <c:v>2.2957151458423444</c:v>
                </c:pt>
                <c:pt idx="6">
                  <c:v>2.7728121810121107</c:v>
                </c:pt>
                <c:pt idx="7">
                  <c:v>3.2633739193609426</c:v>
                </c:pt>
                <c:pt idx="8">
                  <c:v>3.7588235294117647</c:v>
                </c:pt>
                <c:pt idx="9">
                  <c:v>4.2505841796874995</c:v>
                </c:pt>
                <c:pt idx="10">
                  <c:v>4.7300790387110725</c:v>
                </c:pt>
                <c:pt idx="11">
                  <c:v>5.1887312750054049</c:v>
                </c:pt>
                <c:pt idx="12">
                  <c:v>5.6179640570934248</c:v>
                </c:pt>
                <c:pt idx="13">
                  <c:v>6.0092005534980544</c:v>
                </c:pt>
                <c:pt idx="14">
                  <c:v>6.3538639327422155</c:v>
                </c:pt>
                <c:pt idx="15">
                  <c:v>6.6433773633488329</c:v>
                </c:pt>
                <c:pt idx="16">
                  <c:v>6.8691640138408321</c:v>
                </c:pt>
                <c:pt idx="17">
                  <c:v>7.0226470527411333</c:v>
                </c:pt>
                <c:pt idx="18">
                  <c:v>7.0952496485726648</c:v>
                </c:pt>
                <c:pt idx="19">
                  <c:v>7.0783949698583468</c:v>
                </c:pt>
                <c:pt idx="20">
                  <c:v>6.9635061851211066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'Ab10'!$G$16</c:f>
              <c:strCache>
                <c:ptCount val="1"/>
                <c:pt idx="0">
                  <c:v>0,25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'Ab10'!$C$17:$C$37</c:f>
              <c:numCache>
                <c:formatCode>0</c:formatCode>
                <c:ptCount val="21"/>
                <c:pt idx="0">
                  <c:v>1400</c:v>
                </c:pt>
                <c:pt idx="1">
                  <c:v>1787.5</c:v>
                </c:pt>
                <c:pt idx="2">
                  <c:v>2175</c:v>
                </c:pt>
                <c:pt idx="3">
                  <c:v>2562.5</c:v>
                </c:pt>
                <c:pt idx="4">
                  <c:v>2950</c:v>
                </c:pt>
                <c:pt idx="5">
                  <c:v>3337.5</c:v>
                </c:pt>
                <c:pt idx="6">
                  <c:v>3725</c:v>
                </c:pt>
                <c:pt idx="7">
                  <c:v>4112.5</c:v>
                </c:pt>
                <c:pt idx="8">
                  <c:v>4500</c:v>
                </c:pt>
                <c:pt idx="9">
                  <c:v>4887.5</c:v>
                </c:pt>
                <c:pt idx="10">
                  <c:v>5275</c:v>
                </c:pt>
                <c:pt idx="11">
                  <c:v>5662.4999999999991</c:v>
                </c:pt>
                <c:pt idx="12">
                  <c:v>6050</c:v>
                </c:pt>
                <c:pt idx="13">
                  <c:v>6437.5</c:v>
                </c:pt>
                <c:pt idx="14">
                  <c:v>6825.0000000000009</c:v>
                </c:pt>
                <c:pt idx="15">
                  <c:v>7212.5000000000009</c:v>
                </c:pt>
                <c:pt idx="16">
                  <c:v>7600.0000000000009</c:v>
                </c:pt>
                <c:pt idx="17">
                  <c:v>7987.5000000000018</c:v>
                </c:pt>
                <c:pt idx="18">
                  <c:v>8375.0000000000018</c:v>
                </c:pt>
                <c:pt idx="19">
                  <c:v>8762.5000000000018</c:v>
                </c:pt>
                <c:pt idx="20">
                  <c:v>9150.0000000000018</c:v>
                </c:pt>
              </c:numCache>
            </c:numRef>
          </c:xVal>
          <c:yVal>
            <c:numRef>
              <c:f>'Ab10'!$G$17:$G$37</c:f>
              <c:numCache>
                <c:formatCode>0.00</c:formatCode>
                <c:ptCount val="21"/>
                <c:pt idx="0">
                  <c:v>0.20619480968858131</c:v>
                </c:pt>
                <c:pt idx="1">
                  <c:v>0.34675533324772922</c:v>
                </c:pt>
                <c:pt idx="2">
                  <c:v>0.51549028708910027</c:v>
                </c:pt>
                <c:pt idx="3">
                  <c:v>0.70811125547415654</c:v>
                </c:pt>
                <c:pt idx="4">
                  <c:v>0.92032982266435992</c:v>
                </c:pt>
                <c:pt idx="5">
                  <c:v>1.1478575729211722</c:v>
                </c:pt>
                <c:pt idx="6">
                  <c:v>1.3864060905060553</c:v>
                </c:pt>
                <c:pt idx="7">
                  <c:v>1.6316869596804713</c:v>
                </c:pt>
                <c:pt idx="8">
                  <c:v>1.8794117647058823</c:v>
                </c:pt>
                <c:pt idx="9">
                  <c:v>2.1252920898437497</c:v>
                </c:pt>
                <c:pt idx="10">
                  <c:v>2.3650395193555362</c:v>
                </c:pt>
                <c:pt idx="11">
                  <c:v>2.5943656375027024</c:v>
                </c:pt>
                <c:pt idx="12">
                  <c:v>2.8089820285467124</c:v>
                </c:pt>
                <c:pt idx="13">
                  <c:v>3.0046002767490272</c:v>
                </c:pt>
                <c:pt idx="14">
                  <c:v>3.1769319663711078</c:v>
                </c:pt>
                <c:pt idx="15">
                  <c:v>3.3216886816744164</c:v>
                </c:pt>
                <c:pt idx="16">
                  <c:v>3.434582006920416</c:v>
                </c:pt>
                <c:pt idx="17">
                  <c:v>3.5113235263705667</c:v>
                </c:pt>
                <c:pt idx="18">
                  <c:v>3.5476248242863324</c:v>
                </c:pt>
                <c:pt idx="19">
                  <c:v>3.5391974849291734</c:v>
                </c:pt>
                <c:pt idx="20">
                  <c:v>3.4817530925605533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07648"/>
        <c:axId val="122509568"/>
      </c:scatterChart>
      <c:valAx>
        <c:axId val="12250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Rotação [rpm]</a:t>
                </a:r>
              </a:p>
            </c:rich>
          </c:tx>
          <c:layout>
            <c:manualLayout>
              <c:xMode val="edge"/>
              <c:yMode val="edge"/>
              <c:x val="0.51292181958050664"/>
              <c:y val="0.9161204686877415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22509568"/>
        <c:crosses val="autoZero"/>
        <c:crossBetween val="midCat"/>
      </c:valAx>
      <c:valAx>
        <c:axId val="1225095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Potência [CV]</a:t>
                </a:r>
              </a:p>
            </c:rich>
          </c:tx>
          <c:layout>
            <c:manualLayout>
              <c:xMode val="edge"/>
              <c:yMode val="edge"/>
              <c:x val="2.4371531814454062E-2"/>
              <c:y val="0.3700348247711645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2250764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4773668963531859"/>
          <c:y val="0.12769707353984236"/>
          <c:w val="0.14604504727637227"/>
          <c:h val="0.2531290765070297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25372593973131"/>
          <c:y val="9.0215666683016324E-2"/>
          <c:w val="0.78734162660050278"/>
          <c:h val="0.740376894516600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'Ab10'!$J$16</c:f>
              <c:strCache>
                <c:ptCount val="1"/>
                <c:pt idx="0">
                  <c:v>1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'Ab10'!$C$17:$C$37</c:f>
              <c:numCache>
                <c:formatCode>0</c:formatCode>
                <c:ptCount val="21"/>
                <c:pt idx="0">
                  <c:v>1400</c:v>
                </c:pt>
                <c:pt idx="1">
                  <c:v>1787.5</c:v>
                </c:pt>
                <c:pt idx="2">
                  <c:v>2175</c:v>
                </c:pt>
                <c:pt idx="3">
                  <c:v>2562.5</c:v>
                </c:pt>
                <c:pt idx="4">
                  <c:v>2950</c:v>
                </c:pt>
                <c:pt idx="5">
                  <c:v>3337.5</c:v>
                </c:pt>
                <c:pt idx="6">
                  <c:v>3725</c:v>
                </c:pt>
                <c:pt idx="7">
                  <c:v>4112.5</c:v>
                </c:pt>
                <c:pt idx="8">
                  <c:v>4500</c:v>
                </c:pt>
                <c:pt idx="9">
                  <c:v>4887.5</c:v>
                </c:pt>
                <c:pt idx="10">
                  <c:v>5275</c:v>
                </c:pt>
                <c:pt idx="11">
                  <c:v>5662.4999999999991</c:v>
                </c:pt>
                <c:pt idx="12">
                  <c:v>6050</c:v>
                </c:pt>
                <c:pt idx="13">
                  <c:v>6437.5</c:v>
                </c:pt>
                <c:pt idx="14">
                  <c:v>6825.0000000000009</c:v>
                </c:pt>
                <c:pt idx="15">
                  <c:v>7212.5000000000009</c:v>
                </c:pt>
                <c:pt idx="16">
                  <c:v>7600.0000000000009</c:v>
                </c:pt>
                <c:pt idx="17">
                  <c:v>7987.5000000000018</c:v>
                </c:pt>
                <c:pt idx="18">
                  <c:v>8375.0000000000018</c:v>
                </c:pt>
                <c:pt idx="19">
                  <c:v>8762.5000000000018</c:v>
                </c:pt>
                <c:pt idx="20">
                  <c:v>9150.0000000000018</c:v>
                </c:pt>
              </c:numCache>
            </c:numRef>
          </c:xVal>
          <c:yVal>
            <c:numRef>
              <c:f>'Ab10'!$N$17:$N$37</c:f>
              <c:numCache>
                <c:formatCode>0.000</c:formatCode>
                <c:ptCount val="21"/>
                <c:pt idx="0">
                  <c:v>0.17464979956244736</c:v>
                </c:pt>
                <c:pt idx="1">
                  <c:v>0.18059283106717197</c:v>
                </c:pt>
                <c:pt idx="2">
                  <c:v>0.18579824505295173</c:v>
                </c:pt>
                <c:pt idx="3">
                  <c:v>0.190302639444942</c:v>
                </c:pt>
                <c:pt idx="4">
                  <c:v>0.19414261216829795</c:v>
                </c:pt>
                <c:pt idx="5">
                  <c:v>0.19735476114817502</c:v>
                </c:pt>
                <c:pt idx="6">
                  <c:v>0.19997568430972848</c:v>
                </c:pt>
                <c:pt idx="7">
                  <c:v>0.20204197957811357</c:v>
                </c:pt>
                <c:pt idx="8">
                  <c:v>0.20359024487848559</c:v>
                </c:pt>
                <c:pt idx="9">
                  <c:v>0.20465707813599998</c:v>
                </c:pt>
                <c:pt idx="10">
                  <c:v>0.20527907727581193</c:v>
                </c:pt>
                <c:pt idx="11">
                  <c:v>0.20549284022307671</c:v>
                </c:pt>
                <c:pt idx="12">
                  <c:v>0.2053349649029497</c:v>
                </c:pt>
                <c:pt idx="13">
                  <c:v>0.20484204924058622</c:v>
                </c:pt>
                <c:pt idx="14">
                  <c:v>0.20405069116114144</c:v>
                </c:pt>
                <c:pt idx="15">
                  <c:v>0.20299748858977079</c:v>
                </c:pt>
                <c:pt idx="16">
                  <c:v>0.2017190394516295</c:v>
                </c:pt>
                <c:pt idx="17">
                  <c:v>0.20025194167187296</c:v>
                </c:pt>
                <c:pt idx="18">
                  <c:v>0.19863279317565638</c:v>
                </c:pt>
                <c:pt idx="19">
                  <c:v>0.19689819188813509</c:v>
                </c:pt>
                <c:pt idx="20">
                  <c:v>0.19508473573446447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'Ab10'!$I$16</c:f>
              <c:strCache>
                <c:ptCount val="1"/>
                <c:pt idx="0">
                  <c:v>0,75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'Ab10'!$C$17:$C$37</c:f>
              <c:numCache>
                <c:formatCode>0</c:formatCode>
                <c:ptCount val="21"/>
                <c:pt idx="0">
                  <c:v>1400</c:v>
                </c:pt>
                <c:pt idx="1">
                  <c:v>1787.5</c:v>
                </c:pt>
                <c:pt idx="2">
                  <c:v>2175</c:v>
                </c:pt>
                <c:pt idx="3">
                  <c:v>2562.5</c:v>
                </c:pt>
                <c:pt idx="4">
                  <c:v>2950</c:v>
                </c:pt>
                <c:pt idx="5">
                  <c:v>3337.5</c:v>
                </c:pt>
                <c:pt idx="6">
                  <c:v>3725</c:v>
                </c:pt>
                <c:pt idx="7">
                  <c:v>4112.5</c:v>
                </c:pt>
                <c:pt idx="8">
                  <c:v>4500</c:v>
                </c:pt>
                <c:pt idx="9">
                  <c:v>4887.5</c:v>
                </c:pt>
                <c:pt idx="10">
                  <c:v>5275</c:v>
                </c:pt>
                <c:pt idx="11">
                  <c:v>5662.4999999999991</c:v>
                </c:pt>
                <c:pt idx="12">
                  <c:v>6050</c:v>
                </c:pt>
                <c:pt idx="13">
                  <c:v>6437.5</c:v>
                </c:pt>
                <c:pt idx="14">
                  <c:v>6825.0000000000009</c:v>
                </c:pt>
                <c:pt idx="15">
                  <c:v>7212.5000000000009</c:v>
                </c:pt>
                <c:pt idx="16">
                  <c:v>7600.0000000000009</c:v>
                </c:pt>
                <c:pt idx="17">
                  <c:v>7987.5000000000018</c:v>
                </c:pt>
                <c:pt idx="18">
                  <c:v>8375.0000000000018</c:v>
                </c:pt>
                <c:pt idx="19">
                  <c:v>8762.5000000000018</c:v>
                </c:pt>
                <c:pt idx="20">
                  <c:v>9150.0000000000018</c:v>
                </c:pt>
              </c:numCache>
            </c:numRef>
          </c:xVal>
          <c:yVal>
            <c:numRef>
              <c:f>'Ab10'!$M$17:$M$37</c:f>
              <c:numCache>
                <c:formatCode>0.000</c:formatCode>
                <c:ptCount val="21"/>
                <c:pt idx="0">
                  <c:v>0.19013175628182147</c:v>
                </c:pt>
                <c:pt idx="1">
                  <c:v>0.19660161207588703</c:v>
                </c:pt>
                <c:pt idx="2">
                  <c:v>0.20226846371711313</c:v>
                </c:pt>
                <c:pt idx="3">
                  <c:v>0.20717215337997397</c:v>
                </c:pt>
                <c:pt idx="4">
                  <c:v>0.21135252323894368</c:v>
                </c:pt>
                <c:pt idx="5">
                  <c:v>0.21484941546849656</c:v>
                </c:pt>
                <c:pt idx="6">
                  <c:v>0.21770267224310674</c:v>
                </c:pt>
                <c:pt idx="7">
                  <c:v>0.21995213573724834</c:v>
                </c:pt>
                <c:pt idx="8">
                  <c:v>0.2216376481253956</c:v>
                </c:pt>
                <c:pt idx="9">
                  <c:v>0.22279905158202276</c:v>
                </c:pt>
                <c:pt idx="10">
                  <c:v>0.2234761882816039</c:v>
                </c:pt>
                <c:pt idx="11">
                  <c:v>0.22370890039861324</c:v>
                </c:pt>
                <c:pt idx="12">
                  <c:v>0.22353703010752499</c:v>
                </c:pt>
                <c:pt idx="13">
                  <c:v>0.22300041958281336</c:v>
                </c:pt>
                <c:pt idx="14">
                  <c:v>0.22213891099895239</c:v>
                </c:pt>
                <c:pt idx="15">
                  <c:v>0.22099234653041638</c:v>
                </c:pt>
                <c:pt idx="16">
                  <c:v>0.21960056835167954</c:v>
                </c:pt>
                <c:pt idx="17">
                  <c:v>0.21800341863721601</c:v>
                </c:pt>
                <c:pt idx="18">
                  <c:v>0.21624073956149997</c:v>
                </c:pt>
                <c:pt idx="19">
                  <c:v>0.21435237329900558</c:v>
                </c:pt>
                <c:pt idx="20">
                  <c:v>0.21237816202420715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'Ab10'!$H$16</c:f>
              <c:strCache>
                <c:ptCount val="1"/>
                <c:pt idx="0">
                  <c:v>0,5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'Ab10'!$C$17:$C$37</c:f>
              <c:numCache>
                <c:formatCode>0</c:formatCode>
                <c:ptCount val="21"/>
                <c:pt idx="0">
                  <c:v>1400</c:v>
                </c:pt>
                <c:pt idx="1">
                  <c:v>1787.5</c:v>
                </c:pt>
                <c:pt idx="2">
                  <c:v>2175</c:v>
                </c:pt>
                <c:pt idx="3">
                  <c:v>2562.5</c:v>
                </c:pt>
                <c:pt idx="4">
                  <c:v>2950</c:v>
                </c:pt>
                <c:pt idx="5">
                  <c:v>3337.5</c:v>
                </c:pt>
                <c:pt idx="6">
                  <c:v>3725</c:v>
                </c:pt>
                <c:pt idx="7">
                  <c:v>4112.5</c:v>
                </c:pt>
                <c:pt idx="8">
                  <c:v>4500</c:v>
                </c:pt>
                <c:pt idx="9">
                  <c:v>4887.5</c:v>
                </c:pt>
                <c:pt idx="10">
                  <c:v>5275</c:v>
                </c:pt>
                <c:pt idx="11">
                  <c:v>5662.4999999999991</c:v>
                </c:pt>
                <c:pt idx="12">
                  <c:v>6050</c:v>
                </c:pt>
                <c:pt idx="13">
                  <c:v>6437.5</c:v>
                </c:pt>
                <c:pt idx="14">
                  <c:v>6825.0000000000009</c:v>
                </c:pt>
                <c:pt idx="15">
                  <c:v>7212.5000000000009</c:v>
                </c:pt>
                <c:pt idx="16">
                  <c:v>7600.0000000000009</c:v>
                </c:pt>
                <c:pt idx="17">
                  <c:v>7987.5000000000018</c:v>
                </c:pt>
                <c:pt idx="18">
                  <c:v>8375.0000000000018</c:v>
                </c:pt>
                <c:pt idx="19">
                  <c:v>8762.5000000000018</c:v>
                </c:pt>
                <c:pt idx="20">
                  <c:v>9150.0000000000018</c:v>
                </c:pt>
              </c:numCache>
            </c:numRef>
          </c:xVal>
          <c:yVal>
            <c:numRef>
              <c:f>'Ab10'!$L$17:$L$37</c:f>
              <c:numCache>
                <c:formatCode>0.000</c:formatCode>
                <c:ptCount val="21"/>
                <c:pt idx="0">
                  <c:v>0.15901951964903918</c:v>
                </c:pt>
                <c:pt idx="1">
                  <c:v>0.16443067968190545</c:v>
                </c:pt>
                <c:pt idx="2">
                  <c:v>0.16917023525922012</c:v>
                </c:pt>
                <c:pt idx="3">
                  <c:v>0.1732715089756437</c:v>
                </c:pt>
                <c:pt idx="4">
                  <c:v>0.17676782342583661</c:v>
                </c:pt>
                <c:pt idx="5">
                  <c:v>0.17969250120445934</c:v>
                </c:pt>
                <c:pt idx="6">
                  <c:v>0.18207886490617231</c:v>
                </c:pt>
                <c:pt idx="7">
                  <c:v>0.18396023712563594</c:v>
                </c:pt>
                <c:pt idx="8">
                  <c:v>0.18536994045751068</c:v>
                </c:pt>
                <c:pt idx="9">
                  <c:v>0.18634129749645706</c:v>
                </c:pt>
                <c:pt idx="10">
                  <c:v>0.18690763083713544</c:v>
                </c:pt>
                <c:pt idx="11">
                  <c:v>0.18710226307420624</c:v>
                </c:pt>
                <c:pt idx="12">
                  <c:v>0.18695851680233</c:v>
                </c:pt>
                <c:pt idx="13">
                  <c:v>0.18650971461616717</c:v>
                </c:pt>
                <c:pt idx="14">
                  <c:v>0.18578917911037807</c:v>
                </c:pt>
                <c:pt idx="15">
                  <c:v>0.18483023287962322</c:v>
                </c:pt>
                <c:pt idx="16">
                  <c:v>0.18366619851856308</c:v>
                </c:pt>
                <c:pt idx="17">
                  <c:v>0.18233039862185813</c:v>
                </c:pt>
                <c:pt idx="18">
                  <c:v>0.18085615578416875</c:v>
                </c:pt>
                <c:pt idx="19">
                  <c:v>0.17927679260015542</c:v>
                </c:pt>
                <c:pt idx="20">
                  <c:v>0.17762563166447862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'Ab10'!$G$16</c:f>
              <c:strCache>
                <c:ptCount val="1"/>
                <c:pt idx="0">
                  <c:v>0,25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'Ab10'!$C$17:$C$37</c:f>
              <c:numCache>
                <c:formatCode>0</c:formatCode>
                <c:ptCount val="21"/>
                <c:pt idx="0">
                  <c:v>1400</c:v>
                </c:pt>
                <c:pt idx="1">
                  <c:v>1787.5</c:v>
                </c:pt>
                <c:pt idx="2">
                  <c:v>2175</c:v>
                </c:pt>
                <c:pt idx="3">
                  <c:v>2562.5</c:v>
                </c:pt>
                <c:pt idx="4">
                  <c:v>2950</c:v>
                </c:pt>
                <c:pt idx="5">
                  <c:v>3337.5</c:v>
                </c:pt>
                <c:pt idx="6">
                  <c:v>3725</c:v>
                </c:pt>
                <c:pt idx="7">
                  <c:v>4112.5</c:v>
                </c:pt>
                <c:pt idx="8">
                  <c:v>4500</c:v>
                </c:pt>
                <c:pt idx="9">
                  <c:v>4887.5</c:v>
                </c:pt>
                <c:pt idx="10">
                  <c:v>5275</c:v>
                </c:pt>
                <c:pt idx="11">
                  <c:v>5662.4999999999991</c:v>
                </c:pt>
                <c:pt idx="12">
                  <c:v>6050</c:v>
                </c:pt>
                <c:pt idx="13">
                  <c:v>6437.5</c:v>
                </c:pt>
                <c:pt idx="14">
                  <c:v>6825.0000000000009</c:v>
                </c:pt>
                <c:pt idx="15">
                  <c:v>7212.5000000000009</c:v>
                </c:pt>
                <c:pt idx="16">
                  <c:v>7600.0000000000009</c:v>
                </c:pt>
                <c:pt idx="17">
                  <c:v>7987.5000000000018</c:v>
                </c:pt>
                <c:pt idx="18">
                  <c:v>8375.0000000000018</c:v>
                </c:pt>
                <c:pt idx="19">
                  <c:v>8762.5000000000018</c:v>
                </c:pt>
                <c:pt idx="20">
                  <c:v>9150.0000000000018</c:v>
                </c:pt>
              </c:numCache>
            </c:numRef>
          </c:xVal>
          <c:yVal>
            <c:numRef>
              <c:f>'Ab10'!$K$17:$K$37</c:f>
              <c:numCache>
                <c:formatCode>0.00</c:formatCode>
                <c:ptCount val="21"/>
                <c:pt idx="0">
                  <c:v>0.10346288968324552</c:v>
                </c:pt>
                <c:pt idx="1">
                  <c:v>0.10698355340285959</c:v>
                </c:pt>
                <c:pt idx="2">
                  <c:v>0.11006725103272022</c:v>
                </c:pt>
                <c:pt idx="3">
                  <c:v>0.11273566325670151</c:v>
                </c:pt>
                <c:pt idx="4">
                  <c:v>0.11501047075867746</c:v>
                </c:pt>
                <c:pt idx="5">
                  <c:v>0.11691335422252215</c:v>
                </c:pt>
                <c:pt idx="6">
                  <c:v>0.11846599433210962</c:v>
                </c:pt>
                <c:pt idx="7">
                  <c:v>0.11969007177131388</c:v>
                </c:pt>
                <c:pt idx="8">
                  <c:v>0.120607267224009</c:v>
                </c:pt>
                <c:pt idx="9">
                  <c:v>0.12123926137406905</c:v>
                </c:pt>
                <c:pt idx="10">
                  <c:v>0.12160773490536804</c:v>
                </c:pt>
                <c:pt idx="11">
                  <c:v>0.12173436850178002</c:v>
                </c:pt>
                <c:pt idx="12">
                  <c:v>0.12164084284717903</c:v>
                </c:pt>
                <c:pt idx="13">
                  <c:v>0.12134883862543916</c:v>
                </c:pt>
                <c:pt idx="14">
                  <c:v>0.12088003652043437</c:v>
                </c:pt>
                <c:pt idx="15">
                  <c:v>0.12025611721603877</c:v>
                </c:pt>
                <c:pt idx="16">
                  <c:v>0.11949876139612639</c:v>
                </c:pt>
                <c:pt idx="17">
                  <c:v>0.11862964974457128</c:v>
                </c:pt>
                <c:pt idx="18">
                  <c:v>0.11767046294524748</c:v>
                </c:pt>
                <c:pt idx="19">
                  <c:v>0.11664288168202902</c:v>
                </c:pt>
                <c:pt idx="20">
                  <c:v>0.11556858663878999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48992"/>
        <c:axId val="122550912"/>
      </c:scatterChart>
      <c:valAx>
        <c:axId val="12254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Rotação [rpm]</a:t>
                </a:r>
              </a:p>
            </c:rich>
          </c:tx>
          <c:layout>
            <c:manualLayout>
              <c:xMode val="edge"/>
              <c:yMode val="edge"/>
              <c:x val="0.51292181958050664"/>
              <c:y val="0.9161204686877415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22550912"/>
        <c:crosses val="autoZero"/>
        <c:crossBetween val="midCat"/>
      </c:valAx>
      <c:valAx>
        <c:axId val="1225509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Rendimento</a:t>
                </a:r>
              </a:p>
            </c:rich>
          </c:tx>
          <c:layout>
            <c:manualLayout>
              <c:xMode val="edge"/>
              <c:yMode val="edge"/>
              <c:x val="2.4371531814454062E-2"/>
              <c:y val="0.37003482477116451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12254899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5831859385939382"/>
          <c:y val="0.5406453412017439"/>
          <c:w val="0.14604504727637227"/>
          <c:h val="0.2531290765070297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5372593973131"/>
          <c:y val="9.0215678639506303E-2"/>
          <c:w val="0.78734162660050278"/>
          <c:h val="0.74037689451660027"/>
        </c:manualLayout>
      </c:layout>
      <c:scatterChart>
        <c:scatterStyle val="lineMarker"/>
        <c:varyColors val="0"/>
        <c:ser>
          <c:idx val="1"/>
          <c:order val="0"/>
          <c:tx>
            <c:strRef>
              <c:f>'Ab10'!$R$15</c:f>
              <c:strCache>
                <c:ptCount val="1"/>
                <c:pt idx="0">
                  <c:v>eta [%]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'Ab10'!$C$17:$C$37</c:f>
              <c:numCache>
                <c:formatCode>0</c:formatCode>
                <c:ptCount val="21"/>
                <c:pt idx="0">
                  <c:v>1400</c:v>
                </c:pt>
                <c:pt idx="1">
                  <c:v>1787.5</c:v>
                </c:pt>
                <c:pt idx="2">
                  <c:v>2175</c:v>
                </c:pt>
                <c:pt idx="3">
                  <c:v>2562.5</c:v>
                </c:pt>
                <c:pt idx="4">
                  <c:v>2950</c:v>
                </c:pt>
                <c:pt idx="5">
                  <c:v>3337.5</c:v>
                </c:pt>
                <c:pt idx="6">
                  <c:v>3725</c:v>
                </c:pt>
                <c:pt idx="7">
                  <c:v>4112.5</c:v>
                </c:pt>
                <c:pt idx="8">
                  <c:v>4500</c:v>
                </c:pt>
                <c:pt idx="9">
                  <c:v>4887.5</c:v>
                </c:pt>
                <c:pt idx="10">
                  <c:v>5275</c:v>
                </c:pt>
                <c:pt idx="11">
                  <c:v>5662.4999999999991</c:v>
                </c:pt>
                <c:pt idx="12">
                  <c:v>6050</c:v>
                </c:pt>
                <c:pt idx="13">
                  <c:v>6437.5</c:v>
                </c:pt>
                <c:pt idx="14">
                  <c:v>6825.0000000000009</c:v>
                </c:pt>
                <c:pt idx="15">
                  <c:v>7212.5000000000009</c:v>
                </c:pt>
                <c:pt idx="16">
                  <c:v>7600.0000000000009</c:v>
                </c:pt>
                <c:pt idx="17">
                  <c:v>7987.5000000000018</c:v>
                </c:pt>
                <c:pt idx="18">
                  <c:v>8375.0000000000018</c:v>
                </c:pt>
                <c:pt idx="19">
                  <c:v>8762.5000000000018</c:v>
                </c:pt>
                <c:pt idx="20">
                  <c:v>9150.0000000000018</c:v>
                </c:pt>
              </c:numCache>
            </c:numRef>
          </c:xVal>
          <c:yVal>
            <c:numRef>
              <c:f>'Ab10'!$R$17:$R$37</c:f>
              <c:numCache>
                <c:formatCode>0.00</c:formatCode>
                <c:ptCount val="21"/>
                <c:pt idx="0">
                  <c:v>17.464979956244736</c:v>
                </c:pt>
                <c:pt idx="1">
                  <c:v>18.059283106717196</c:v>
                </c:pt>
                <c:pt idx="2">
                  <c:v>18.579824505295171</c:v>
                </c:pt>
                <c:pt idx="3">
                  <c:v>19.030263944494198</c:v>
                </c:pt>
                <c:pt idx="4">
                  <c:v>19.414261216829797</c:v>
                </c:pt>
                <c:pt idx="5">
                  <c:v>19.735476114817502</c:v>
                </c:pt>
                <c:pt idx="6">
                  <c:v>19.997568430972848</c:v>
                </c:pt>
                <c:pt idx="7">
                  <c:v>20.204197957811356</c:v>
                </c:pt>
                <c:pt idx="8">
                  <c:v>20.359024487848558</c:v>
                </c:pt>
                <c:pt idx="9">
                  <c:v>20.465707813599998</c:v>
                </c:pt>
                <c:pt idx="10">
                  <c:v>20.527907727581194</c:v>
                </c:pt>
                <c:pt idx="11">
                  <c:v>20.54928402230767</c:v>
                </c:pt>
                <c:pt idx="12">
                  <c:v>20.533496490294969</c:v>
                </c:pt>
                <c:pt idx="13">
                  <c:v>20.48420492405862</c:v>
                </c:pt>
                <c:pt idx="14">
                  <c:v>20.405069116114145</c:v>
                </c:pt>
                <c:pt idx="15">
                  <c:v>20.299748858977079</c:v>
                </c:pt>
                <c:pt idx="16">
                  <c:v>20.171903945162949</c:v>
                </c:pt>
                <c:pt idx="17">
                  <c:v>20.025194167187298</c:v>
                </c:pt>
                <c:pt idx="18">
                  <c:v>19.863279317565638</c:v>
                </c:pt>
                <c:pt idx="19">
                  <c:v>19.689819188813509</c:v>
                </c:pt>
                <c:pt idx="20">
                  <c:v>19.508473573446448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'Ab10'!$P$15</c:f>
              <c:strCache>
                <c:ptCount val="1"/>
                <c:pt idx="0">
                  <c:v>Torque [N.m]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'Ab10'!$C$17:$C$37</c:f>
              <c:numCache>
                <c:formatCode>0</c:formatCode>
                <c:ptCount val="21"/>
                <c:pt idx="0">
                  <c:v>1400</c:v>
                </c:pt>
                <c:pt idx="1">
                  <c:v>1787.5</c:v>
                </c:pt>
                <c:pt idx="2">
                  <c:v>2175</c:v>
                </c:pt>
                <c:pt idx="3">
                  <c:v>2562.5</c:v>
                </c:pt>
                <c:pt idx="4">
                  <c:v>2950</c:v>
                </c:pt>
                <c:pt idx="5">
                  <c:v>3337.5</c:v>
                </c:pt>
                <c:pt idx="6">
                  <c:v>3725</c:v>
                </c:pt>
                <c:pt idx="7">
                  <c:v>4112.5</c:v>
                </c:pt>
                <c:pt idx="8">
                  <c:v>4500</c:v>
                </c:pt>
                <c:pt idx="9">
                  <c:v>4887.5</c:v>
                </c:pt>
                <c:pt idx="10">
                  <c:v>5275</c:v>
                </c:pt>
                <c:pt idx="11">
                  <c:v>5662.4999999999991</c:v>
                </c:pt>
                <c:pt idx="12">
                  <c:v>6050</c:v>
                </c:pt>
                <c:pt idx="13">
                  <c:v>6437.5</c:v>
                </c:pt>
                <c:pt idx="14">
                  <c:v>6825.0000000000009</c:v>
                </c:pt>
                <c:pt idx="15">
                  <c:v>7212.5000000000009</c:v>
                </c:pt>
                <c:pt idx="16">
                  <c:v>7600.0000000000009</c:v>
                </c:pt>
                <c:pt idx="17">
                  <c:v>7987.5000000000018</c:v>
                </c:pt>
                <c:pt idx="18">
                  <c:v>8375.0000000000018</c:v>
                </c:pt>
                <c:pt idx="19">
                  <c:v>8762.5000000000018</c:v>
                </c:pt>
                <c:pt idx="20">
                  <c:v>9150.0000000000018</c:v>
                </c:pt>
              </c:numCache>
            </c:numRef>
          </c:xVal>
          <c:yVal>
            <c:numRef>
              <c:f>'Ab10'!$P$17:$P$37</c:f>
              <c:numCache>
                <c:formatCode>0.00</c:formatCode>
                <c:ptCount val="21"/>
                <c:pt idx="0">
                  <c:v>5.625759433576933</c:v>
                </c:pt>
                <c:pt idx="1">
                  <c:v>7.4098354320143631</c:v>
                </c:pt>
                <c:pt idx="2">
                  <c:v>9.0530035171994108</c:v>
                </c:pt>
                <c:pt idx="3">
                  <c:v>10.555263689132074</c:v>
                </c:pt>
                <c:pt idx="4">
                  <c:v>11.91661594781236</c:v>
                </c:pt>
                <c:pt idx="5">
                  <c:v>13.137060293240257</c:v>
                </c:pt>
                <c:pt idx="6">
                  <c:v>14.216596725415771</c:v>
                </c:pt>
                <c:pt idx="7">
                  <c:v>15.155225244338901</c:v>
                </c:pt>
                <c:pt idx="8">
                  <c:v>15.952945850009652</c:v>
                </c:pt>
                <c:pt idx="9">
                  <c:v>16.609758542428018</c:v>
                </c:pt>
                <c:pt idx="10">
                  <c:v>17.125663321594001</c:v>
                </c:pt>
                <c:pt idx="11">
                  <c:v>17.500660187507602</c:v>
                </c:pt>
                <c:pt idx="12">
                  <c:v>17.73474914016882</c:v>
                </c:pt>
                <c:pt idx="13">
                  <c:v>17.827930179577653</c:v>
                </c:pt>
                <c:pt idx="14">
                  <c:v>17.780203305734105</c:v>
                </c:pt>
                <c:pt idx="15">
                  <c:v>17.591568518638173</c:v>
                </c:pt>
                <c:pt idx="16">
                  <c:v>17.26202581828986</c:v>
                </c:pt>
                <c:pt idx="17">
                  <c:v>16.791575204689156</c:v>
                </c:pt>
                <c:pt idx="18">
                  <c:v>16.180216677836075</c:v>
                </c:pt>
                <c:pt idx="19">
                  <c:v>15.427950237730609</c:v>
                </c:pt>
                <c:pt idx="20">
                  <c:v>14.534775884372761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'Ab10'!$Q$15</c:f>
              <c:strCache>
                <c:ptCount val="1"/>
                <c:pt idx="0">
                  <c:v>Pot [CV]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'Ab10'!$C$17:$C$37</c:f>
              <c:numCache>
                <c:formatCode>0</c:formatCode>
                <c:ptCount val="21"/>
                <c:pt idx="0">
                  <c:v>1400</c:v>
                </c:pt>
                <c:pt idx="1">
                  <c:v>1787.5</c:v>
                </c:pt>
                <c:pt idx="2">
                  <c:v>2175</c:v>
                </c:pt>
                <c:pt idx="3">
                  <c:v>2562.5</c:v>
                </c:pt>
                <c:pt idx="4">
                  <c:v>2950</c:v>
                </c:pt>
                <c:pt idx="5">
                  <c:v>3337.5</c:v>
                </c:pt>
                <c:pt idx="6">
                  <c:v>3725</c:v>
                </c:pt>
                <c:pt idx="7">
                  <c:v>4112.5</c:v>
                </c:pt>
                <c:pt idx="8">
                  <c:v>4500</c:v>
                </c:pt>
                <c:pt idx="9">
                  <c:v>4887.5</c:v>
                </c:pt>
                <c:pt idx="10">
                  <c:v>5275</c:v>
                </c:pt>
                <c:pt idx="11">
                  <c:v>5662.4999999999991</c:v>
                </c:pt>
                <c:pt idx="12">
                  <c:v>6050</c:v>
                </c:pt>
                <c:pt idx="13">
                  <c:v>6437.5</c:v>
                </c:pt>
                <c:pt idx="14">
                  <c:v>6825.0000000000009</c:v>
                </c:pt>
                <c:pt idx="15">
                  <c:v>7212.5000000000009</c:v>
                </c:pt>
                <c:pt idx="16">
                  <c:v>7600.0000000000009</c:v>
                </c:pt>
                <c:pt idx="17">
                  <c:v>7987.5000000000018</c:v>
                </c:pt>
                <c:pt idx="18">
                  <c:v>8375.0000000000018</c:v>
                </c:pt>
                <c:pt idx="19">
                  <c:v>8762.5000000000018</c:v>
                </c:pt>
                <c:pt idx="20">
                  <c:v>9150.0000000000018</c:v>
                </c:pt>
              </c:numCache>
            </c:numRef>
          </c:xVal>
          <c:yVal>
            <c:numRef>
              <c:f>'Ab10'!$Q$17:$Q$37</c:f>
              <c:numCache>
                <c:formatCode>0.00</c:formatCode>
                <c:ptCount val="21"/>
                <c:pt idx="0">
                  <c:v>1.1221486241555445</c:v>
                </c:pt>
                <c:pt idx="1">
                  <c:v>1.8871038544094108</c:v>
                </c:pt>
                <c:pt idx="2">
                  <c:v>2.8053893174917022</c:v>
                </c:pt>
                <c:pt idx="3">
                  <c:v>3.8536666964579949</c:v>
                </c:pt>
                <c:pt idx="4">
                  <c:v>5.0085976743638634</c:v>
                </c:pt>
                <c:pt idx="5">
                  <c:v>6.2468439342648825</c:v>
                </c:pt>
                <c:pt idx="6">
                  <c:v>7.5450671592166279</c:v>
                </c:pt>
                <c:pt idx="7">
                  <c:v>8.8799290322746742</c:v>
                </c:pt>
                <c:pt idx="8">
                  <c:v>10.228091236494597</c:v>
                </c:pt>
                <c:pt idx="9">
                  <c:v>11.566215454931971</c:v>
                </c:pt>
                <c:pt idx="10">
                  <c:v>12.870963370642375</c:v>
                </c:pt>
                <c:pt idx="11">
                  <c:v>14.118996666681374</c:v>
                </c:pt>
                <c:pt idx="12">
                  <c:v>15.286977026104557</c:v>
                </c:pt>
                <c:pt idx="13">
                  <c:v>16.351566131967495</c:v>
                </c:pt>
                <c:pt idx="14">
                  <c:v>17.289425667325755</c:v>
                </c:pt>
                <c:pt idx="15">
                  <c:v>18.077217315234918</c:v>
                </c:pt>
                <c:pt idx="16">
                  <c:v>18.691602758750562</c:v>
                </c:pt>
                <c:pt idx="17">
                  <c:v>19.109243680928255</c:v>
                </c:pt>
                <c:pt idx="18">
                  <c:v>19.306801764823579</c:v>
                </c:pt>
                <c:pt idx="19">
                  <c:v>19.260938693492101</c:v>
                </c:pt>
                <c:pt idx="20">
                  <c:v>18.948316149989406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07616"/>
        <c:axId val="122217984"/>
      </c:scatterChart>
      <c:valAx>
        <c:axId val="12220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Rotação [rpm]</a:t>
                </a:r>
              </a:p>
            </c:rich>
          </c:tx>
          <c:layout>
            <c:manualLayout>
              <c:xMode val="edge"/>
              <c:yMode val="edge"/>
              <c:x val="0.51292181958050664"/>
              <c:y val="0.9161204686877415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22217984"/>
        <c:crosses val="autoZero"/>
        <c:crossBetween val="midCat"/>
      </c:valAx>
      <c:valAx>
        <c:axId val="1222179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eta[%],</a:t>
                </a:r>
                <a:r>
                  <a:rPr lang="en-US" baseline="0"/>
                  <a:t> torque [N.m], potência [CV]</a:t>
                </a:r>
              </a:p>
            </c:rich>
          </c:tx>
          <c:layout>
            <c:manualLayout>
              <c:xMode val="edge"/>
              <c:yMode val="edge"/>
              <c:x val="3.2308038097729849E-2"/>
              <c:y val="0.1915571836630545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2220761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419165017046824"/>
          <c:y val="0.54414490279209904"/>
          <c:w val="0.24566194941008429"/>
          <c:h val="0.1898468073802722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16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5.png"/><Relationship Id="rId1" Type="http://schemas.openxmlformats.org/officeDocument/2006/relationships/image" Target="../media/image10.png"/><Relationship Id="rId5" Type="http://schemas.openxmlformats.org/officeDocument/2006/relationships/image" Target="../media/image18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5.png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7" Type="http://schemas.openxmlformats.org/officeDocument/2006/relationships/image" Target="../media/image14.png"/><Relationship Id="rId2" Type="http://schemas.openxmlformats.org/officeDocument/2006/relationships/image" Target="../media/image15.png"/><Relationship Id="rId1" Type="http://schemas.openxmlformats.org/officeDocument/2006/relationships/image" Target="../media/image10.png"/><Relationship Id="rId6" Type="http://schemas.openxmlformats.org/officeDocument/2006/relationships/image" Target="../media/image18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16</xdr:row>
      <xdr:rowOff>28575</xdr:rowOff>
    </xdr:from>
    <xdr:to>
      <xdr:col>8</xdr:col>
      <xdr:colOff>76200</xdr:colOff>
      <xdr:row>18</xdr:row>
      <xdr:rowOff>190500</xdr:rowOff>
    </xdr:to>
    <xdr:pic>
      <xdr:nvPicPr>
        <xdr:cNvPr id="37" name="Imagem 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8875" y="3514725"/>
          <a:ext cx="162877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95250</xdr:colOff>
      <xdr:row>27</xdr:row>
      <xdr:rowOff>19050</xdr:rowOff>
    </xdr:from>
    <xdr:to>
      <xdr:col>7</xdr:col>
      <xdr:colOff>1543050</xdr:colOff>
      <xdr:row>29</xdr:row>
      <xdr:rowOff>200025</xdr:rowOff>
    </xdr:to>
    <xdr:pic>
      <xdr:nvPicPr>
        <xdr:cNvPr id="44" name="Imagem 4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5524500"/>
          <a:ext cx="144780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2</xdr:row>
      <xdr:rowOff>9525</xdr:rowOff>
    </xdr:from>
    <xdr:to>
      <xdr:col>1</xdr:col>
      <xdr:colOff>1123950</xdr:colOff>
      <xdr:row>8</xdr:row>
      <xdr:rowOff>200025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419100"/>
          <a:ext cx="847725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352425</xdr:colOff>
      <xdr:row>11</xdr:row>
      <xdr:rowOff>38100</xdr:rowOff>
    </xdr:from>
    <xdr:to>
      <xdr:col>1</xdr:col>
      <xdr:colOff>1076325</xdr:colOff>
      <xdr:row>13</xdr:row>
      <xdr:rowOff>180975</xdr:rowOff>
    </xdr:to>
    <xdr:pic>
      <xdr:nvPicPr>
        <xdr:cNvPr id="13" name="Imagem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276475"/>
          <a:ext cx="72390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228600</xdr:colOff>
      <xdr:row>16</xdr:row>
      <xdr:rowOff>9525</xdr:rowOff>
    </xdr:from>
    <xdr:to>
      <xdr:col>1</xdr:col>
      <xdr:colOff>1181100</xdr:colOff>
      <xdr:row>19</xdr:row>
      <xdr:rowOff>200025</xdr:rowOff>
    </xdr:to>
    <xdr:pic>
      <xdr:nvPicPr>
        <xdr:cNvPr id="14" name="Imagem 1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3276600"/>
          <a:ext cx="95250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409575</xdr:colOff>
      <xdr:row>2</xdr:row>
      <xdr:rowOff>38100</xdr:rowOff>
    </xdr:from>
    <xdr:to>
      <xdr:col>7</xdr:col>
      <xdr:colOff>1200150</xdr:colOff>
      <xdr:row>8</xdr:row>
      <xdr:rowOff>180975</xdr:rowOff>
    </xdr:to>
    <xdr:pic>
      <xdr:nvPicPr>
        <xdr:cNvPr id="16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7950" y="447675"/>
          <a:ext cx="790575" cy="1343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466725</xdr:colOff>
      <xdr:row>11</xdr:row>
      <xdr:rowOff>9525</xdr:rowOff>
    </xdr:from>
    <xdr:to>
      <xdr:col>7</xdr:col>
      <xdr:colOff>1171575</xdr:colOff>
      <xdr:row>15</xdr:row>
      <xdr:rowOff>200025</xdr:rowOff>
    </xdr:to>
    <xdr:pic>
      <xdr:nvPicPr>
        <xdr:cNvPr id="17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2247900"/>
          <a:ext cx="7048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304800</xdr:colOff>
      <xdr:row>21</xdr:row>
      <xdr:rowOff>47625</xdr:rowOff>
    </xdr:from>
    <xdr:to>
      <xdr:col>7</xdr:col>
      <xdr:colOff>1343025</xdr:colOff>
      <xdr:row>26</xdr:row>
      <xdr:rowOff>190500</xdr:rowOff>
    </xdr:to>
    <xdr:pic>
      <xdr:nvPicPr>
        <xdr:cNvPr id="19" name="Imagem 1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3175" y="4343400"/>
          <a:ext cx="103822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15</xdr:row>
      <xdr:rowOff>28575</xdr:rowOff>
    </xdr:from>
    <xdr:to>
      <xdr:col>1</xdr:col>
      <xdr:colOff>1028700</xdr:colOff>
      <xdr:row>26</xdr:row>
      <xdr:rowOff>180975</xdr:rowOff>
    </xdr:to>
    <xdr:pic>
      <xdr:nvPicPr>
        <xdr:cNvPr id="10" name="Imagem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3152775"/>
          <a:ext cx="914400" cy="2257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247650</xdr:colOff>
      <xdr:row>6</xdr:row>
      <xdr:rowOff>28575</xdr:rowOff>
    </xdr:from>
    <xdr:to>
      <xdr:col>5</xdr:col>
      <xdr:colOff>971550</xdr:colOff>
      <xdr:row>9</xdr:row>
      <xdr:rowOff>180975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200150"/>
          <a:ext cx="72390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323850</xdr:colOff>
      <xdr:row>11</xdr:row>
      <xdr:rowOff>28575</xdr:rowOff>
    </xdr:from>
    <xdr:to>
      <xdr:col>5</xdr:col>
      <xdr:colOff>828675</xdr:colOff>
      <xdr:row>12</xdr:row>
      <xdr:rowOff>180975</xdr:rowOff>
    </xdr:to>
    <xdr:pic>
      <xdr:nvPicPr>
        <xdr:cNvPr id="14" name="Imagem 1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0" y="2171700"/>
          <a:ext cx="50482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371475</xdr:colOff>
      <xdr:row>1</xdr:row>
      <xdr:rowOff>38100</xdr:rowOff>
    </xdr:from>
    <xdr:to>
      <xdr:col>5</xdr:col>
      <xdr:colOff>809625</xdr:colOff>
      <xdr:row>4</xdr:row>
      <xdr:rowOff>180975</xdr:rowOff>
    </xdr:to>
    <xdr:pic>
      <xdr:nvPicPr>
        <xdr:cNvPr id="16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0" y="238125"/>
          <a:ext cx="43815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2</xdr:row>
      <xdr:rowOff>38100</xdr:rowOff>
    </xdr:from>
    <xdr:to>
      <xdr:col>1</xdr:col>
      <xdr:colOff>1009650</xdr:colOff>
      <xdr:row>13</xdr:row>
      <xdr:rowOff>180975</xdr:rowOff>
    </xdr:to>
    <xdr:pic>
      <xdr:nvPicPr>
        <xdr:cNvPr id="12" name="Imagem 1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428625"/>
          <a:ext cx="866775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161925</xdr:colOff>
      <xdr:row>14</xdr:row>
      <xdr:rowOff>19050</xdr:rowOff>
    </xdr:from>
    <xdr:to>
      <xdr:col>5</xdr:col>
      <xdr:colOff>1000125</xdr:colOff>
      <xdr:row>20</xdr:row>
      <xdr:rowOff>180975</xdr:rowOff>
    </xdr:to>
    <xdr:pic>
      <xdr:nvPicPr>
        <xdr:cNvPr id="18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752725"/>
          <a:ext cx="83820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17</xdr:row>
      <xdr:rowOff>28575</xdr:rowOff>
    </xdr:from>
    <xdr:to>
      <xdr:col>1</xdr:col>
      <xdr:colOff>990600</xdr:colOff>
      <xdr:row>28</xdr:row>
      <xdr:rowOff>180975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333750"/>
          <a:ext cx="914400" cy="2257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409575</xdr:colOff>
      <xdr:row>8</xdr:row>
      <xdr:rowOff>28575</xdr:rowOff>
    </xdr:from>
    <xdr:to>
      <xdr:col>5</xdr:col>
      <xdr:colOff>1133475</xdr:colOff>
      <xdr:row>11</xdr:row>
      <xdr:rowOff>180975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775" y="1581150"/>
          <a:ext cx="72390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523875</xdr:colOff>
      <xdr:row>1</xdr:row>
      <xdr:rowOff>28575</xdr:rowOff>
    </xdr:from>
    <xdr:to>
      <xdr:col>5</xdr:col>
      <xdr:colOff>1114425</xdr:colOff>
      <xdr:row>6</xdr:row>
      <xdr:rowOff>180975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350" y="228600"/>
          <a:ext cx="59055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276225</xdr:colOff>
      <xdr:row>13</xdr:row>
      <xdr:rowOff>28575</xdr:rowOff>
    </xdr:from>
    <xdr:to>
      <xdr:col>5</xdr:col>
      <xdr:colOff>1114425</xdr:colOff>
      <xdr:row>19</xdr:row>
      <xdr:rowOff>180975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2552700"/>
          <a:ext cx="83820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123825</xdr:colOff>
      <xdr:row>2</xdr:row>
      <xdr:rowOff>19050</xdr:rowOff>
    </xdr:from>
    <xdr:to>
      <xdr:col>2</xdr:col>
      <xdr:colOff>66675</xdr:colOff>
      <xdr:row>15</xdr:row>
      <xdr:rowOff>171450</xdr:rowOff>
    </xdr:to>
    <xdr:pic>
      <xdr:nvPicPr>
        <xdr:cNvPr id="9" name="Imagem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09575"/>
          <a:ext cx="1057275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276225</xdr:colOff>
      <xdr:row>8</xdr:row>
      <xdr:rowOff>28575</xdr:rowOff>
    </xdr:from>
    <xdr:to>
      <xdr:col>9</xdr:col>
      <xdr:colOff>1000125</xdr:colOff>
      <xdr:row>11</xdr:row>
      <xdr:rowOff>180975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581150"/>
          <a:ext cx="72390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390525</xdr:colOff>
      <xdr:row>1</xdr:row>
      <xdr:rowOff>28575</xdr:rowOff>
    </xdr:from>
    <xdr:to>
      <xdr:col>9</xdr:col>
      <xdr:colOff>981075</xdr:colOff>
      <xdr:row>6</xdr:row>
      <xdr:rowOff>180975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228600"/>
          <a:ext cx="59055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2</xdr:row>
      <xdr:rowOff>28575</xdr:rowOff>
    </xdr:from>
    <xdr:to>
      <xdr:col>2</xdr:col>
      <xdr:colOff>104775</xdr:colOff>
      <xdr:row>17</xdr:row>
      <xdr:rowOff>180975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419100"/>
          <a:ext cx="733425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133350</xdr:colOff>
      <xdr:row>13</xdr:row>
      <xdr:rowOff>19050</xdr:rowOff>
    </xdr:from>
    <xdr:to>
      <xdr:col>9</xdr:col>
      <xdr:colOff>971550</xdr:colOff>
      <xdr:row>19</xdr:row>
      <xdr:rowOff>180975</xdr:rowOff>
    </xdr:to>
    <xdr:pic>
      <xdr:nvPicPr>
        <xdr:cNvPr id="8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2543175"/>
          <a:ext cx="83820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47625</xdr:colOff>
      <xdr:row>1</xdr:row>
      <xdr:rowOff>38100</xdr:rowOff>
    </xdr:from>
    <xdr:to>
      <xdr:col>6</xdr:col>
      <xdr:colOff>19050</xdr:colOff>
      <xdr:row>20</xdr:row>
      <xdr:rowOff>180975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238125"/>
          <a:ext cx="866775" cy="381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304800</xdr:colOff>
      <xdr:row>8</xdr:row>
      <xdr:rowOff>28575</xdr:rowOff>
    </xdr:from>
    <xdr:to>
      <xdr:col>9</xdr:col>
      <xdr:colOff>1028700</xdr:colOff>
      <xdr:row>11</xdr:row>
      <xdr:rowOff>180975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581150"/>
          <a:ext cx="72390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419100</xdr:colOff>
      <xdr:row>1</xdr:row>
      <xdr:rowOff>28575</xdr:rowOff>
    </xdr:from>
    <xdr:to>
      <xdr:col>9</xdr:col>
      <xdr:colOff>1009650</xdr:colOff>
      <xdr:row>6</xdr:row>
      <xdr:rowOff>180975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228600"/>
          <a:ext cx="59055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2</xdr:row>
      <xdr:rowOff>28575</xdr:rowOff>
    </xdr:from>
    <xdr:to>
      <xdr:col>2</xdr:col>
      <xdr:colOff>104775</xdr:colOff>
      <xdr:row>17</xdr:row>
      <xdr:rowOff>180975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419100"/>
          <a:ext cx="733425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38100</xdr:colOff>
      <xdr:row>1</xdr:row>
      <xdr:rowOff>38100</xdr:rowOff>
    </xdr:from>
    <xdr:to>
      <xdr:col>6</xdr:col>
      <xdr:colOff>9525</xdr:colOff>
      <xdr:row>20</xdr:row>
      <xdr:rowOff>180975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8050" y="238125"/>
          <a:ext cx="866775" cy="381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133350</xdr:colOff>
      <xdr:row>13</xdr:row>
      <xdr:rowOff>19050</xdr:rowOff>
    </xdr:from>
    <xdr:to>
      <xdr:col>9</xdr:col>
      <xdr:colOff>971550</xdr:colOff>
      <xdr:row>19</xdr:row>
      <xdr:rowOff>180975</xdr:rowOff>
    </xdr:to>
    <xdr:pic>
      <xdr:nvPicPr>
        <xdr:cNvPr id="8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2543175"/>
          <a:ext cx="83820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400050</xdr:colOff>
      <xdr:row>8</xdr:row>
      <xdr:rowOff>28575</xdr:rowOff>
    </xdr:from>
    <xdr:to>
      <xdr:col>9</xdr:col>
      <xdr:colOff>1123950</xdr:colOff>
      <xdr:row>11</xdr:row>
      <xdr:rowOff>180975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581150"/>
          <a:ext cx="72390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514350</xdr:colOff>
      <xdr:row>1</xdr:row>
      <xdr:rowOff>38100</xdr:rowOff>
    </xdr:from>
    <xdr:to>
      <xdr:col>9</xdr:col>
      <xdr:colOff>1104900</xdr:colOff>
      <xdr:row>6</xdr:row>
      <xdr:rowOff>190500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238125"/>
          <a:ext cx="59055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2</xdr:row>
      <xdr:rowOff>19050</xdr:rowOff>
    </xdr:from>
    <xdr:to>
      <xdr:col>2</xdr:col>
      <xdr:colOff>95250</xdr:colOff>
      <xdr:row>17</xdr:row>
      <xdr:rowOff>171450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409575"/>
          <a:ext cx="733425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21</xdr:row>
      <xdr:rowOff>19050</xdr:rowOff>
    </xdr:from>
    <xdr:to>
      <xdr:col>2</xdr:col>
      <xdr:colOff>123825</xdr:colOff>
      <xdr:row>26</xdr:row>
      <xdr:rowOff>180975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095750"/>
          <a:ext cx="742950" cy="113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</xdr:colOff>
      <xdr:row>22</xdr:row>
      <xdr:rowOff>19050</xdr:rowOff>
    </xdr:from>
    <xdr:to>
      <xdr:col>5</xdr:col>
      <xdr:colOff>638175</xdr:colOff>
      <xdr:row>23</xdr:row>
      <xdr:rowOff>180975</xdr:rowOff>
    </xdr:to>
    <xdr:pic>
      <xdr:nvPicPr>
        <xdr:cNvPr id="8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4295775"/>
          <a:ext cx="6191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47625</xdr:colOff>
      <xdr:row>1</xdr:row>
      <xdr:rowOff>38100</xdr:rowOff>
    </xdr:from>
    <xdr:to>
      <xdr:col>6</xdr:col>
      <xdr:colOff>19050</xdr:colOff>
      <xdr:row>20</xdr:row>
      <xdr:rowOff>180975</xdr:rowOff>
    </xdr:to>
    <xdr:pic>
      <xdr:nvPicPr>
        <xdr:cNvPr id="9" name="Imagem 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238125"/>
          <a:ext cx="866775" cy="381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209550</xdr:colOff>
      <xdr:row>13</xdr:row>
      <xdr:rowOff>19050</xdr:rowOff>
    </xdr:from>
    <xdr:to>
      <xdr:col>9</xdr:col>
      <xdr:colOff>1047750</xdr:colOff>
      <xdr:row>19</xdr:row>
      <xdr:rowOff>180975</xdr:rowOff>
    </xdr:to>
    <xdr:pic>
      <xdr:nvPicPr>
        <xdr:cNvPr id="10" name="Imagem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2543175"/>
          <a:ext cx="83820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4</xdr:row>
      <xdr:rowOff>19050</xdr:rowOff>
    </xdr:from>
    <xdr:to>
      <xdr:col>16</xdr:col>
      <xdr:colOff>552450</xdr:colOff>
      <xdr:row>22</xdr:row>
      <xdr:rowOff>180976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6</xdr:row>
      <xdr:rowOff>171450</xdr:rowOff>
    </xdr:from>
    <xdr:to>
      <xdr:col>18</xdr:col>
      <xdr:colOff>209550</xdr:colOff>
      <xdr:row>25</xdr:row>
      <xdr:rowOff>133351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571499</xdr:colOff>
      <xdr:row>1</xdr:row>
      <xdr:rowOff>161924</xdr:rowOff>
    </xdr:from>
    <xdr:to>
      <xdr:col>24</xdr:col>
      <xdr:colOff>76200</xdr:colOff>
      <xdr:row>20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76200</xdr:colOff>
      <xdr:row>21</xdr:row>
      <xdr:rowOff>95250</xdr:rowOff>
    </xdr:from>
    <xdr:to>
      <xdr:col>24</xdr:col>
      <xdr:colOff>276226</xdr:colOff>
      <xdr:row>40</xdr:row>
      <xdr:rowOff>95251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352425</xdr:colOff>
      <xdr:row>1</xdr:row>
      <xdr:rowOff>161925</xdr:rowOff>
    </xdr:from>
    <xdr:to>
      <xdr:col>28</xdr:col>
      <xdr:colOff>962026</xdr:colOff>
      <xdr:row>20</xdr:row>
      <xdr:rowOff>133351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0"/>
  <sheetViews>
    <sheetView tabSelected="1" zoomScaleNormal="100" workbookViewId="0">
      <selection activeCell="H36" sqref="H36"/>
    </sheetView>
  </sheetViews>
  <sheetFormatPr defaultRowHeight="15" x14ac:dyDescent="0.25"/>
  <cols>
    <col min="1" max="1" width="9.140625" style="93"/>
    <col min="2" max="2" width="20.5703125" style="93" bestFit="1" customWidth="1"/>
    <col min="3" max="3" width="18.42578125" style="93" customWidth="1"/>
    <col min="4" max="4" width="11.140625" style="93" customWidth="1"/>
    <col min="5" max="5" width="12.28515625" style="93" customWidth="1"/>
    <col min="6" max="6" width="14.42578125" style="93" customWidth="1"/>
    <col min="7" max="7" width="4.7109375" style="93" customWidth="1"/>
    <col min="8" max="8" width="23.85546875" style="93" customWidth="1"/>
    <col min="9" max="9" width="14" style="93" customWidth="1"/>
    <col min="10" max="10" width="13.42578125" style="93" customWidth="1"/>
    <col min="11" max="11" width="16" style="93" customWidth="1"/>
    <col min="12" max="12" width="9" style="93" customWidth="1"/>
    <col min="13" max="13" width="11" style="93" customWidth="1"/>
    <col min="14" max="14" width="23.28515625" style="93" customWidth="1"/>
    <col min="15" max="15" width="12.42578125" style="93" customWidth="1"/>
    <col min="16" max="16" width="20.5703125" style="93" customWidth="1"/>
    <col min="17" max="17" width="12.85546875" style="93" customWidth="1"/>
    <col min="18" max="18" width="7.7109375" style="93" customWidth="1"/>
    <col min="19" max="16384" width="9.140625" style="93"/>
  </cols>
  <sheetData>
    <row r="1" spans="2:18" ht="15.75" thickBot="1" x14ac:dyDescent="0.3">
      <c r="B1" s="1" t="s">
        <v>179</v>
      </c>
    </row>
    <row r="2" spans="2:18" ht="16.5" thickBot="1" x14ac:dyDescent="0.3">
      <c r="B2" s="138" t="s">
        <v>167</v>
      </c>
      <c r="C2" s="139"/>
      <c r="D2" s="140"/>
      <c r="E2" s="138" t="s">
        <v>141</v>
      </c>
      <c r="F2" s="141"/>
      <c r="G2" s="142"/>
      <c r="H2" s="153" t="s">
        <v>170</v>
      </c>
      <c r="I2" s="143"/>
      <c r="J2" s="144"/>
      <c r="K2" s="153" t="s">
        <v>141</v>
      </c>
      <c r="L2" s="132"/>
      <c r="Q2" s="142"/>
    </row>
    <row r="3" spans="2:18" ht="15.75" x14ac:dyDescent="0.25">
      <c r="B3" s="134" t="s">
        <v>130</v>
      </c>
      <c r="C3" s="145" t="s">
        <v>7</v>
      </c>
      <c r="D3" s="156">
        <v>0.15</v>
      </c>
      <c r="E3" s="138" t="s">
        <v>142</v>
      </c>
      <c r="F3" s="141">
        <f>D3*1000</f>
        <v>150</v>
      </c>
      <c r="G3" s="142"/>
      <c r="H3" s="134" t="s">
        <v>130</v>
      </c>
      <c r="I3" s="145" t="s">
        <v>8</v>
      </c>
      <c r="J3" s="173">
        <f>D3/0.735</f>
        <v>0.20408163265306123</v>
      </c>
      <c r="K3" s="136" t="s">
        <v>142</v>
      </c>
      <c r="L3" s="27">
        <f>J3*0.735*1000</f>
        <v>150</v>
      </c>
      <c r="Q3" s="142"/>
    </row>
    <row r="4" spans="2:18" ht="15.75" x14ac:dyDescent="0.25">
      <c r="B4" s="135" t="s">
        <v>154</v>
      </c>
      <c r="C4" s="146"/>
      <c r="D4" s="161">
        <v>0.22</v>
      </c>
      <c r="E4" s="136"/>
      <c r="F4" s="147"/>
      <c r="G4" s="142"/>
      <c r="H4" s="170" t="s">
        <v>161</v>
      </c>
      <c r="I4" s="146" t="s">
        <v>7</v>
      </c>
      <c r="J4" s="171">
        <f>D3/D4</f>
        <v>0.68181818181818177</v>
      </c>
      <c r="K4" s="136" t="s">
        <v>142</v>
      </c>
      <c r="L4" s="27">
        <f>J4*1000</f>
        <v>681.81818181818176</v>
      </c>
      <c r="Q4" s="142"/>
    </row>
    <row r="5" spans="2:18" ht="15.75" x14ac:dyDescent="0.25">
      <c r="B5" s="136" t="s">
        <v>149</v>
      </c>
      <c r="C5" s="146" t="s">
        <v>0</v>
      </c>
      <c r="D5" s="161">
        <v>18</v>
      </c>
      <c r="E5" s="136" t="s">
        <v>143</v>
      </c>
      <c r="F5" s="148">
        <f>D5/3.6</f>
        <v>5</v>
      </c>
      <c r="G5" s="142"/>
      <c r="H5" s="167" t="s">
        <v>78</v>
      </c>
      <c r="I5" s="146" t="s">
        <v>131</v>
      </c>
      <c r="J5" s="171">
        <f>J4/D6*3600</f>
        <v>5.7082452431289635E-2</v>
      </c>
      <c r="K5" s="136" t="s">
        <v>74</v>
      </c>
      <c r="L5" s="101">
        <f>J5/3600</f>
        <v>1.5856236786469344E-5</v>
      </c>
      <c r="Q5" s="142"/>
    </row>
    <row r="6" spans="2:18" ht="15.75" x14ac:dyDescent="0.25">
      <c r="B6" s="135" t="s">
        <v>3</v>
      </c>
      <c r="C6" s="146" t="s">
        <v>33</v>
      </c>
      <c r="D6" s="161">
        <v>43000</v>
      </c>
      <c r="E6" s="136" t="s">
        <v>148</v>
      </c>
      <c r="F6" s="147">
        <f>D6*1000</f>
        <v>43000000</v>
      </c>
      <c r="G6" s="142"/>
      <c r="H6" s="168" t="s">
        <v>158</v>
      </c>
      <c r="I6" s="146" t="s">
        <v>79</v>
      </c>
      <c r="J6" s="171">
        <f>J5/D7</f>
        <v>7.6620741518509575E-2</v>
      </c>
      <c r="K6" s="136" t="s">
        <v>150</v>
      </c>
      <c r="L6" s="101">
        <f>J6/1000</f>
        <v>7.6620741518509581E-5</v>
      </c>
      <c r="Q6" s="142"/>
    </row>
    <row r="7" spans="2:18" ht="15.75" x14ac:dyDescent="0.25">
      <c r="B7" s="135" t="s">
        <v>2</v>
      </c>
      <c r="C7" s="146" t="s">
        <v>39</v>
      </c>
      <c r="D7" s="161">
        <v>0.745</v>
      </c>
      <c r="E7" s="136" t="s">
        <v>145</v>
      </c>
      <c r="F7" s="147">
        <f>D7*1000</f>
        <v>745</v>
      </c>
      <c r="G7" s="142"/>
      <c r="H7" s="136" t="s">
        <v>177</v>
      </c>
      <c r="I7" s="146" t="s">
        <v>80</v>
      </c>
      <c r="J7" s="171">
        <f>J5*D9</f>
        <v>0.17627061310782241</v>
      </c>
      <c r="K7" s="136" t="s">
        <v>151</v>
      </c>
      <c r="L7" s="101">
        <f>J7/3600</f>
        <v>4.8964059196617335E-5</v>
      </c>
      <c r="Q7" s="142"/>
    </row>
    <row r="8" spans="2:18" ht="15.75" x14ac:dyDescent="0.25">
      <c r="B8" s="135" t="s">
        <v>159</v>
      </c>
      <c r="C8" s="146" t="s">
        <v>132</v>
      </c>
      <c r="D8" s="161">
        <v>3.5</v>
      </c>
      <c r="E8" s="136" t="s">
        <v>144</v>
      </c>
      <c r="F8" s="147">
        <f>D8*1000</f>
        <v>3500</v>
      </c>
      <c r="G8" s="142"/>
      <c r="H8" s="136" t="s">
        <v>155</v>
      </c>
      <c r="I8" s="146" t="s">
        <v>133</v>
      </c>
      <c r="J8" s="175">
        <f>J6*D8/D5</f>
        <v>1.4898477517487971E-2</v>
      </c>
      <c r="K8" s="136" t="s">
        <v>153</v>
      </c>
      <c r="L8" s="101">
        <f>J8/1000</f>
        <v>1.4898477517487971E-5</v>
      </c>
      <c r="Q8" s="142"/>
    </row>
    <row r="9" spans="2:18" ht="16.5" thickBot="1" x14ac:dyDescent="0.3">
      <c r="B9" s="137" t="s">
        <v>175</v>
      </c>
      <c r="C9" s="149" t="s">
        <v>77</v>
      </c>
      <c r="D9" s="166">
        <v>3.0880000000000001</v>
      </c>
      <c r="E9" s="150"/>
      <c r="F9" s="151"/>
      <c r="G9" s="142"/>
      <c r="H9" s="150" t="s">
        <v>156</v>
      </c>
      <c r="I9" s="149" t="s">
        <v>81</v>
      </c>
      <c r="J9" s="155">
        <f>D5/J6</f>
        <v>234.92333333333337</v>
      </c>
      <c r="K9" s="150" t="s">
        <v>152</v>
      </c>
      <c r="L9" s="133">
        <f>J9/1000</f>
        <v>0.23492333333333337</v>
      </c>
      <c r="Q9" s="142"/>
    </row>
    <row r="10" spans="2:18" ht="16.5" thickBot="1" x14ac:dyDescent="0.3">
      <c r="B10" s="142"/>
      <c r="C10" s="142"/>
      <c r="D10" s="142"/>
      <c r="E10" s="152"/>
      <c r="F10" s="152"/>
      <c r="G10" s="142"/>
      <c r="H10" s="158"/>
      <c r="I10" s="158"/>
      <c r="J10" s="159"/>
      <c r="K10" s="142"/>
      <c r="Q10" s="142"/>
    </row>
    <row r="11" spans="2:18" ht="16.5" thickBot="1" x14ac:dyDescent="0.3">
      <c r="B11" s="164" t="s">
        <v>168</v>
      </c>
      <c r="C11" s="165"/>
      <c r="D11" s="154"/>
      <c r="E11" s="153" t="s">
        <v>141</v>
      </c>
      <c r="F11" s="154"/>
      <c r="G11" s="142"/>
      <c r="H11" s="153" t="s">
        <v>171</v>
      </c>
      <c r="I11" s="143"/>
      <c r="J11" s="144"/>
      <c r="K11" s="142"/>
      <c r="Q11" s="142"/>
    </row>
    <row r="12" spans="2:18" ht="15.75" x14ac:dyDescent="0.25">
      <c r="B12" s="135" t="s">
        <v>163</v>
      </c>
      <c r="C12" s="146" t="s">
        <v>134</v>
      </c>
      <c r="D12" s="161">
        <v>0.6</v>
      </c>
      <c r="E12" s="136" t="s">
        <v>146</v>
      </c>
      <c r="F12" s="157">
        <f>D12/3600/1000</f>
        <v>1.6666666666666665E-7</v>
      </c>
      <c r="G12" s="142"/>
      <c r="H12" s="135" t="s">
        <v>130</v>
      </c>
      <c r="I12" s="146" t="s">
        <v>8</v>
      </c>
      <c r="J12" s="171">
        <f>D3/0.735</f>
        <v>0.20408163265306123</v>
      </c>
      <c r="K12" s="142"/>
      <c r="Q12" s="142"/>
    </row>
    <row r="13" spans="2:18" ht="15.75" x14ac:dyDescent="0.25">
      <c r="B13" s="160" t="s">
        <v>164</v>
      </c>
      <c r="C13" s="146"/>
      <c r="D13" s="161">
        <v>0.7</v>
      </c>
      <c r="E13" s="136"/>
      <c r="F13" s="147"/>
      <c r="G13" s="142"/>
      <c r="H13" s="135" t="s">
        <v>161</v>
      </c>
      <c r="I13" s="146" t="s">
        <v>7</v>
      </c>
      <c r="J13" s="171">
        <f>D3/D13</f>
        <v>0.2142857142857143</v>
      </c>
      <c r="K13" s="142"/>
      <c r="Q13" s="142"/>
    </row>
    <row r="14" spans="2:18" ht="16.5" thickBot="1" x14ac:dyDescent="0.3">
      <c r="B14" s="150" t="s">
        <v>176</v>
      </c>
      <c r="C14" s="149" t="s">
        <v>135</v>
      </c>
      <c r="D14" s="162">
        <v>0.3</v>
      </c>
      <c r="E14" s="150" t="s">
        <v>147</v>
      </c>
      <c r="F14" s="163">
        <f>D14/3600/1000</f>
        <v>8.3333333333333325E-8</v>
      </c>
      <c r="G14" s="142"/>
      <c r="H14" s="136" t="s">
        <v>161</v>
      </c>
      <c r="I14" s="146" t="s">
        <v>138</v>
      </c>
      <c r="J14" s="171">
        <f>J13*3600/3600</f>
        <v>0.2142857142857143</v>
      </c>
      <c r="K14" s="142"/>
      <c r="L14" s="142"/>
      <c r="M14" s="142"/>
      <c r="Q14" s="142"/>
      <c r="R14" s="142"/>
    </row>
    <row r="15" spans="2:18" ht="16.5" thickBot="1" x14ac:dyDescent="0.3">
      <c r="B15" s="142"/>
      <c r="C15" s="142"/>
      <c r="D15" s="142"/>
      <c r="E15" s="152"/>
      <c r="F15" s="158"/>
      <c r="G15" s="158"/>
      <c r="H15" s="136" t="s">
        <v>177</v>
      </c>
      <c r="I15" s="146" t="s">
        <v>80</v>
      </c>
      <c r="J15" s="171">
        <f>J14*D14</f>
        <v>6.4285714285714293E-2</v>
      </c>
      <c r="K15" s="142"/>
      <c r="L15" s="142"/>
      <c r="M15" s="142"/>
      <c r="Q15" s="142"/>
      <c r="R15" s="142"/>
    </row>
    <row r="16" spans="2:18" ht="16.5" thickBot="1" x14ac:dyDescent="0.3">
      <c r="B16" s="164" t="s">
        <v>169</v>
      </c>
      <c r="C16" s="165"/>
      <c r="D16" s="154"/>
      <c r="E16" s="153" t="s">
        <v>141</v>
      </c>
      <c r="F16" s="154"/>
      <c r="G16" s="158"/>
      <c r="H16" s="136" t="s">
        <v>155</v>
      </c>
      <c r="I16" s="146" t="s">
        <v>133</v>
      </c>
      <c r="J16" s="175">
        <f>J14*D12/D5</f>
        <v>7.1428571428571435E-3</v>
      </c>
      <c r="K16" s="142"/>
      <c r="L16" s="142"/>
      <c r="M16" s="142"/>
      <c r="Q16" s="142"/>
      <c r="R16" s="142"/>
    </row>
    <row r="17" spans="2:18" ht="15.75" x14ac:dyDescent="0.25">
      <c r="B17" s="136" t="s">
        <v>3</v>
      </c>
      <c r="C17" s="146" t="s">
        <v>136</v>
      </c>
      <c r="D17" s="161">
        <v>2800</v>
      </c>
      <c r="E17" s="136" t="s">
        <v>148</v>
      </c>
      <c r="F17" s="147">
        <f>D17*4.186*1000</f>
        <v>11720800</v>
      </c>
      <c r="G17" s="158"/>
      <c r="H17" s="172" t="s">
        <v>157</v>
      </c>
      <c r="I17" s="145" t="s">
        <v>131</v>
      </c>
      <c r="J17" s="173">
        <f>J13/D6*3600</f>
        <v>1.7940199335548176E-2</v>
      </c>
      <c r="K17" s="142"/>
      <c r="L17" s="142"/>
      <c r="M17" s="142"/>
      <c r="Q17" s="142"/>
      <c r="R17" s="142"/>
    </row>
    <row r="18" spans="2:18" ht="15.75" x14ac:dyDescent="0.25">
      <c r="B18" s="135" t="s">
        <v>160</v>
      </c>
      <c r="C18" s="146" t="s">
        <v>137</v>
      </c>
      <c r="D18" s="161">
        <v>7.5</v>
      </c>
      <c r="E18" s="136"/>
      <c r="F18" s="147"/>
      <c r="G18" s="158"/>
      <c r="H18" s="167" t="s">
        <v>165</v>
      </c>
      <c r="I18" s="146" t="s">
        <v>79</v>
      </c>
      <c r="J18" s="171">
        <f>J17/D7</f>
        <v>2.4080804477245876E-2</v>
      </c>
      <c r="K18" s="142"/>
      <c r="L18" s="142"/>
      <c r="M18" s="142"/>
      <c r="Q18" s="142"/>
      <c r="R18" s="142"/>
    </row>
    <row r="19" spans="2:18" ht="16.5" thickBot="1" x14ac:dyDescent="0.3">
      <c r="B19" s="160" t="s">
        <v>164</v>
      </c>
      <c r="C19" s="146"/>
      <c r="D19" s="161">
        <v>0.22</v>
      </c>
      <c r="E19" s="136"/>
      <c r="F19" s="147"/>
      <c r="G19" s="158"/>
      <c r="H19" s="150" t="s">
        <v>166</v>
      </c>
      <c r="I19" s="149" t="s">
        <v>139</v>
      </c>
      <c r="J19" s="155">
        <f>D5/J18</f>
        <v>747.48333333333312</v>
      </c>
      <c r="K19" s="142"/>
      <c r="L19" s="142"/>
      <c r="M19" s="142"/>
      <c r="Q19" s="142"/>
      <c r="R19" s="142"/>
    </row>
    <row r="20" spans="2:18" ht="16.5" thickBot="1" x14ac:dyDescent="0.3">
      <c r="B20" s="137" t="s">
        <v>175</v>
      </c>
      <c r="C20" s="149" t="s">
        <v>162</v>
      </c>
      <c r="D20" s="166">
        <v>0.75</v>
      </c>
      <c r="E20" s="150"/>
      <c r="F20" s="151"/>
      <c r="G20" s="158"/>
      <c r="H20" s="142"/>
      <c r="I20" s="142"/>
      <c r="J20" s="142"/>
      <c r="K20" s="142"/>
      <c r="L20" s="142"/>
      <c r="M20" s="142"/>
      <c r="Q20" s="142"/>
      <c r="R20" s="142"/>
    </row>
    <row r="21" spans="2:18" ht="16.5" thickBot="1" x14ac:dyDescent="0.3">
      <c r="B21" s="19"/>
      <c r="C21" s="19"/>
      <c r="D21" s="131"/>
      <c r="F21" s="19"/>
      <c r="G21" s="19"/>
      <c r="H21" s="153" t="s">
        <v>172</v>
      </c>
      <c r="I21" s="143"/>
      <c r="J21" s="144"/>
    </row>
    <row r="22" spans="2:18" ht="15.75" x14ac:dyDescent="0.25">
      <c r="B22" s="19"/>
      <c r="C22" s="19"/>
      <c r="D22" s="121"/>
      <c r="F22" s="94"/>
      <c r="G22" s="94"/>
      <c r="H22" s="169" t="s">
        <v>130</v>
      </c>
      <c r="I22" s="146" t="s">
        <v>8</v>
      </c>
      <c r="J22" s="171">
        <f>D3/0.735</f>
        <v>0.20408163265306123</v>
      </c>
      <c r="K22" s="94"/>
      <c r="L22" s="94"/>
    </row>
    <row r="23" spans="2:18" ht="15.75" x14ac:dyDescent="0.25">
      <c r="B23" s="16"/>
      <c r="C23" s="16"/>
      <c r="D23" s="16"/>
      <c r="G23" s="94"/>
      <c r="H23" s="136" t="s">
        <v>161</v>
      </c>
      <c r="I23" s="146" t="s">
        <v>7</v>
      </c>
      <c r="J23" s="171">
        <f>D3/D19</f>
        <v>0.68181818181818177</v>
      </c>
      <c r="K23" s="94"/>
      <c r="L23" s="94"/>
      <c r="M23" s="94"/>
    </row>
    <row r="24" spans="2:18" ht="15.75" x14ac:dyDescent="0.25">
      <c r="H24" s="136" t="s">
        <v>161</v>
      </c>
      <c r="I24" s="146" t="s">
        <v>140</v>
      </c>
      <c r="J24" s="177">
        <f>J23*3600/4.186</f>
        <v>586.37015158754286</v>
      </c>
      <c r="M24" s="94"/>
    </row>
    <row r="25" spans="2:18" ht="15.75" x14ac:dyDescent="0.25">
      <c r="H25" s="136" t="s">
        <v>78</v>
      </c>
      <c r="I25" s="146" t="s">
        <v>131</v>
      </c>
      <c r="J25" s="171">
        <f>J24/D17</f>
        <v>0.2094179112812653</v>
      </c>
    </row>
    <row r="26" spans="2:18" ht="15.75" x14ac:dyDescent="0.25">
      <c r="H26" s="136" t="s">
        <v>177</v>
      </c>
      <c r="I26" s="146" t="s">
        <v>80</v>
      </c>
      <c r="J26" s="171">
        <f>J25*D20</f>
        <v>0.15706343346094898</v>
      </c>
    </row>
    <row r="27" spans="2:18" ht="16.5" thickBot="1" x14ac:dyDescent="0.3">
      <c r="H27" s="150" t="s">
        <v>155</v>
      </c>
      <c r="I27" s="149" t="s">
        <v>133</v>
      </c>
      <c r="J27" s="176">
        <f>J25*D18/D5</f>
        <v>8.7257463033860547E-2</v>
      </c>
    </row>
    <row r="28" spans="2:18" ht="15.75" x14ac:dyDescent="0.25">
      <c r="H28" s="172" t="s">
        <v>157</v>
      </c>
      <c r="I28" s="145" t="s">
        <v>131</v>
      </c>
      <c r="J28" s="173">
        <f>J23/D6*3600</f>
        <v>5.7082452431289635E-2</v>
      </c>
    </row>
    <row r="29" spans="2:18" ht="15.75" x14ac:dyDescent="0.25">
      <c r="H29" s="167" t="s">
        <v>165</v>
      </c>
      <c r="I29" s="146" t="s">
        <v>79</v>
      </c>
      <c r="J29" s="171">
        <f>J28/D7</f>
        <v>7.6620741518509575E-2</v>
      </c>
    </row>
    <row r="30" spans="2:18" ht="16.5" thickBot="1" x14ac:dyDescent="0.3">
      <c r="H30" s="150" t="s">
        <v>166</v>
      </c>
      <c r="I30" s="149" t="s">
        <v>139</v>
      </c>
      <c r="J30" s="174">
        <f>D5/J29</f>
        <v>234.92333333333337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"/>
  <sheetViews>
    <sheetView topLeftCell="I2" workbookViewId="0">
      <selection activeCell="B1" sqref="B1"/>
    </sheetView>
  </sheetViews>
  <sheetFormatPr defaultColWidth="15.7109375" defaultRowHeight="15" x14ac:dyDescent="0.25"/>
  <cols>
    <col min="1" max="1" width="15.7109375" style="16"/>
    <col min="2" max="2" width="17.85546875" style="16" bestFit="1" customWidth="1"/>
    <col min="3" max="3" width="6" style="16" bestFit="1" customWidth="1"/>
    <col min="4" max="4" width="8.28515625" style="16" bestFit="1" customWidth="1"/>
    <col min="5" max="5" width="8.5703125" style="16" bestFit="1" customWidth="1"/>
    <col min="6" max="6" width="8.28515625" style="16" bestFit="1" customWidth="1"/>
    <col min="7" max="7" width="5" style="16" bestFit="1" customWidth="1"/>
    <col min="8" max="8" width="17.28515625" style="16" bestFit="1" customWidth="1"/>
    <col min="9" max="10" width="5.5703125" style="16" bestFit="1" customWidth="1"/>
    <col min="11" max="11" width="5" style="16" customWidth="1"/>
    <col min="12" max="13" width="5.5703125" style="16" bestFit="1" customWidth="1"/>
    <col min="14" max="14" width="5.5703125" style="16" customWidth="1"/>
    <col min="15" max="15" width="7" style="16" customWidth="1"/>
    <col min="16" max="16" width="12.85546875" style="16" customWidth="1"/>
    <col min="17" max="17" width="9.28515625" style="16" customWidth="1"/>
    <col min="18" max="18" width="12.28515625" style="16" customWidth="1"/>
    <col min="19" max="19" width="10.42578125" style="16" customWidth="1"/>
    <col min="20" max="20" width="12.140625" style="16" customWidth="1"/>
    <col min="21" max="21" width="9.7109375" style="16" customWidth="1"/>
    <col min="22" max="16384" width="15.7109375" style="16"/>
  </cols>
  <sheetData>
    <row r="1" spans="2:18" ht="15.75" thickBot="1" x14ac:dyDescent="0.3">
      <c r="B1" s="1" t="s">
        <v>179</v>
      </c>
    </row>
    <row r="2" spans="2:18" x14ac:dyDescent="0.25">
      <c r="B2" s="85" t="s">
        <v>9</v>
      </c>
      <c r="C2" s="86"/>
      <c r="D2" s="68"/>
    </row>
    <row r="3" spans="2:18" x14ac:dyDescent="0.25">
      <c r="B3" s="87" t="s">
        <v>4</v>
      </c>
      <c r="C3" s="88" t="s">
        <v>5</v>
      </c>
      <c r="D3" s="37">
        <v>1400</v>
      </c>
      <c r="E3" s="19"/>
    </row>
    <row r="4" spans="2:18" x14ac:dyDescent="0.25">
      <c r="B4" s="20" t="s">
        <v>6</v>
      </c>
      <c r="C4" s="89" t="s">
        <v>5</v>
      </c>
      <c r="D4" s="37">
        <v>9150</v>
      </c>
      <c r="E4" s="22"/>
    </row>
    <row r="5" spans="2:18" x14ac:dyDescent="0.25">
      <c r="B5" s="20" t="s">
        <v>27</v>
      </c>
      <c r="C5" s="89" t="s">
        <v>5</v>
      </c>
      <c r="D5" s="37">
        <v>8500</v>
      </c>
      <c r="E5" s="22"/>
    </row>
    <row r="6" spans="2:18" x14ac:dyDescent="0.25">
      <c r="B6" s="20" t="s">
        <v>28</v>
      </c>
      <c r="C6" s="64" t="s">
        <v>5</v>
      </c>
      <c r="D6" s="37">
        <v>6500</v>
      </c>
      <c r="E6" s="22"/>
    </row>
    <row r="7" spans="2:18" x14ac:dyDescent="0.25">
      <c r="B7" s="20" t="s">
        <v>29</v>
      </c>
      <c r="C7" s="64"/>
      <c r="D7" s="38">
        <v>0.23</v>
      </c>
    </row>
    <row r="8" spans="2:18" ht="15.75" thickBot="1" x14ac:dyDescent="0.3">
      <c r="B8" s="28" t="s">
        <v>30</v>
      </c>
      <c r="C8" s="65" t="s">
        <v>8</v>
      </c>
      <c r="D8" s="39">
        <v>14.2</v>
      </c>
    </row>
    <row r="9" spans="2:18" ht="15.75" thickBot="1" x14ac:dyDescent="0.3">
      <c r="B9" s="19"/>
      <c r="C9" s="19"/>
      <c r="E9" s="19"/>
    </row>
    <row r="10" spans="2:18" x14ac:dyDescent="0.25">
      <c r="B10" s="31" t="s">
        <v>26</v>
      </c>
      <c r="C10" s="32">
        <f>D8*0.735</f>
        <v>10.436999999999999</v>
      </c>
      <c r="D10" s="22"/>
      <c r="E10" s="22"/>
    </row>
    <row r="11" spans="2:18" ht="15.75" thickBot="1" x14ac:dyDescent="0.3">
      <c r="B11" s="33" t="s">
        <v>25</v>
      </c>
      <c r="C11" s="34">
        <f>D12*0.735</f>
        <v>0</v>
      </c>
      <c r="D11" s="35"/>
      <c r="E11" s="22"/>
    </row>
    <row r="12" spans="2:18" x14ac:dyDescent="0.25">
      <c r="B12" s="19"/>
      <c r="C12" s="35"/>
      <c r="D12" s="35"/>
      <c r="E12" s="22"/>
    </row>
    <row r="13" spans="2:18" x14ac:dyDescent="0.25">
      <c r="B13" s="19"/>
      <c r="C13" s="19"/>
      <c r="D13" s="19"/>
    </row>
    <row r="14" spans="2:18" ht="15.75" thickBot="1" x14ac:dyDescent="0.3">
      <c r="B14" s="19"/>
      <c r="C14" s="19"/>
      <c r="D14" s="19"/>
    </row>
    <row r="15" spans="2:18" x14ac:dyDescent="0.25">
      <c r="B15" s="56" t="s">
        <v>44</v>
      </c>
      <c r="C15" s="73" t="s">
        <v>11</v>
      </c>
      <c r="D15" s="74" t="s">
        <v>12</v>
      </c>
      <c r="E15" s="75" t="s">
        <v>13</v>
      </c>
      <c r="F15" s="73" t="s">
        <v>14</v>
      </c>
      <c r="G15" s="76"/>
      <c r="H15" s="77" t="s">
        <v>46</v>
      </c>
      <c r="I15" s="5"/>
      <c r="J15" s="73"/>
      <c r="K15" s="78"/>
      <c r="L15" s="57"/>
      <c r="M15" s="57" t="s">
        <v>21</v>
      </c>
      <c r="N15" s="90"/>
      <c r="O15" s="78" t="s">
        <v>123</v>
      </c>
      <c r="P15" s="57" t="s">
        <v>125</v>
      </c>
      <c r="Q15" s="57" t="s">
        <v>128</v>
      </c>
      <c r="R15" s="18" t="s">
        <v>126</v>
      </c>
    </row>
    <row r="16" spans="2:18" x14ac:dyDescent="0.25">
      <c r="B16" s="79"/>
      <c r="C16" s="80" t="s">
        <v>45</v>
      </c>
      <c r="D16" s="81"/>
      <c r="E16" s="7"/>
      <c r="F16" s="82"/>
      <c r="G16" s="50">
        <v>0.25</v>
      </c>
      <c r="H16" s="51">
        <v>0.5</v>
      </c>
      <c r="I16" s="51">
        <v>0.75</v>
      </c>
      <c r="J16" s="52">
        <v>1</v>
      </c>
      <c r="K16" s="83">
        <f>G16</f>
        <v>0.25</v>
      </c>
      <c r="L16" s="84">
        <f>H16</f>
        <v>0.5</v>
      </c>
      <c r="M16" s="84">
        <f>I16</f>
        <v>0.75</v>
      </c>
      <c r="N16" s="126">
        <f>J16</f>
        <v>1</v>
      </c>
      <c r="O16" s="129" t="s">
        <v>127</v>
      </c>
      <c r="P16" s="55" t="s">
        <v>129</v>
      </c>
      <c r="Q16" s="55" t="s">
        <v>129</v>
      </c>
      <c r="R16" s="58" t="s">
        <v>129</v>
      </c>
    </row>
    <row r="17" spans="2:18" x14ac:dyDescent="0.25">
      <c r="B17" s="41">
        <v>0</v>
      </c>
      <c r="C17" s="12">
        <f>$D$3+($D$4-$D$3)*B17</f>
        <v>1400</v>
      </c>
      <c r="D17" s="42">
        <f t="shared" ref="D17:D37" si="0">$C$10/(2*$D$5^2)</f>
        <v>7.2228373702422142E-8</v>
      </c>
      <c r="E17" s="43">
        <f>(3*$D$5-$D$6)*C17</f>
        <v>26600000</v>
      </c>
      <c r="F17" s="43">
        <f t="shared" ref="F17:F37" si="1">$C$10/((2*$D$5^2)*($D$5-$D$6))</f>
        <v>3.6114186851211073E-11</v>
      </c>
      <c r="G17" s="8">
        <f t="shared" ref="G17:J37" si="2">((($D17*$E17)-($F17*$C17*($C17-$D$6)^2)))*G$16/0.735</f>
        <v>0.20619480968858131</v>
      </c>
      <c r="H17" s="9">
        <f t="shared" si="2"/>
        <v>0.41238961937716262</v>
      </c>
      <c r="I17" s="9">
        <f t="shared" si="2"/>
        <v>0.61858442906574396</v>
      </c>
      <c r="J17" s="53">
        <f t="shared" si="2"/>
        <v>0.82477923875432524</v>
      </c>
      <c r="K17" s="22">
        <f t="shared" ref="K17:N37" si="3" xml:space="preserve"> $D$7*(0.7107+0.9963*($C17/$D$5)-1.0582*($C17/$D$5)^2+0.3124*($C17/$D$5)^3)*(0.234+1.0592*(K$16)+0.8149*(K$16)^2-1.2121*(K$16)^3)</f>
        <v>0.10346288968324552</v>
      </c>
      <c r="L17" s="44">
        <f t="shared" si="3"/>
        <v>0.15901951964903918</v>
      </c>
      <c r="M17" s="44">
        <f t="shared" si="3"/>
        <v>0.19013175628182147</v>
      </c>
      <c r="N17" s="127">
        <f t="shared" si="3"/>
        <v>0.17464979956244736</v>
      </c>
      <c r="O17" s="121">
        <f>C17/60*2*3.141592</f>
        <v>146.60762666666668</v>
      </c>
      <c r="P17" s="22">
        <f>J17/O17*1000</f>
        <v>5.625759433576933</v>
      </c>
      <c r="Q17" s="22">
        <f>J17/0.735</f>
        <v>1.1221486241555445</v>
      </c>
      <c r="R17" s="61">
        <f>N17*100</f>
        <v>17.464979956244736</v>
      </c>
    </row>
    <row r="18" spans="2:18" x14ac:dyDescent="0.25">
      <c r="B18" s="41">
        <f>B17+1/20</f>
        <v>0.05</v>
      </c>
      <c r="C18" s="12">
        <f t="shared" ref="C18:C37" si="4">$D$3+($D$4-$D$3)*B18</f>
        <v>1787.5</v>
      </c>
      <c r="D18" s="42">
        <f t="shared" si="0"/>
        <v>7.2228373702422142E-8</v>
      </c>
      <c r="E18" s="43">
        <f t="shared" ref="E18:E37" si="5">(3*$D$5-$D$6)*C18</f>
        <v>33962500</v>
      </c>
      <c r="F18" s="43">
        <f t="shared" si="1"/>
        <v>3.6114186851211073E-11</v>
      </c>
      <c r="G18" s="10">
        <f t="shared" si="2"/>
        <v>0.34675533324772922</v>
      </c>
      <c r="H18" s="4">
        <f t="shared" si="2"/>
        <v>0.69351066649545845</v>
      </c>
      <c r="I18" s="4">
        <f t="shared" si="2"/>
        <v>1.0402659997431876</v>
      </c>
      <c r="J18" s="13">
        <f t="shared" si="2"/>
        <v>1.3870213329909169</v>
      </c>
      <c r="K18" s="22">
        <f t="shared" si="3"/>
        <v>0.10698355340285959</v>
      </c>
      <c r="L18" s="44">
        <f t="shared" si="3"/>
        <v>0.16443067968190545</v>
      </c>
      <c r="M18" s="44">
        <f t="shared" si="3"/>
        <v>0.19660161207588703</v>
      </c>
      <c r="N18" s="127">
        <f t="shared" si="3"/>
        <v>0.18059283106717197</v>
      </c>
      <c r="O18" s="121">
        <f t="shared" ref="O18:O37" si="6">C18/60*2*3.141592</f>
        <v>187.18652333333335</v>
      </c>
      <c r="P18" s="22">
        <f t="shared" ref="P18:P37" si="7">J18/O18*1000</f>
        <v>7.4098354320143631</v>
      </c>
      <c r="Q18" s="22">
        <f t="shared" ref="Q18:Q37" si="8">J18/0.735</f>
        <v>1.8871038544094108</v>
      </c>
      <c r="R18" s="61">
        <f t="shared" ref="R18:R37" si="9">N18*100</f>
        <v>18.059283106717196</v>
      </c>
    </row>
    <row r="19" spans="2:18" x14ac:dyDescent="0.25">
      <c r="B19" s="41">
        <f t="shared" ref="B19:B36" si="10">B18+1/20</f>
        <v>0.1</v>
      </c>
      <c r="C19" s="12">
        <f t="shared" si="4"/>
        <v>2175</v>
      </c>
      <c r="D19" s="42">
        <f t="shared" si="0"/>
        <v>7.2228373702422142E-8</v>
      </c>
      <c r="E19" s="43">
        <f t="shared" si="5"/>
        <v>41325000</v>
      </c>
      <c r="F19" s="43">
        <f t="shared" si="1"/>
        <v>3.6114186851211073E-11</v>
      </c>
      <c r="G19" s="10">
        <f t="shared" si="2"/>
        <v>0.51549028708910027</v>
      </c>
      <c r="H19" s="4">
        <f t="shared" si="2"/>
        <v>1.0309805741782005</v>
      </c>
      <c r="I19" s="4">
        <f t="shared" si="2"/>
        <v>1.5464708612673008</v>
      </c>
      <c r="J19" s="13">
        <f t="shared" si="2"/>
        <v>2.0619611483564011</v>
      </c>
      <c r="K19" s="22">
        <f t="shared" si="3"/>
        <v>0.11006725103272022</v>
      </c>
      <c r="L19" s="44">
        <f t="shared" si="3"/>
        <v>0.16917023525922012</v>
      </c>
      <c r="M19" s="44">
        <f t="shared" si="3"/>
        <v>0.20226846371711313</v>
      </c>
      <c r="N19" s="127">
        <f t="shared" si="3"/>
        <v>0.18579824505295173</v>
      </c>
      <c r="O19" s="121">
        <f t="shared" si="6"/>
        <v>227.76542000000001</v>
      </c>
      <c r="P19" s="22">
        <f t="shared" si="7"/>
        <v>9.0530035171994108</v>
      </c>
      <c r="Q19" s="22">
        <f t="shared" si="8"/>
        <v>2.8053893174917022</v>
      </c>
      <c r="R19" s="61">
        <f t="shared" si="9"/>
        <v>18.579824505295171</v>
      </c>
    </row>
    <row r="20" spans="2:18" x14ac:dyDescent="0.25">
      <c r="B20" s="41">
        <f t="shared" si="10"/>
        <v>0.15000000000000002</v>
      </c>
      <c r="C20" s="12">
        <f t="shared" si="4"/>
        <v>2562.5</v>
      </c>
      <c r="D20" s="42">
        <f t="shared" si="0"/>
        <v>7.2228373702422142E-8</v>
      </c>
      <c r="E20" s="43">
        <f t="shared" si="5"/>
        <v>48687500</v>
      </c>
      <c r="F20" s="43">
        <f t="shared" si="1"/>
        <v>3.6114186851211073E-11</v>
      </c>
      <c r="G20" s="10">
        <f t="shared" si="2"/>
        <v>0.70811125547415654</v>
      </c>
      <c r="H20" s="4">
        <f t="shared" si="2"/>
        <v>1.4162225109483131</v>
      </c>
      <c r="I20" s="4">
        <f t="shared" si="2"/>
        <v>2.1243337664224695</v>
      </c>
      <c r="J20" s="13">
        <f t="shared" si="2"/>
        <v>2.8324450218966262</v>
      </c>
      <c r="K20" s="22">
        <f t="shared" si="3"/>
        <v>0.11273566325670151</v>
      </c>
      <c r="L20" s="44">
        <f t="shared" si="3"/>
        <v>0.1732715089756437</v>
      </c>
      <c r="M20" s="44">
        <f t="shared" si="3"/>
        <v>0.20717215337997397</v>
      </c>
      <c r="N20" s="127">
        <f t="shared" si="3"/>
        <v>0.190302639444942</v>
      </c>
      <c r="O20" s="121">
        <f t="shared" si="6"/>
        <v>268.34431666666671</v>
      </c>
      <c r="P20" s="22">
        <f t="shared" si="7"/>
        <v>10.555263689132074</v>
      </c>
      <c r="Q20" s="22">
        <f t="shared" si="8"/>
        <v>3.8536666964579949</v>
      </c>
      <c r="R20" s="61">
        <f t="shared" si="9"/>
        <v>19.030263944494198</v>
      </c>
    </row>
    <row r="21" spans="2:18" x14ac:dyDescent="0.25">
      <c r="B21" s="41">
        <f t="shared" si="10"/>
        <v>0.2</v>
      </c>
      <c r="C21" s="12">
        <f t="shared" si="4"/>
        <v>2950</v>
      </c>
      <c r="D21" s="42">
        <f t="shared" si="0"/>
        <v>7.2228373702422142E-8</v>
      </c>
      <c r="E21" s="43">
        <f t="shared" si="5"/>
        <v>56050000</v>
      </c>
      <c r="F21" s="43">
        <f t="shared" si="1"/>
        <v>3.6114186851211073E-11</v>
      </c>
      <c r="G21" s="10">
        <f t="shared" si="2"/>
        <v>0.92032982266435992</v>
      </c>
      <c r="H21" s="4">
        <f t="shared" si="2"/>
        <v>1.8406596453287198</v>
      </c>
      <c r="I21" s="4">
        <f t="shared" si="2"/>
        <v>2.7609894679930802</v>
      </c>
      <c r="J21" s="13">
        <f t="shared" si="2"/>
        <v>3.6813192906574397</v>
      </c>
      <c r="K21" s="22">
        <f t="shared" si="3"/>
        <v>0.11501047075867746</v>
      </c>
      <c r="L21" s="44">
        <f t="shared" si="3"/>
        <v>0.17676782342583661</v>
      </c>
      <c r="M21" s="44">
        <f t="shared" si="3"/>
        <v>0.21135252323894368</v>
      </c>
      <c r="N21" s="127">
        <f t="shared" si="3"/>
        <v>0.19414261216829795</v>
      </c>
      <c r="O21" s="121">
        <f t="shared" si="6"/>
        <v>308.92321333333331</v>
      </c>
      <c r="P21" s="22">
        <f t="shared" si="7"/>
        <v>11.91661594781236</v>
      </c>
      <c r="Q21" s="22">
        <f t="shared" si="8"/>
        <v>5.0085976743638634</v>
      </c>
      <c r="R21" s="61">
        <f t="shared" si="9"/>
        <v>19.414261216829797</v>
      </c>
    </row>
    <row r="22" spans="2:18" x14ac:dyDescent="0.25">
      <c r="B22" s="41">
        <f t="shared" si="10"/>
        <v>0.25</v>
      </c>
      <c r="C22" s="12">
        <f t="shared" si="4"/>
        <v>3337.5</v>
      </c>
      <c r="D22" s="42">
        <f t="shared" si="0"/>
        <v>7.2228373702422142E-8</v>
      </c>
      <c r="E22" s="43">
        <f t="shared" si="5"/>
        <v>63412500</v>
      </c>
      <c r="F22" s="43">
        <f t="shared" si="1"/>
        <v>3.6114186851211073E-11</v>
      </c>
      <c r="G22" s="10">
        <f t="shared" si="2"/>
        <v>1.1478575729211722</v>
      </c>
      <c r="H22" s="4">
        <f t="shared" si="2"/>
        <v>2.2957151458423444</v>
      </c>
      <c r="I22" s="4">
        <f t="shared" si="2"/>
        <v>3.4435727187635168</v>
      </c>
      <c r="J22" s="13">
        <f t="shared" si="2"/>
        <v>4.5914302916846887</v>
      </c>
      <c r="K22" s="22">
        <f t="shared" si="3"/>
        <v>0.11691335422252215</v>
      </c>
      <c r="L22" s="44">
        <f t="shared" si="3"/>
        <v>0.17969250120445934</v>
      </c>
      <c r="M22" s="44">
        <f t="shared" si="3"/>
        <v>0.21484941546849656</v>
      </c>
      <c r="N22" s="127">
        <f t="shared" si="3"/>
        <v>0.19735476114817502</v>
      </c>
      <c r="O22" s="121">
        <f t="shared" si="6"/>
        <v>349.50211000000002</v>
      </c>
      <c r="P22" s="22">
        <f t="shared" si="7"/>
        <v>13.137060293240257</v>
      </c>
      <c r="Q22" s="22">
        <f t="shared" si="8"/>
        <v>6.2468439342648825</v>
      </c>
      <c r="R22" s="61">
        <f t="shared" si="9"/>
        <v>19.735476114817502</v>
      </c>
    </row>
    <row r="23" spans="2:18" x14ac:dyDescent="0.25">
      <c r="B23" s="41">
        <f t="shared" si="10"/>
        <v>0.3</v>
      </c>
      <c r="C23" s="12">
        <f t="shared" si="4"/>
        <v>3725</v>
      </c>
      <c r="D23" s="42">
        <f t="shared" si="0"/>
        <v>7.2228373702422142E-8</v>
      </c>
      <c r="E23" s="43">
        <f t="shared" si="5"/>
        <v>70775000</v>
      </c>
      <c r="F23" s="43">
        <f t="shared" si="1"/>
        <v>3.6114186851211073E-11</v>
      </c>
      <c r="G23" s="10">
        <f t="shared" si="2"/>
        <v>1.3864060905060553</v>
      </c>
      <c r="H23" s="4">
        <f t="shared" si="2"/>
        <v>2.7728121810121107</v>
      </c>
      <c r="I23" s="4">
        <f t="shared" si="2"/>
        <v>4.1592182715181663</v>
      </c>
      <c r="J23" s="13">
        <f t="shared" si="2"/>
        <v>5.5456243620242214</v>
      </c>
      <c r="K23" s="22">
        <f t="shared" si="3"/>
        <v>0.11846599433210962</v>
      </c>
      <c r="L23" s="44">
        <f t="shared" si="3"/>
        <v>0.18207886490617231</v>
      </c>
      <c r="M23" s="44">
        <f t="shared" si="3"/>
        <v>0.21770267224310674</v>
      </c>
      <c r="N23" s="127">
        <f t="shared" si="3"/>
        <v>0.19997568430972848</v>
      </c>
      <c r="O23" s="121">
        <f t="shared" si="6"/>
        <v>390.08100666666672</v>
      </c>
      <c r="P23" s="22">
        <f t="shared" si="7"/>
        <v>14.216596725415771</v>
      </c>
      <c r="Q23" s="22">
        <f t="shared" si="8"/>
        <v>7.5450671592166279</v>
      </c>
      <c r="R23" s="61">
        <f t="shared" si="9"/>
        <v>19.997568430972848</v>
      </c>
    </row>
    <row r="24" spans="2:18" x14ac:dyDescent="0.25">
      <c r="B24" s="41">
        <f t="shared" si="10"/>
        <v>0.35</v>
      </c>
      <c r="C24" s="12">
        <f t="shared" si="4"/>
        <v>4112.5</v>
      </c>
      <c r="D24" s="42">
        <f t="shared" si="0"/>
        <v>7.2228373702422142E-8</v>
      </c>
      <c r="E24" s="43">
        <f t="shared" si="5"/>
        <v>78137500</v>
      </c>
      <c r="F24" s="43">
        <f t="shared" si="1"/>
        <v>3.6114186851211073E-11</v>
      </c>
      <c r="G24" s="10">
        <f t="shared" si="2"/>
        <v>1.6316869596804713</v>
      </c>
      <c r="H24" s="4">
        <f t="shared" si="2"/>
        <v>3.2633739193609426</v>
      </c>
      <c r="I24" s="4">
        <f t="shared" si="2"/>
        <v>4.8950608790414138</v>
      </c>
      <c r="J24" s="13">
        <f t="shared" si="2"/>
        <v>6.5267478387218851</v>
      </c>
      <c r="K24" s="22">
        <f t="shared" si="3"/>
        <v>0.11969007177131388</v>
      </c>
      <c r="L24" s="44">
        <f t="shared" si="3"/>
        <v>0.18396023712563594</v>
      </c>
      <c r="M24" s="44">
        <f t="shared" si="3"/>
        <v>0.21995213573724834</v>
      </c>
      <c r="N24" s="127">
        <f t="shared" si="3"/>
        <v>0.20204197957811357</v>
      </c>
      <c r="O24" s="121">
        <f t="shared" si="6"/>
        <v>430.65990333333338</v>
      </c>
      <c r="P24" s="22">
        <f t="shared" si="7"/>
        <v>15.155225244338901</v>
      </c>
      <c r="Q24" s="22">
        <f t="shared" si="8"/>
        <v>8.8799290322746742</v>
      </c>
      <c r="R24" s="61">
        <f t="shared" si="9"/>
        <v>20.204197957811356</v>
      </c>
    </row>
    <row r="25" spans="2:18" x14ac:dyDescent="0.25">
      <c r="B25" s="41">
        <f t="shared" si="10"/>
        <v>0.39999999999999997</v>
      </c>
      <c r="C25" s="12">
        <f t="shared" si="4"/>
        <v>4500</v>
      </c>
      <c r="D25" s="42">
        <f t="shared" si="0"/>
        <v>7.2228373702422142E-8</v>
      </c>
      <c r="E25" s="43">
        <f t="shared" si="5"/>
        <v>85500000</v>
      </c>
      <c r="F25" s="43">
        <f t="shared" si="1"/>
        <v>3.6114186851211073E-11</v>
      </c>
      <c r="G25" s="10">
        <f t="shared" si="2"/>
        <v>1.8794117647058823</v>
      </c>
      <c r="H25" s="4">
        <f t="shared" si="2"/>
        <v>3.7588235294117647</v>
      </c>
      <c r="I25" s="4">
        <f t="shared" si="2"/>
        <v>5.6382352941176466</v>
      </c>
      <c r="J25" s="13">
        <f t="shared" si="2"/>
        <v>7.5176470588235293</v>
      </c>
      <c r="K25" s="22">
        <f t="shared" si="3"/>
        <v>0.120607267224009</v>
      </c>
      <c r="L25" s="44">
        <f t="shared" si="3"/>
        <v>0.18536994045751068</v>
      </c>
      <c r="M25" s="44">
        <f t="shared" si="3"/>
        <v>0.2216376481253956</v>
      </c>
      <c r="N25" s="127">
        <f t="shared" si="3"/>
        <v>0.20359024487848559</v>
      </c>
      <c r="O25" s="121">
        <f t="shared" si="6"/>
        <v>471.23880000000003</v>
      </c>
      <c r="P25" s="22">
        <f t="shared" si="7"/>
        <v>15.952945850009652</v>
      </c>
      <c r="Q25" s="22">
        <f t="shared" si="8"/>
        <v>10.228091236494597</v>
      </c>
      <c r="R25" s="61">
        <f t="shared" si="9"/>
        <v>20.359024487848558</v>
      </c>
    </row>
    <row r="26" spans="2:18" x14ac:dyDescent="0.25">
      <c r="B26" s="41">
        <f t="shared" si="10"/>
        <v>0.44999999999999996</v>
      </c>
      <c r="C26" s="12">
        <f t="shared" si="4"/>
        <v>4887.5</v>
      </c>
      <c r="D26" s="42">
        <f t="shared" si="0"/>
        <v>7.2228373702422142E-8</v>
      </c>
      <c r="E26" s="43">
        <f t="shared" si="5"/>
        <v>92862500</v>
      </c>
      <c r="F26" s="43">
        <f t="shared" si="1"/>
        <v>3.6114186851211073E-11</v>
      </c>
      <c r="G26" s="10">
        <f t="shared" si="2"/>
        <v>2.1252920898437497</v>
      </c>
      <c r="H26" s="4">
        <f t="shared" si="2"/>
        <v>4.2505841796874995</v>
      </c>
      <c r="I26" s="4">
        <f t="shared" si="2"/>
        <v>6.3758762695312496</v>
      </c>
      <c r="J26" s="13">
        <f t="shared" si="2"/>
        <v>8.5011683593749989</v>
      </c>
      <c r="K26" s="22">
        <f t="shared" si="3"/>
        <v>0.12123926137406905</v>
      </c>
      <c r="L26" s="44">
        <f t="shared" si="3"/>
        <v>0.18634129749645706</v>
      </c>
      <c r="M26" s="44">
        <f t="shared" si="3"/>
        <v>0.22279905158202276</v>
      </c>
      <c r="N26" s="127">
        <f t="shared" si="3"/>
        <v>0.20465707813599998</v>
      </c>
      <c r="O26" s="121">
        <f t="shared" si="6"/>
        <v>511.81769666666668</v>
      </c>
      <c r="P26" s="22">
        <f t="shared" si="7"/>
        <v>16.609758542428018</v>
      </c>
      <c r="Q26" s="22">
        <f t="shared" si="8"/>
        <v>11.566215454931971</v>
      </c>
      <c r="R26" s="61">
        <f t="shared" si="9"/>
        <v>20.465707813599998</v>
      </c>
    </row>
    <row r="27" spans="2:18" x14ac:dyDescent="0.25">
      <c r="B27" s="41">
        <f t="shared" si="10"/>
        <v>0.49999999999999994</v>
      </c>
      <c r="C27" s="12">
        <f t="shared" si="4"/>
        <v>5275</v>
      </c>
      <c r="D27" s="42">
        <f t="shared" si="0"/>
        <v>7.2228373702422142E-8</v>
      </c>
      <c r="E27" s="43">
        <f t="shared" si="5"/>
        <v>100225000</v>
      </c>
      <c r="F27" s="43">
        <f t="shared" si="1"/>
        <v>3.6114186851211073E-11</v>
      </c>
      <c r="G27" s="10">
        <f t="shared" si="2"/>
        <v>2.3650395193555362</v>
      </c>
      <c r="H27" s="4">
        <f t="shared" si="2"/>
        <v>4.7300790387110725</v>
      </c>
      <c r="I27" s="4">
        <f t="shared" si="2"/>
        <v>7.0951185580666083</v>
      </c>
      <c r="J27" s="13">
        <f t="shared" si="2"/>
        <v>9.460158077422145</v>
      </c>
      <c r="K27" s="22">
        <f t="shared" si="3"/>
        <v>0.12160773490536804</v>
      </c>
      <c r="L27" s="44">
        <f t="shared" si="3"/>
        <v>0.18690763083713544</v>
      </c>
      <c r="M27" s="44">
        <f t="shared" si="3"/>
        <v>0.2234761882816039</v>
      </c>
      <c r="N27" s="127">
        <f t="shared" si="3"/>
        <v>0.20527907727581193</v>
      </c>
      <c r="O27" s="121">
        <f t="shared" si="6"/>
        <v>552.39659333333339</v>
      </c>
      <c r="P27" s="22">
        <f t="shared" si="7"/>
        <v>17.125663321594001</v>
      </c>
      <c r="Q27" s="22">
        <f t="shared" si="8"/>
        <v>12.870963370642375</v>
      </c>
      <c r="R27" s="61">
        <f t="shared" si="9"/>
        <v>20.527907727581194</v>
      </c>
    </row>
    <row r="28" spans="2:18" x14ac:dyDescent="0.25">
      <c r="B28" s="41">
        <f t="shared" si="10"/>
        <v>0.54999999999999993</v>
      </c>
      <c r="C28" s="12">
        <f t="shared" si="4"/>
        <v>5662.4999999999991</v>
      </c>
      <c r="D28" s="42">
        <f t="shared" si="0"/>
        <v>7.2228373702422142E-8</v>
      </c>
      <c r="E28" s="43">
        <f t="shared" si="5"/>
        <v>107587499.99999999</v>
      </c>
      <c r="F28" s="43">
        <f t="shared" si="1"/>
        <v>3.6114186851211073E-11</v>
      </c>
      <c r="G28" s="10">
        <f t="shared" si="2"/>
        <v>2.5943656375027024</v>
      </c>
      <c r="H28" s="4">
        <f t="shared" si="2"/>
        <v>5.1887312750054049</v>
      </c>
      <c r="I28" s="4">
        <f t="shared" si="2"/>
        <v>7.7830969125081078</v>
      </c>
      <c r="J28" s="13">
        <f t="shared" si="2"/>
        <v>10.37746255001081</v>
      </c>
      <c r="K28" s="22">
        <f t="shared" si="3"/>
        <v>0.12173436850178002</v>
      </c>
      <c r="L28" s="44">
        <f t="shared" si="3"/>
        <v>0.18710226307420624</v>
      </c>
      <c r="M28" s="44">
        <f t="shared" si="3"/>
        <v>0.22370890039861324</v>
      </c>
      <c r="N28" s="127">
        <f t="shared" si="3"/>
        <v>0.20549284022307671</v>
      </c>
      <c r="O28" s="121">
        <f t="shared" si="6"/>
        <v>592.97548999999992</v>
      </c>
      <c r="P28" s="22">
        <f t="shared" si="7"/>
        <v>17.500660187507602</v>
      </c>
      <c r="Q28" s="22">
        <f t="shared" si="8"/>
        <v>14.118996666681374</v>
      </c>
      <c r="R28" s="61">
        <f t="shared" si="9"/>
        <v>20.54928402230767</v>
      </c>
    </row>
    <row r="29" spans="2:18" x14ac:dyDescent="0.25">
      <c r="B29" s="41">
        <f t="shared" si="10"/>
        <v>0.6</v>
      </c>
      <c r="C29" s="12">
        <f t="shared" si="4"/>
        <v>6050</v>
      </c>
      <c r="D29" s="42">
        <f t="shared" si="0"/>
        <v>7.2228373702422142E-8</v>
      </c>
      <c r="E29" s="43">
        <f t="shared" si="5"/>
        <v>114950000</v>
      </c>
      <c r="F29" s="43">
        <f t="shared" si="1"/>
        <v>3.6114186851211073E-11</v>
      </c>
      <c r="G29" s="10">
        <f t="shared" si="2"/>
        <v>2.8089820285467124</v>
      </c>
      <c r="H29" s="4">
        <f t="shared" si="2"/>
        <v>5.6179640570934248</v>
      </c>
      <c r="I29" s="4">
        <f t="shared" si="2"/>
        <v>8.4269460856401377</v>
      </c>
      <c r="J29" s="13">
        <f t="shared" si="2"/>
        <v>11.23592811418685</v>
      </c>
      <c r="K29" s="22">
        <f t="shared" si="3"/>
        <v>0.12164084284717903</v>
      </c>
      <c r="L29" s="44">
        <f t="shared" si="3"/>
        <v>0.18695851680233</v>
      </c>
      <c r="M29" s="44">
        <f t="shared" si="3"/>
        <v>0.22353703010752499</v>
      </c>
      <c r="N29" s="127">
        <f t="shared" si="3"/>
        <v>0.2053349649029497</v>
      </c>
      <c r="O29" s="121">
        <f t="shared" si="6"/>
        <v>633.55438666666669</v>
      </c>
      <c r="P29" s="22">
        <f t="shared" si="7"/>
        <v>17.73474914016882</v>
      </c>
      <c r="Q29" s="22">
        <f t="shared" si="8"/>
        <v>15.286977026104557</v>
      </c>
      <c r="R29" s="61">
        <f t="shared" si="9"/>
        <v>20.533496490294969</v>
      </c>
    </row>
    <row r="30" spans="2:18" x14ac:dyDescent="0.25">
      <c r="B30" s="41">
        <f t="shared" si="10"/>
        <v>0.65</v>
      </c>
      <c r="C30" s="12">
        <f t="shared" si="4"/>
        <v>6437.5</v>
      </c>
      <c r="D30" s="42">
        <f t="shared" si="0"/>
        <v>7.2228373702422142E-8</v>
      </c>
      <c r="E30" s="43">
        <f t="shared" si="5"/>
        <v>122312500</v>
      </c>
      <c r="F30" s="43">
        <f t="shared" si="1"/>
        <v>3.6114186851211073E-11</v>
      </c>
      <c r="G30" s="10">
        <f t="shared" si="2"/>
        <v>3.0046002767490272</v>
      </c>
      <c r="H30" s="4">
        <f t="shared" si="2"/>
        <v>6.0092005534980544</v>
      </c>
      <c r="I30" s="4">
        <f t="shared" si="2"/>
        <v>9.0138008302470816</v>
      </c>
      <c r="J30" s="13">
        <f t="shared" si="2"/>
        <v>12.018401106996109</v>
      </c>
      <c r="K30" s="22">
        <f t="shared" si="3"/>
        <v>0.12134883862543916</v>
      </c>
      <c r="L30" s="44">
        <f t="shared" si="3"/>
        <v>0.18650971461616717</v>
      </c>
      <c r="M30" s="44">
        <f t="shared" si="3"/>
        <v>0.22300041958281336</v>
      </c>
      <c r="N30" s="127">
        <f t="shared" si="3"/>
        <v>0.20484204924058622</v>
      </c>
      <c r="O30" s="121">
        <f t="shared" si="6"/>
        <v>674.13328333333345</v>
      </c>
      <c r="P30" s="22">
        <f t="shared" si="7"/>
        <v>17.827930179577653</v>
      </c>
      <c r="Q30" s="22">
        <f t="shared" si="8"/>
        <v>16.351566131967495</v>
      </c>
      <c r="R30" s="61">
        <f t="shared" si="9"/>
        <v>20.48420492405862</v>
      </c>
    </row>
    <row r="31" spans="2:18" x14ac:dyDescent="0.25">
      <c r="B31" s="41">
        <f t="shared" si="10"/>
        <v>0.70000000000000007</v>
      </c>
      <c r="C31" s="12">
        <f t="shared" si="4"/>
        <v>6825.0000000000009</v>
      </c>
      <c r="D31" s="42">
        <f t="shared" si="0"/>
        <v>7.2228373702422142E-8</v>
      </c>
      <c r="E31" s="43">
        <f t="shared" si="5"/>
        <v>129675000.00000001</v>
      </c>
      <c r="F31" s="43">
        <f t="shared" si="1"/>
        <v>3.6114186851211073E-11</v>
      </c>
      <c r="G31" s="10">
        <f t="shared" si="2"/>
        <v>3.1769319663711078</v>
      </c>
      <c r="H31" s="4">
        <f t="shared" si="2"/>
        <v>6.3538639327422155</v>
      </c>
      <c r="I31" s="4">
        <f t="shared" si="2"/>
        <v>9.5307958991133219</v>
      </c>
      <c r="J31" s="13">
        <f t="shared" si="2"/>
        <v>12.707727865484431</v>
      </c>
      <c r="K31" s="22">
        <f t="shared" si="3"/>
        <v>0.12088003652043437</v>
      </c>
      <c r="L31" s="44">
        <f t="shared" si="3"/>
        <v>0.18578917911037807</v>
      </c>
      <c r="M31" s="44">
        <f t="shared" si="3"/>
        <v>0.22213891099895239</v>
      </c>
      <c r="N31" s="127">
        <f t="shared" si="3"/>
        <v>0.20405069116114144</v>
      </c>
      <c r="O31" s="121">
        <f t="shared" si="6"/>
        <v>714.7121800000001</v>
      </c>
      <c r="P31" s="22">
        <f t="shared" si="7"/>
        <v>17.780203305734105</v>
      </c>
      <c r="Q31" s="22">
        <f t="shared" si="8"/>
        <v>17.289425667325755</v>
      </c>
      <c r="R31" s="61">
        <f t="shared" si="9"/>
        <v>20.405069116114145</v>
      </c>
    </row>
    <row r="32" spans="2:18" x14ac:dyDescent="0.25">
      <c r="B32" s="41">
        <f t="shared" si="10"/>
        <v>0.75000000000000011</v>
      </c>
      <c r="C32" s="12">
        <f t="shared" si="4"/>
        <v>7212.5000000000009</v>
      </c>
      <c r="D32" s="42">
        <f t="shared" si="0"/>
        <v>7.2228373702422142E-8</v>
      </c>
      <c r="E32" s="43">
        <f t="shared" si="5"/>
        <v>137037500.00000003</v>
      </c>
      <c r="F32" s="43">
        <f t="shared" si="1"/>
        <v>3.6114186851211073E-11</v>
      </c>
      <c r="G32" s="10">
        <f t="shared" si="2"/>
        <v>3.3216886816744164</v>
      </c>
      <c r="H32" s="4">
        <f t="shared" si="2"/>
        <v>6.6433773633488329</v>
      </c>
      <c r="I32" s="4">
        <f t="shared" si="2"/>
        <v>9.9650660450232493</v>
      </c>
      <c r="J32" s="13">
        <f t="shared" si="2"/>
        <v>13.286754726697666</v>
      </c>
      <c r="K32" s="22">
        <f t="shared" si="3"/>
        <v>0.12025611721603877</v>
      </c>
      <c r="L32" s="44">
        <f t="shared" si="3"/>
        <v>0.18483023287962322</v>
      </c>
      <c r="M32" s="44">
        <f t="shared" si="3"/>
        <v>0.22099234653041638</v>
      </c>
      <c r="N32" s="127">
        <f t="shared" si="3"/>
        <v>0.20299748858977079</v>
      </c>
      <c r="O32" s="121">
        <f t="shared" si="6"/>
        <v>755.29107666666675</v>
      </c>
      <c r="P32" s="22">
        <f t="shared" si="7"/>
        <v>17.591568518638173</v>
      </c>
      <c r="Q32" s="22">
        <f t="shared" si="8"/>
        <v>18.077217315234918</v>
      </c>
      <c r="R32" s="61">
        <f t="shared" si="9"/>
        <v>20.299748858977079</v>
      </c>
    </row>
    <row r="33" spans="2:18" x14ac:dyDescent="0.25">
      <c r="B33" s="41">
        <f t="shared" si="10"/>
        <v>0.80000000000000016</v>
      </c>
      <c r="C33" s="12">
        <f t="shared" si="4"/>
        <v>7600.0000000000009</v>
      </c>
      <c r="D33" s="42">
        <f t="shared" si="0"/>
        <v>7.2228373702422142E-8</v>
      </c>
      <c r="E33" s="43">
        <f t="shared" si="5"/>
        <v>144400000.00000003</v>
      </c>
      <c r="F33" s="43">
        <f t="shared" si="1"/>
        <v>3.6114186851211073E-11</v>
      </c>
      <c r="G33" s="10">
        <f t="shared" si="2"/>
        <v>3.434582006920416</v>
      </c>
      <c r="H33" s="4">
        <f t="shared" si="2"/>
        <v>6.8691640138408321</v>
      </c>
      <c r="I33" s="4">
        <f t="shared" si="2"/>
        <v>10.303746020761249</v>
      </c>
      <c r="J33" s="13">
        <f t="shared" si="2"/>
        <v>13.738328027681664</v>
      </c>
      <c r="K33" s="22">
        <f t="shared" si="3"/>
        <v>0.11949876139612639</v>
      </c>
      <c r="L33" s="44">
        <f t="shared" si="3"/>
        <v>0.18366619851856308</v>
      </c>
      <c r="M33" s="44">
        <f t="shared" si="3"/>
        <v>0.21960056835167954</v>
      </c>
      <c r="N33" s="127">
        <f t="shared" si="3"/>
        <v>0.2017190394516295</v>
      </c>
      <c r="O33" s="121">
        <f t="shared" si="6"/>
        <v>795.86997333333352</v>
      </c>
      <c r="P33" s="22">
        <f t="shared" si="7"/>
        <v>17.26202581828986</v>
      </c>
      <c r="Q33" s="22">
        <f t="shared" si="8"/>
        <v>18.691602758750562</v>
      </c>
      <c r="R33" s="61">
        <f t="shared" si="9"/>
        <v>20.171903945162949</v>
      </c>
    </row>
    <row r="34" spans="2:18" x14ac:dyDescent="0.25">
      <c r="B34" s="41">
        <f t="shared" si="10"/>
        <v>0.8500000000000002</v>
      </c>
      <c r="C34" s="12">
        <f t="shared" si="4"/>
        <v>7987.5000000000018</v>
      </c>
      <c r="D34" s="42">
        <f t="shared" si="0"/>
        <v>7.2228373702422142E-8</v>
      </c>
      <c r="E34" s="43">
        <f t="shared" si="5"/>
        <v>151762500.00000003</v>
      </c>
      <c r="F34" s="43">
        <f t="shared" si="1"/>
        <v>3.6114186851211073E-11</v>
      </c>
      <c r="G34" s="10">
        <f t="shared" si="2"/>
        <v>3.5113235263705667</v>
      </c>
      <c r="H34" s="4">
        <f t="shared" si="2"/>
        <v>7.0226470527411333</v>
      </c>
      <c r="I34" s="4">
        <f t="shared" si="2"/>
        <v>10.533970579111699</v>
      </c>
      <c r="J34" s="13">
        <f t="shared" si="2"/>
        <v>14.045294105482267</v>
      </c>
      <c r="K34" s="22">
        <f t="shared" si="3"/>
        <v>0.11862964974457128</v>
      </c>
      <c r="L34" s="44">
        <f t="shared" si="3"/>
        <v>0.18233039862185813</v>
      </c>
      <c r="M34" s="44">
        <f t="shared" si="3"/>
        <v>0.21800341863721601</v>
      </c>
      <c r="N34" s="127">
        <f t="shared" si="3"/>
        <v>0.20025194167187296</v>
      </c>
      <c r="O34" s="121">
        <f t="shared" si="6"/>
        <v>836.44887000000017</v>
      </c>
      <c r="P34" s="22">
        <f t="shared" si="7"/>
        <v>16.791575204689156</v>
      </c>
      <c r="Q34" s="22">
        <f t="shared" si="8"/>
        <v>19.109243680928255</v>
      </c>
      <c r="R34" s="61">
        <f t="shared" si="9"/>
        <v>20.025194167187298</v>
      </c>
    </row>
    <row r="35" spans="2:18" x14ac:dyDescent="0.25">
      <c r="B35" s="41">
        <f t="shared" si="10"/>
        <v>0.90000000000000024</v>
      </c>
      <c r="C35" s="12">
        <f t="shared" si="4"/>
        <v>8375.0000000000018</v>
      </c>
      <c r="D35" s="42">
        <f t="shared" si="0"/>
        <v>7.2228373702422142E-8</v>
      </c>
      <c r="E35" s="43">
        <f t="shared" si="5"/>
        <v>159125000.00000003</v>
      </c>
      <c r="F35" s="43">
        <f t="shared" si="1"/>
        <v>3.6114186851211073E-11</v>
      </c>
      <c r="G35" s="10">
        <f t="shared" si="2"/>
        <v>3.5476248242863324</v>
      </c>
      <c r="H35" s="4">
        <f t="shared" si="2"/>
        <v>7.0952496485726648</v>
      </c>
      <c r="I35" s="4">
        <f t="shared" si="2"/>
        <v>10.642874472858997</v>
      </c>
      <c r="J35" s="13">
        <f t="shared" si="2"/>
        <v>14.19049929714533</v>
      </c>
      <c r="K35" s="22">
        <f t="shared" si="3"/>
        <v>0.11767046294524748</v>
      </c>
      <c r="L35" s="44">
        <f t="shared" si="3"/>
        <v>0.18085615578416875</v>
      </c>
      <c r="M35" s="44">
        <f t="shared" si="3"/>
        <v>0.21624073956149997</v>
      </c>
      <c r="N35" s="127">
        <f t="shared" si="3"/>
        <v>0.19863279317565638</v>
      </c>
      <c r="O35" s="121">
        <f t="shared" si="6"/>
        <v>877.02776666666693</v>
      </c>
      <c r="P35" s="22">
        <f t="shared" si="7"/>
        <v>16.180216677836075</v>
      </c>
      <c r="Q35" s="22">
        <f t="shared" si="8"/>
        <v>19.306801764823579</v>
      </c>
      <c r="R35" s="61">
        <f t="shared" si="9"/>
        <v>19.863279317565638</v>
      </c>
    </row>
    <row r="36" spans="2:18" x14ac:dyDescent="0.25">
      <c r="B36" s="41">
        <f t="shared" si="10"/>
        <v>0.95000000000000029</v>
      </c>
      <c r="C36" s="12">
        <f t="shared" si="4"/>
        <v>8762.5000000000018</v>
      </c>
      <c r="D36" s="42">
        <f t="shared" si="0"/>
        <v>7.2228373702422142E-8</v>
      </c>
      <c r="E36" s="43">
        <f t="shared" si="5"/>
        <v>166487500.00000003</v>
      </c>
      <c r="F36" s="43">
        <f t="shared" si="1"/>
        <v>3.6114186851211073E-11</v>
      </c>
      <c r="G36" s="10">
        <f t="shared" si="2"/>
        <v>3.5391974849291734</v>
      </c>
      <c r="H36" s="4">
        <f t="shared" si="2"/>
        <v>7.0783949698583468</v>
      </c>
      <c r="I36" s="4">
        <f t="shared" si="2"/>
        <v>10.61759245478752</v>
      </c>
      <c r="J36" s="13">
        <f t="shared" si="2"/>
        <v>14.156789939716694</v>
      </c>
      <c r="K36" s="22">
        <f t="shared" si="3"/>
        <v>0.11664288168202902</v>
      </c>
      <c r="L36" s="44">
        <f t="shared" si="3"/>
        <v>0.17927679260015542</v>
      </c>
      <c r="M36" s="44">
        <f t="shared" si="3"/>
        <v>0.21435237329900558</v>
      </c>
      <c r="N36" s="127">
        <f t="shared" si="3"/>
        <v>0.19689819188813509</v>
      </c>
      <c r="O36" s="121">
        <f t="shared" si="6"/>
        <v>917.60666333333347</v>
      </c>
      <c r="P36" s="22">
        <f t="shared" si="7"/>
        <v>15.427950237730609</v>
      </c>
      <c r="Q36" s="22">
        <f t="shared" si="8"/>
        <v>19.260938693492101</v>
      </c>
      <c r="R36" s="61">
        <f t="shared" si="9"/>
        <v>19.689819188813509</v>
      </c>
    </row>
    <row r="37" spans="2:18" ht="15.75" thickBot="1" x14ac:dyDescent="0.3">
      <c r="B37" s="46">
        <f>B36+1/20</f>
        <v>1.0000000000000002</v>
      </c>
      <c r="C37" s="14">
        <f t="shared" si="4"/>
        <v>9150.0000000000018</v>
      </c>
      <c r="D37" s="47">
        <f t="shared" si="0"/>
        <v>7.2228373702422142E-8</v>
      </c>
      <c r="E37" s="24">
        <f t="shared" si="5"/>
        <v>173850000.00000003</v>
      </c>
      <c r="F37" s="24">
        <f t="shared" si="1"/>
        <v>3.6114186851211073E-11</v>
      </c>
      <c r="G37" s="11">
        <f t="shared" si="2"/>
        <v>3.4817530925605533</v>
      </c>
      <c r="H37" s="6">
        <f t="shared" si="2"/>
        <v>6.9635061851211066</v>
      </c>
      <c r="I37" s="6">
        <f t="shared" si="2"/>
        <v>10.445259277681661</v>
      </c>
      <c r="J37" s="15">
        <f t="shared" si="2"/>
        <v>13.927012370242213</v>
      </c>
      <c r="K37" s="25">
        <f t="shared" si="3"/>
        <v>0.11556858663878999</v>
      </c>
      <c r="L37" s="48">
        <f t="shared" si="3"/>
        <v>0.17762563166447862</v>
      </c>
      <c r="M37" s="48">
        <f t="shared" si="3"/>
        <v>0.21237816202420715</v>
      </c>
      <c r="N37" s="128">
        <f t="shared" si="3"/>
        <v>0.19508473573446447</v>
      </c>
      <c r="O37" s="125">
        <f t="shared" si="6"/>
        <v>958.18556000000024</v>
      </c>
      <c r="P37" s="25">
        <f t="shared" si="7"/>
        <v>14.534775884372761</v>
      </c>
      <c r="Q37" s="25">
        <f t="shared" si="8"/>
        <v>18.948316149989406</v>
      </c>
      <c r="R37" s="98">
        <f t="shared" si="9"/>
        <v>19.508473573446448</v>
      </c>
    </row>
  </sheetData>
  <sheetProtection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workbookViewId="0">
      <selection activeCell="B38" sqref="B38"/>
    </sheetView>
  </sheetViews>
  <sheetFormatPr defaultRowHeight="15" x14ac:dyDescent="0.25"/>
  <cols>
    <col min="1" max="1" width="9.140625" style="93"/>
    <col min="2" max="2" width="15.5703125" style="93" customWidth="1"/>
    <col min="3" max="3" width="20.5703125" style="93" customWidth="1"/>
    <col min="4" max="4" width="15.42578125" style="93" customWidth="1"/>
    <col min="5" max="5" width="4.85546875" style="93" customWidth="1"/>
    <col min="6" max="6" width="17" style="93" customWidth="1"/>
    <col min="7" max="7" width="13.5703125" style="93" customWidth="1"/>
    <col min="8" max="8" width="7.28515625" style="93" customWidth="1"/>
    <col min="9" max="9" width="11.28515625" style="93" customWidth="1"/>
    <col min="10" max="10" width="12" style="93" customWidth="1"/>
    <col min="11" max="11" width="11.42578125" style="93" customWidth="1"/>
    <col min="12" max="16384" width="9.140625" style="93"/>
  </cols>
  <sheetData>
    <row r="1" spans="2:14" ht="15.75" thickBot="1" x14ac:dyDescent="0.3">
      <c r="B1" s="1" t="s">
        <v>179</v>
      </c>
    </row>
    <row r="2" spans="2:14" x14ac:dyDescent="0.25">
      <c r="B2" s="85" t="s">
        <v>1</v>
      </c>
      <c r="C2" s="86"/>
      <c r="D2" s="68"/>
      <c r="F2" s="17" t="s">
        <v>52</v>
      </c>
      <c r="G2" s="90" t="s">
        <v>48</v>
      </c>
      <c r="H2" s="30">
        <f>D16</f>
        <v>298.14999999999998</v>
      </c>
    </row>
    <row r="3" spans="2:14" x14ac:dyDescent="0.25">
      <c r="B3" s="87" t="s">
        <v>52</v>
      </c>
      <c r="C3" s="88" t="s">
        <v>47</v>
      </c>
      <c r="D3" s="38">
        <v>25</v>
      </c>
      <c r="F3" s="20" t="s">
        <v>67</v>
      </c>
      <c r="G3" s="64" t="s">
        <v>48</v>
      </c>
      <c r="H3" s="21">
        <f>H2*D6^(D19-1)</f>
        <v>731.41114689778635</v>
      </c>
    </row>
    <row r="4" spans="2:14" x14ac:dyDescent="0.25">
      <c r="B4" s="20" t="s">
        <v>173</v>
      </c>
      <c r="C4" s="64" t="s">
        <v>51</v>
      </c>
      <c r="D4" s="38">
        <v>100</v>
      </c>
      <c r="F4" s="20" t="s">
        <v>69</v>
      </c>
      <c r="G4" s="64" t="s">
        <v>48</v>
      </c>
      <c r="H4" s="21">
        <f>H3+D27/D18</f>
        <v>4292.3867566538838</v>
      </c>
    </row>
    <row r="5" spans="2:14" ht="15.75" thickBot="1" x14ac:dyDescent="0.3">
      <c r="B5" s="20" t="s">
        <v>53</v>
      </c>
      <c r="C5" s="64" t="s">
        <v>54</v>
      </c>
      <c r="D5" s="38">
        <v>150</v>
      </c>
      <c r="F5" s="28" t="s">
        <v>70</v>
      </c>
      <c r="G5" s="65" t="s">
        <v>48</v>
      </c>
      <c r="H5" s="26">
        <f>H4/D6^(D19-1)</f>
        <v>1749.734218468511</v>
      </c>
    </row>
    <row r="6" spans="2:14" ht="15.75" thickBot="1" x14ac:dyDescent="0.3">
      <c r="B6" s="20" t="s">
        <v>60</v>
      </c>
      <c r="C6" s="64"/>
      <c r="D6" s="38">
        <v>9.5</v>
      </c>
      <c r="F6" s="94"/>
      <c r="G6" s="94"/>
      <c r="H6" s="94"/>
    </row>
    <row r="7" spans="2:14" x14ac:dyDescent="0.25">
      <c r="B7" s="20" t="s">
        <v>11</v>
      </c>
      <c r="C7" s="64" t="s">
        <v>5</v>
      </c>
      <c r="D7" s="38">
        <v>4000</v>
      </c>
      <c r="F7" s="17" t="s">
        <v>118</v>
      </c>
      <c r="G7" s="90" t="s">
        <v>105</v>
      </c>
      <c r="H7" s="102">
        <f>D18*(H2-H3)*D24</f>
        <v>-6.1117663391725398E-2</v>
      </c>
    </row>
    <row r="8" spans="2:14" x14ac:dyDescent="0.25">
      <c r="B8" s="20" t="s">
        <v>106</v>
      </c>
      <c r="C8" s="64" t="s">
        <v>0</v>
      </c>
      <c r="D8" s="38">
        <v>60</v>
      </c>
      <c r="F8" s="20" t="s">
        <v>119</v>
      </c>
      <c r="G8" s="64" t="s">
        <v>105</v>
      </c>
      <c r="H8" s="61">
        <f>D18*(H4-H3)*D24</f>
        <v>0.50232639188060368</v>
      </c>
    </row>
    <row r="9" spans="2:14" x14ac:dyDescent="0.25">
      <c r="B9" s="20" t="s">
        <v>3</v>
      </c>
      <c r="C9" s="64" t="s">
        <v>33</v>
      </c>
      <c r="D9" s="38">
        <v>43000</v>
      </c>
      <c r="F9" s="20" t="s">
        <v>120</v>
      </c>
      <c r="G9" s="64" t="s">
        <v>105</v>
      </c>
      <c r="H9" s="61">
        <f>D18*(H4-H5)*D24</f>
        <v>0.35867740060151643</v>
      </c>
    </row>
    <row r="10" spans="2:14" ht="15.75" thickBot="1" x14ac:dyDescent="0.3">
      <c r="B10" s="20" t="s">
        <v>2</v>
      </c>
      <c r="C10" s="64" t="s">
        <v>39</v>
      </c>
      <c r="D10" s="38">
        <v>0.745</v>
      </c>
      <c r="F10" s="28" t="s">
        <v>121</v>
      </c>
      <c r="G10" s="65" t="s">
        <v>105</v>
      </c>
      <c r="H10" s="98">
        <f>D18*(H2-H5)*D24</f>
        <v>-0.20476665467081259</v>
      </c>
    </row>
    <row r="11" spans="2:14" ht="15.75" thickBot="1" x14ac:dyDescent="0.3">
      <c r="B11" s="66" t="s">
        <v>178</v>
      </c>
      <c r="C11" s="64" t="s">
        <v>77</v>
      </c>
      <c r="D11" s="38">
        <v>3.0880000000000001</v>
      </c>
      <c r="F11" s="94"/>
      <c r="G11" s="94"/>
      <c r="H11" s="94"/>
    </row>
    <row r="12" spans="2:14" x14ac:dyDescent="0.25">
      <c r="B12" s="20" t="s">
        <v>75</v>
      </c>
      <c r="C12" s="64" t="s">
        <v>76</v>
      </c>
      <c r="D12" s="38">
        <v>15.06</v>
      </c>
      <c r="F12" s="17" t="s">
        <v>21</v>
      </c>
      <c r="G12" s="90"/>
      <c r="H12" s="95">
        <f>1-1/D6^(D19-1)</f>
        <v>0.59236333590952772</v>
      </c>
      <c r="I12" s="118"/>
      <c r="L12" s="118"/>
    </row>
    <row r="13" spans="2:14" ht="15.75" thickBot="1" x14ac:dyDescent="0.3">
      <c r="B13" s="20" t="s">
        <v>56</v>
      </c>
      <c r="C13" s="64" t="s">
        <v>57</v>
      </c>
      <c r="D13" s="38">
        <v>0.28599999999999998</v>
      </c>
      <c r="F13" s="28" t="s">
        <v>21</v>
      </c>
      <c r="G13" s="65"/>
      <c r="H13" s="49">
        <f>(H7+H9)/H8</f>
        <v>0.5923633359095275</v>
      </c>
    </row>
    <row r="14" spans="2:14" ht="15.75" thickBot="1" x14ac:dyDescent="0.3">
      <c r="B14" s="28" t="s">
        <v>58</v>
      </c>
      <c r="C14" s="65" t="s">
        <v>57</v>
      </c>
      <c r="D14" s="39">
        <v>1.0035000000000001</v>
      </c>
      <c r="F14" s="94"/>
    </row>
    <row r="15" spans="2:14" ht="15.75" thickBot="1" x14ac:dyDescent="0.3">
      <c r="F15" s="17" t="s">
        <v>130</v>
      </c>
      <c r="G15" s="90" t="s">
        <v>7</v>
      </c>
      <c r="H15" s="30">
        <f>(H9+H7)*D7/60/2</f>
        <v>9.918657906993035</v>
      </c>
    </row>
    <row r="16" spans="2:14" x14ac:dyDescent="0.25">
      <c r="B16" s="17" t="str">
        <f>B3</f>
        <v>T_1</v>
      </c>
      <c r="C16" s="90" t="s">
        <v>48</v>
      </c>
      <c r="D16" s="30">
        <f>D3+273.15</f>
        <v>298.14999999999998</v>
      </c>
      <c r="F16" s="20" t="s">
        <v>130</v>
      </c>
      <c r="G16" s="64" t="s">
        <v>8</v>
      </c>
      <c r="H16" s="21">
        <f>H15/0.735</f>
        <v>13.494772662575558</v>
      </c>
      <c r="N16" s="94"/>
    </row>
    <row r="17" spans="2:14" x14ac:dyDescent="0.25">
      <c r="B17" s="20" t="s">
        <v>53</v>
      </c>
      <c r="C17" s="64" t="s">
        <v>55</v>
      </c>
      <c r="D17" s="21">
        <f>D5/1000/1000</f>
        <v>1.4999999999999999E-4</v>
      </c>
      <c r="F17" s="20" t="s">
        <v>161</v>
      </c>
      <c r="G17" s="64" t="s">
        <v>7</v>
      </c>
      <c r="H17" s="21">
        <f>H8*D7/60/2</f>
        <v>16.744213062686789</v>
      </c>
      <c r="N17" s="94"/>
    </row>
    <row r="18" spans="2:14" x14ac:dyDescent="0.25">
      <c r="B18" s="20" t="s">
        <v>59</v>
      </c>
      <c r="C18" s="64" t="str">
        <f>C14</f>
        <v>kJ/kg.K</v>
      </c>
      <c r="D18" s="21">
        <f>D14-D13</f>
        <v>0.71750000000000003</v>
      </c>
      <c r="F18" s="20" t="s">
        <v>21</v>
      </c>
      <c r="G18" s="64"/>
      <c r="H18" s="45">
        <f>H15/H17</f>
        <v>0.59236333590952761</v>
      </c>
      <c r="N18" s="94"/>
    </row>
    <row r="19" spans="2:14" x14ac:dyDescent="0.25">
      <c r="B19" s="20" t="s">
        <v>68</v>
      </c>
      <c r="C19" s="64"/>
      <c r="D19" s="21">
        <f>D14/D18</f>
        <v>1.3986062717770036</v>
      </c>
      <c r="F19" s="20" t="s">
        <v>158</v>
      </c>
      <c r="G19" s="64" t="s">
        <v>79</v>
      </c>
      <c r="H19" s="61">
        <f>D26*3600/D10</f>
        <v>1.8814401761315542</v>
      </c>
      <c r="N19" s="94"/>
    </row>
    <row r="20" spans="2:14" x14ac:dyDescent="0.25">
      <c r="B20" s="20" t="str">
        <f>B8</f>
        <v>Vel_ref</v>
      </c>
      <c r="C20" s="64" t="str">
        <f>C8</f>
        <v>km/h</v>
      </c>
      <c r="D20" s="21">
        <f>D8/3.6</f>
        <v>16.666666666666668</v>
      </c>
      <c r="F20" s="20" t="s">
        <v>177</v>
      </c>
      <c r="G20" s="64" t="s">
        <v>80</v>
      </c>
      <c r="H20" s="61">
        <f>H19*D10*D11</f>
        <v>4.3283660116012079</v>
      </c>
      <c r="N20" s="94"/>
    </row>
    <row r="21" spans="2:14" ht="15.75" thickBot="1" x14ac:dyDescent="0.3">
      <c r="B21" s="20" t="s">
        <v>61</v>
      </c>
      <c r="C21" s="64" t="s">
        <v>55</v>
      </c>
      <c r="D21" s="101">
        <f>D6*D17/(D6-1)</f>
        <v>1.676470588235294E-4</v>
      </c>
      <c r="F21" s="28" t="s">
        <v>40</v>
      </c>
      <c r="G21" s="65" t="s">
        <v>81</v>
      </c>
      <c r="H21" s="26">
        <f>D8/H19</f>
        <v>31.890463890999996</v>
      </c>
      <c r="N21" s="94"/>
    </row>
    <row r="22" spans="2:14" x14ac:dyDescent="0.25">
      <c r="B22" s="20" t="s">
        <v>62</v>
      </c>
      <c r="C22" s="64" t="s">
        <v>55</v>
      </c>
      <c r="D22" s="101">
        <f>D21/D6</f>
        <v>1.764705882352941E-5</v>
      </c>
      <c r="F22" s="94"/>
      <c r="G22" s="94"/>
      <c r="N22" s="94"/>
    </row>
    <row r="23" spans="2:14" x14ac:dyDescent="0.25">
      <c r="B23" s="20" t="s">
        <v>71</v>
      </c>
      <c r="C23" s="64" t="s">
        <v>72</v>
      </c>
      <c r="D23" s="21">
        <f>D13*D16/D4</f>
        <v>0.85270899999999983</v>
      </c>
      <c r="G23" s="94"/>
      <c r="H23" s="94"/>
      <c r="K23" s="94"/>
      <c r="L23" s="94"/>
      <c r="M23" s="94"/>
      <c r="N23" s="94"/>
    </row>
    <row r="24" spans="2:14" x14ac:dyDescent="0.25">
      <c r="B24" s="20" t="s">
        <v>108</v>
      </c>
      <c r="C24" s="64" t="s">
        <v>102</v>
      </c>
      <c r="D24" s="101">
        <f>D21/D23</f>
        <v>1.9660524144054939E-4</v>
      </c>
      <c r="J24" s="94"/>
      <c r="K24" s="94"/>
      <c r="L24" s="94"/>
      <c r="M24" s="94"/>
      <c r="N24" s="94"/>
    </row>
    <row r="25" spans="2:14" x14ac:dyDescent="0.25">
      <c r="B25" s="20" t="s">
        <v>73</v>
      </c>
      <c r="C25" s="64" t="s">
        <v>74</v>
      </c>
      <c r="D25" s="97">
        <f>D5/1000000/2*D7/60/D23</f>
        <v>5.8636650955953334E-3</v>
      </c>
    </row>
    <row r="26" spans="2:14" x14ac:dyDescent="0.25">
      <c r="B26" s="20" t="s">
        <v>78</v>
      </c>
      <c r="C26" s="64" t="s">
        <v>74</v>
      </c>
      <c r="D26" s="97">
        <f>D25/D12</f>
        <v>3.893535920050022E-4</v>
      </c>
    </row>
    <row r="27" spans="2:14" ht="15.75" thickBot="1" x14ac:dyDescent="0.3">
      <c r="B27" s="28" t="s">
        <v>63</v>
      </c>
      <c r="C27" s="65" t="s">
        <v>64</v>
      </c>
      <c r="D27" s="99">
        <v>2555</v>
      </c>
      <c r="J27" s="96"/>
    </row>
    <row r="31" spans="2:14" x14ac:dyDescent="0.25">
      <c r="J31" s="96"/>
    </row>
  </sheetData>
  <sheetProtection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workbookViewId="0">
      <selection activeCell="H12" sqref="H12"/>
    </sheetView>
  </sheetViews>
  <sheetFormatPr defaultRowHeight="15" x14ac:dyDescent="0.25"/>
  <cols>
    <col min="1" max="1" width="9.140625" style="93"/>
    <col min="2" max="2" width="16.7109375" style="93" customWidth="1"/>
    <col min="3" max="3" width="21.7109375" style="93" customWidth="1"/>
    <col min="4" max="4" width="12.140625" style="93" customWidth="1"/>
    <col min="5" max="5" width="6.140625" style="93" customWidth="1"/>
    <col min="6" max="6" width="21" style="93" customWidth="1"/>
    <col min="7" max="7" width="9.5703125" style="93" customWidth="1"/>
    <col min="8" max="8" width="8.7109375" style="93" customWidth="1"/>
    <col min="9" max="9" width="11.28515625" style="93" customWidth="1"/>
    <col min="10" max="10" width="12" style="93" customWidth="1"/>
    <col min="11" max="11" width="11.42578125" style="93" customWidth="1"/>
    <col min="12" max="16384" width="9.140625" style="93"/>
  </cols>
  <sheetData>
    <row r="1" spans="2:14" ht="15.75" thickBot="1" x14ac:dyDescent="0.3">
      <c r="B1" s="1" t="s">
        <v>179</v>
      </c>
    </row>
    <row r="2" spans="2:14" x14ac:dyDescent="0.25">
      <c r="B2" s="85" t="s">
        <v>1</v>
      </c>
      <c r="C2" s="86"/>
      <c r="D2" s="68"/>
      <c r="F2" s="17" t="s">
        <v>52</v>
      </c>
      <c r="G2" s="90" t="s">
        <v>48</v>
      </c>
      <c r="H2" s="30">
        <f>D18</f>
        <v>298.14999999999998</v>
      </c>
    </row>
    <row r="3" spans="2:14" x14ac:dyDescent="0.25">
      <c r="B3" s="87" t="s">
        <v>52</v>
      </c>
      <c r="C3" s="88" t="s">
        <v>47</v>
      </c>
      <c r="D3" s="38">
        <v>25</v>
      </c>
      <c r="F3" s="20" t="s">
        <v>85</v>
      </c>
      <c r="G3" s="64" t="s">
        <v>48</v>
      </c>
      <c r="H3" s="21">
        <f>H2*D8^(D21-1)</f>
        <v>731.41114689778635</v>
      </c>
    </row>
    <row r="4" spans="2:14" x14ac:dyDescent="0.25">
      <c r="B4" s="20" t="s">
        <v>173</v>
      </c>
      <c r="C4" s="64" t="s">
        <v>51</v>
      </c>
      <c r="D4" s="38">
        <v>100</v>
      </c>
      <c r="F4" s="20" t="s">
        <v>67</v>
      </c>
      <c r="G4" s="64" t="s">
        <v>48</v>
      </c>
      <c r="H4" s="21">
        <f>H2+(H3-H2)/D6</f>
        <v>875.83152919704844</v>
      </c>
    </row>
    <row r="5" spans="2:14" x14ac:dyDescent="0.25">
      <c r="B5" s="20" t="s">
        <v>53</v>
      </c>
      <c r="C5" s="64" t="s">
        <v>54</v>
      </c>
      <c r="D5" s="38">
        <v>150</v>
      </c>
      <c r="F5" s="20" t="s">
        <v>69</v>
      </c>
      <c r="G5" s="64" t="s">
        <v>48</v>
      </c>
      <c r="H5" s="21">
        <f>H4+D29/D20</f>
        <v>4436.3799705560086</v>
      </c>
    </row>
    <row r="6" spans="2:14" x14ac:dyDescent="0.25">
      <c r="B6" s="20" t="s">
        <v>86</v>
      </c>
      <c r="C6" s="64"/>
      <c r="D6" s="100">
        <v>0.75</v>
      </c>
      <c r="F6" s="20" t="s">
        <v>84</v>
      </c>
      <c r="G6" s="64" t="s">
        <v>48</v>
      </c>
      <c r="H6" s="21">
        <f>H5/D8^(D21-1)</f>
        <v>1808.4311318352388</v>
      </c>
    </row>
    <row r="7" spans="2:14" ht="15.75" thickBot="1" x14ac:dyDescent="0.3">
      <c r="B7" s="20" t="s">
        <v>87</v>
      </c>
      <c r="C7" s="64"/>
      <c r="D7" s="100">
        <v>0.8</v>
      </c>
      <c r="F7" s="28" t="s">
        <v>70</v>
      </c>
      <c r="G7" s="65" t="s">
        <v>48</v>
      </c>
      <c r="H7" s="26">
        <f>H5+(H6-H5)*D7</f>
        <v>2334.0208995793928</v>
      </c>
    </row>
    <row r="8" spans="2:14" ht="15.75" thickBot="1" x14ac:dyDescent="0.3">
      <c r="B8" s="20" t="s">
        <v>60</v>
      </c>
      <c r="C8" s="64"/>
      <c r="D8" s="38">
        <v>9.5</v>
      </c>
      <c r="F8" s="94"/>
      <c r="G8" s="94"/>
      <c r="H8" s="94"/>
    </row>
    <row r="9" spans="2:14" x14ac:dyDescent="0.25">
      <c r="B9" s="20" t="s">
        <v>11</v>
      </c>
      <c r="C9" s="64" t="s">
        <v>5</v>
      </c>
      <c r="D9" s="38">
        <v>4000</v>
      </c>
      <c r="F9" s="17" t="s">
        <v>118</v>
      </c>
      <c r="G9" s="90" t="s">
        <v>105</v>
      </c>
      <c r="H9" s="102">
        <f>D20*(H2-H4)*D26</f>
        <v>-8.1490217855633845E-2</v>
      </c>
    </row>
    <row r="10" spans="2:14" x14ac:dyDescent="0.25">
      <c r="B10" s="20" t="s">
        <v>106</v>
      </c>
      <c r="C10" s="64" t="s">
        <v>0</v>
      </c>
      <c r="D10" s="38">
        <v>60</v>
      </c>
      <c r="F10" s="20" t="s">
        <v>119</v>
      </c>
      <c r="G10" s="64" t="s">
        <v>105</v>
      </c>
      <c r="H10" s="61">
        <f>D20*(H5-H4)*D26</f>
        <v>0.50226613368645279</v>
      </c>
    </row>
    <row r="11" spans="2:14" x14ac:dyDescent="0.25">
      <c r="B11" s="20" t="s">
        <v>3</v>
      </c>
      <c r="C11" s="64" t="s">
        <v>33</v>
      </c>
      <c r="D11" s="38">
        <v>43000</v>
      </c>
      <c r="F11" s="20" t="s">
        <v>120</v>
      </c>
      <c r="G11" s="64" t="s">
        <v>105</v>
      </c>
      <c r="H11" s="61">
        <f>D20*(H5-H7)*D26</f>
        <v>0.29656772814388216</v>
      </c>
    </row>
    <row r="12" spans="2:14" ht="15.75" thickBot="1" x14ac:dyDescent="0.3">
      <c r="B12" s="20" t="s">
        <v>2</v>
      </c>
      <c r="C12" s="64" t="s">
        <v>39</v>
      </c>
      <c r="D12" s="38">
        <v>0.745</v>
      </c>
      <c r="F12" s="28" t="s">
        <v>121</v>
      </c>
      <c r="G12" s="65" t="s">
        <v>105</v>
      </c>
      <c r="H12" s="98">
        <f>D20*(H2-H7)*D26</f>
        <v>-0.28718862339820439</v>
      </c>
    </row>
    <row r="13" spans="2:14" ht="15.75" thickBot="1" x14ac:dyDescent="0.3">
      <c r="B13" s="66" t="s">
        <v>178</v>
      </c>
      <c r="C13" s="64" t="s">
        <v>77</v>
      </c>
      <c r="D13" s="38">
        <v>3.0880000000000001</v>
      </c>
      <c r="F13" s="94"/>
      <c r="G13" s="94"/>
      <c r="H13" s="94"/>
    </row>
    <row r="14" spans="2:14" x14ac:dyDescent="0.25">
      <c r="B14" s="20" t="s">
        <v>75</v>
      </c>
      <c r="C14" s="64" t="s">
        <v>76</v>
      </c>
      <c r="D14" s="38">
        <v>15.06</v>
      </c>
      <c r="F14" s="17" t="s">
        <v>130</v>
      </c>
      <c r="G14" s="90" t="s">
        <v>7</v>
      </c>
      <c r="H14" s="30">
        <f>(H9+H11)*D9/60/2</f>
        <v>7.1692503429416101</v>
      </c>
    </row>
    <row r="15" spans="2:14" x14ac:dyDescent="0.25">
      <c r="B15" s="20" t="s">
        <v>56</v>
      </c>
      <c r="C15" s="64" t="s">
        <v>57</v>
      </c>
      <c r="D15" s="38">
        <v>0.28599999999999998</v>
      </c>
      <c r="F15" s="20" t="s">
        <v>130</v>
      </c>
      <c r="G15" s="64" t="s">
        <v>8</v>
      </c>
      <c r="H15" s="21">
        <f>H14/0.735</f>
        <v>9.7540820992402857</v>
      </c>
    </row>
    <row r="16" spans="2:14" ht="15.75" thickBot="1" x14ac:dyDescent="0.3">
      <c r="B16" s="28" t="s">
        <v>58</v>
      </c>
      <c r="C16" s="65" t="s">
        <v>57</v>
      </c>
      <c r="D16" s="39">
        <v>1.0035000000000001</v>
      </c>
      <c r="F16" s="20" t="s">
        <v>161</v>
      </c>
      <c r="G16" s="64" t="s">
        <v>7</v>
      </c>
      <c r="H16" s="21">
        <f>H10*D9/60/2</f>
        <v>16.742204456215095</v>
      </c>
      <c r="N16" s="94"/>
    </row>
    <row r="17" spans="2:14" ht="15.75" thickBot="1" x14ac:dyDescent="0.3">
      <c r="F17" s="20" t="s">
        <v>21</v>
      </c>
      <c r="G17" s="64"/>
      <c r="H17" s="45">
        <f>H14/H16</f>
        <v>0.42821423915177537</v>
      </c>
      <c r="N17" s="94"/>
    </row>
    <row r="18" spans="2:14" x14ac:dyDescent="0.25">
      <c r="B18" s="17" t="str">
        <f>B3</f>
        <v>T_1</v>
      </c>
      <c r="C18" s="90" t="s">
        <v>48</v>
      </c>
      <c r="D18" s="30">
        <f>D3+273.15</f>
        <v>298.14999999999998</v>
      </c>
      <c r="F18" s="20" t="s">
        <v>158</v>
      </c>
      <c r="G18" s="64" t="s">
        <v>79</v>
      </c>
      <c r="H18" s="61">
        <f>D28*3600/D12</f>
        <v>1.8814401761315542</v>
      </c>
      <c r="N18" s="94"/>
    </row>
    <row r="19" spans="2:14" x14ac:dyDescent="0.25">
      <c r="B19" s="20" t="s">
        <v>53</v>
      </c>
      <c r="C19" s="64" t="s">
        <v>55</v>
      </c>
      <c r="D19" s="97">
        <f>D5/1000/1000</f>
        <v>1.4999999999999999E-4</v>
      </c>
      <c r="F19" s="20" t="s">
        <v>177</v>
      </c>
      <c r="G19" s="64" t="s">
        <v>80</v>
      </c>
      <c r="H19" s="61">
        <f>H18*D12*D13</f>
        <v>4.3283660116012079</v>
      </c>
      <c r="N19" s="94"/>
    </row>
    <row r="20" spans="2:14" ht="15.75" thickBot="1" x14ac:dyDescent="0.3">
      <c r="B20" s="20" t="s">
        <v>59</v>
      </c>
      <c r="C20" s="64" t="str">
        <f>C16</f>
        <v>kJ/kg.K</v>
      </c>
      <c r="D20" s="21">
        <f>D16-D15</f>
        <v>0.71750000000000003</v>
      </c>
      <c r="F20" s="28" t="s">
        <v>40</v>
      </c>
      <c r="G20" s="65" t="s">
        <v>81</v>
      </c>
      <c r="H20" s="26">
        <f>D10/H18</f>
        <v>31.890463890999996</v>
      </c>
      <c r="N20" s="94"/>
    </row>
    <row r="21" spans="2:14" x14ac:dyDescent="0.25">
      <c r="B21" s="20" t="s">
        <v>68</v>
      </c>
      <c r="C21" s="64"/>
      <c r="D21" s="21">
        <f>D16/D20</f>
        <v>1.3986062717770036</v>
      </c>
      <c r="N21" s="94"/>
    </row>
    <row r="22" spans="2:14" x14ac:dyDescent="0.25">
      <c r="B22" s="20" t="str">
        <f>B10</f>
        <v>Vel_ref</v>
      </c>
      <c r="C22" s="64" t="str">
        <f>C10</f>
        <v>km/h</v>
      </c>
      <c r="D22" s="21">
        <f>D10/3.6</f>
        <v>16.666666666666668</v>
      </c>
      <c r="N22" s="94"/>
    </row>
    <row r="23" spans="2:14" x14ac:dyDescent="0.25">
      <c r="B23" s="20" t="s">
        <v>61</v>
      </c>
      <c r="C23" s="64" t="s">
        <v>55</v>
      </c>
      <c r="D23" s="97">
        <f>D8*D19/(D8-1)</f>
        <v>1.676470588235294E-4</v>
      </c>
      <c r="K23" s="94"/>
      <c r="L23" s="94"/>
      <c r="M23" s="94"/>
      <c r="N23" s="94"/>
    </row>
    <row r="24" spans="2:14" x14ac:dyDescent="0.25">
      <c r="B24" s="20" t="s">
        <v>62</v>
      </c>
      <c r="C24" s="64" t="s">
        <v>55</v>
      </c>
      <c r="D24" s="97">
        <f>D23/D8</f>
        <v>1.764705882352941E-5</v>
      </c>
      <c r="G24" s="94"/>
      <c r="H24" s="94"/>
      <c r="J24" s="94"/>
      <c r="K24" s="94"/>
      <c r="L24" s="94"/>
      <c r="M24" s="94"/>
      <c r="N24" s="94"/>
    </row>
    <row r="25" spans="2:14" x14ac:dyDescent="0.25">
      <c r="B25" s="20" t="s">
        <v>71</v>
      </c>
      <c r="C25" s="64" t="s">
        <v>72</v>
      </c>
      <c r="D25" s="21">
        <f>D15*D18/D4</f>
        <v>0.85270899999999983</v>
      </c>
    </row>
    <row r="26" spans="2:14" x14ac:dyDescent="0.25">
      <c r="B26" s="20" t="s">
        <v>108</v>
      </c>
      <c r="C26" s="64" t="s">
        <v>102</v>
      </c>
      <c r="D26" s="101">
        <f>D23/D25</f>
        <v>1.9660524144054939E-4</v>
      </c>
    </row>
    <row r="27" spans="2:14" x14ac:dyDescent="0.25">
      <c r="B27" s="20" t="s">
        <v>73</v>
      </c>
      <c r="C27" s="64" t="s">
        <v>74</v>
      </c>
      <c r="D27" s="97">
        <f>D5/1000000/2*D9/60/D25</f>
        <v>5.8636650955953334E-3</v>
      </c>
      <c r="J27" s="96"/>
    </row>
    <row r="28" spans="2:14" x14ac:dyDescent="0.25">
      <c r="B28" s="20" t="s">
        <v>78</v>
      </c>
      <c r="C28" s="64" t="s">
        <v>74</v>
      </c>
      <c r="D28" s="97">
        <f>D27/D14</f>
        <v>3.893535920050022E-4</v>
      </c>
    </row>
    <row r="29" spans="2:14" ht="15.75" thickBot="1" x14ac:dyDescent="0.3">
      <c r="B29" s="28" t="s">
        <v>63</v>
      </c>
      <c r="C29" s="65" t="s">
        <v>64</v>
      </c>
      <c r="D29" s="99">
        <f>D28*D11/(D27*(D23/D19))</f>
        <v>2554.6935066750543</v>
      </c>
    </row>
    <row r="31" spans="2:14" x14ac:dyDescent="0.25">
      <c r="J31" s="96"/>
    </row>
  </sheetData>
  <sheetProtection sheet="1" objects="1" scenarios="1"/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workbookViewId="0">
      <selection activeCell="H12" sqref="H12"/>
    </sheetView>
  </sheetViews>
  <sheetFormatPr defaultRowHeight="15" x14ac:dyDescent="0.25"/>
  <cols>
    <col min="1" max="1" width="9.140625" style="93"/>
    <col min="2" max="2" width="9.85546875" style="93" customWidth="1"/>
    <col min="3" max="3" width="16.42578125" style="93" customWidth="1"/>
    <col min="4" max="4" width="7" style="93" customWidth="1"/>
    <col min="5" max="5" width="8.7109375" style="93" customWidth="1"/>
    <col min="6" max="6" width="13.42578125" style="93" bestFit="1" customWidth="1"/>
    <col min="7" max="7" width="16.42578125" style="93" customWidth="1"/>
    <col min="8" max="8" width="11" style="93" customWidth="1"/>
    <col min="9" max="9" width="6.28515625" style="93" customWidth="1"/>
    <col min="10" max="10" width="19.140625" style="93" customWidth="1"/>
    <col min="11" max="11" width="12.5703125" style="93" customWidth="1"/>
    <col min="12" max="12" width="16.42578125" style="93" bestFit="1" customWidth="1"/>
    <col min="13" max="13" width="8.28515625" style="93" customWidth="1"/>
    <col min="14" max="14" width="9.140625" style="93"/>
    <col min="15" max="15" width="8.42578125" style="93" customWidth="1"/>
    <col min="16" max="16" width="13.28515625" style="93" bestFit="1" customWidth="1"/>
    <col min="17" max="17" width="7.28515625" style="93" customWidth="1"/>
    <col min="18" max="16384" width="9.140625" style="93"/>
  </cols>
  <sheetData>
    <row r="1" spans="2:13" ht="15.75" thickBot="1" x14ac:dyDescent="0.3">
      <c r="B1" s="1" t="s">
        <v>179</v>
      </c>
      <c r="C1" s="16"/>
      <c r="D1" s="16"/>
      <c r="E1" s="16"/>
      <c r="F1" s="16"/>
      <c r="G1" s="16"/>
      <c r="H1" s="16"/>
      <c r="J1" s="19"/>
      <c r="K1" s="19"/>
      <c r="L1" s="35"/>
      <c r="M1" s="16"/>
    </row>
    <row r="2" spans="2:13" x14ac:dyDescent="0.25">
      <c r="B2" s="104" t="s">
        <v>1</v>
      </c>
      <c r="C2" s="105"/>
      <c r="D2" s="106"/>
      <c r="E2" s="16"/>
      <c r="F2" s="17" t="s">
        <v>50</v>
      </c>
      <c r="G2" s="90" t="s">
        <v>48</v>
      </c>
      <c r="H2" s="18">
        <f>273+D7</f>
        <v>298</v>
      </c>
      <c r="J2" s="17" t="s">
        <v>52</v>
      </c>
      <c r="K2" s="90" t="s">
        <v>48</v>
      </c>
      <c r="L2" s="30">
        <f>H2</f>
        <v>298</v>
      </c>
      <c r="M2" s="16"/>
    </row>
    <row r="3" spans="2:13" x14ac:dyDescent="0.25">
      <c r="B3" s="20" t="s">
        <v>88</v>
      </c>
      <c r="C3" s="64" t="s">
        <v>89</v>
      </c>
      <c r="D3" s="38">
        <v>8</v>
      </c>
      <c r="E3" s="16"/>
      <c r="F3" s="20" t="s">
        <v>96</v>
      </c>
      <c r="G3" s="64"/>
      <c r="H3" s="27">
        <f>D3+D4/4-D5/2</f>
        <v>12.5</v>
      </c>
      <c r="J3" s="20" t="s">
        <v>85</v>
      </c>
      <c r="K3" s="64" t="s">
        <v>48</v>
      </c>
      <c r="L3" s="21">
        <f>L2*D12^(H14-1)</f>
        <v>731.04317214670584</v>
      </c>
      <c r="M3" s="16"/>
    </row>
    <row r="4" spans="2:13" x14ac:dyDescent="0.25">
      <c r="B4" s="20" t="s">
        <v>90</v>
      </c>
      <c r="C4" s="64" t="s">
        <v>91</v>
      </c>
      <c r="D4" s="38">
        <v>18</v>
      </c>
      <c r="E4" s="16"/>
      <c r="F4" s="20" t="s">
        <v>98</v>
      </c>
      <c r="G4" s="64"/>
      <c r="H4" s="27">
        <f>0.21*2*16+0.79*2*14</f>
        <v>28.84</v>
      </c>
      <c r="J4" s="20" t="s">
        <v>67</v>
      </c>
      <c r="K4" s="64" t="s">
        <v>48</v>
      </c>
      <c r="L4" s="21">
        <f>L2+(L3-L2)/D10</f>
        <v>875.39089619560775</v>
      </c>
      <c r="M4" s="16"/>
    </row>
    <row r="5" spans="2:13" x14ac:dyDescent="0.25">
      <c r="B5" s="20" t="s">
        <v>92</v>
      </c>
      <c r="C5" s="64" t="s">
        <v>93</v>
      </c>
      <c r="D5" s="38">
        <v>0</v>
      </c>
      <c r="E5" s="16"/>
      <c r="F5" s="20" t="s">
        <v>99</v>
      </c>
      <c r="G5" s="64"/>
      <c r="H5" s="27">
        <f>D3*12+D4*1+D5*16</f>
        <v>114</v>
      </c>
      <c r="J5" s="20" t="s">
        <v>69</v>
      </c>
      <c r="K5" s="64" t="s">
        <v>48</v>
      </c>
      <c r="L5" s="21">
        <f>L4+H21/H13</f>
        <v>4228.2672677874334</v>
      </c>
      <c r="M5" s="16"/>
    </row>
    <row r="6" spans="2:13" x14ac:dyDescent="0.25">
      <c r="B6" s="20" t="s">
        <v>95</v>
      </c>
      <c r="C6" s="64"/>
      <c r="D6" s="38">
        <v>1</v>
      </c>
      <c r="E6" s="16"/>
      <c r="F6" s="20" t="s">
        <v>97</v>
      </c>
      <c r="G6" s="64"/>
      <c r="H6" s="61">
        <f>D6*(1*H3 + 0.79/0.21*H3)*H4/H5</f>
        <v>15.058479532163743</v>
      </c>
      <c r="J6" s="20" t="s">
        <v>84</v>
      </c>
      <c r="K6" s="64" t="s">
        <v>48</v>
      </c>
      <c r="L6" s="21">
        <f>L5/D12^(H14-1)</f>
        <v>1723.5967639238049</v>
      </c>
      <c r="M6" s="16"/>
    </row>
    <row r="7" spans="2:13" ht="15.75" thickBot="1" x14ac:dyDescent="0.3">
      <c r="B7" s="20" t="s">
        <v>50</v>
      </c>
      <c r="C7" s="64" t="s">
        <v>47</v>
      </c>
      <c r="D7" s="38">
        <v>25</v>
      </c>
      <c r="E7" s="16"/>
      <c r="F7" s="20" t="s">
        <v>53</v>
      </c>
      <c r="G7" s="64" t="s">
        <v>55</v>
      </c>
      <c r="H7" s="97">
        <f>D9/1000000</f>
        <v>1.4999999999999999E-4</v>
      </c>
      <c r="J7" s="28" t="s">
        <v>70</v>
      </c>
      <c r="K7" s="65" t="s">
        <v>48</v>
      </c>
      <c r="L7" s="26">
        <f>L5+(L6-L5)*D11</f>
        <v>2224.5308646965304</v>
      </c>
    </row>
    <row r="8" spans="2:13" ht="15.75" thickBot="1" x14ac:dyDescent="0.3">
      <c r="B8" s="20" t="s">
        <v>49</v>
      </c>
      <c r="C8" s="64" t="s">
        <v>51</v>
      </c>
      <c r="D8" s="38">
        <v>100</v>
      </c>
      <c r="E8" s="16"/>
      <c r="F8" s="66" t="s">
        <v>178</v>
      </c>
      <c r="G8" s="64" t="s">
        <v>34</v>
      </c>
      <c r="H8" s="130">
        <f>D3*(12+2*16)/H5</f>
        <v>3.0877192982456139</v>
      </c>
      <c r="J8" s="94"/>
      <c r="K8" s="94"/>
      <c r="L8" s="94"/>
    </row>
    <row r="9" spans="2:13" x14ac:dyDescent="0.25">
      <c r="B9" s="20" t="s">
        <v>53</v>
      </c>
      <c r="C9" s="64" t="s">
        <v>54</v>
      </c>
      <c r="D9" s="38">
        <v>150</v>
      </c>
      <c r="E9" s="16"/>
      <c r="F9" s="20" t="s">
        <v>100</v>
      </c>
      <c r="G9" s="64"/>
      <c r="H9" s="97">
        <f>1/(D6*H3*(1+0.79/0.21)+1)</f>
        <v>1.6522423288749016E-2</v>
      </c>
      <c r="J9" s="17" t="s">
        <v>118</v>
      </c>
      <c r="K9" s="90" t="s">
        <v>105</v>
      </c>
      <c r="L9" s="102">
        <f>H13*(L2-L4)*H20</f>
        <v>-8.4438070406182592E-2</v>
      </c>
    </row>
    <row r="10" spans="2:13" x14ac:dyDescent="0.25">
      <c r="B10" s="20" t="s">
        <v>86</v>
      </c>
      <c r="C10" s="64"/>
      <c r="D10" s="38">
        <v>0.75</v>
      </c>
      <c r="E10" s="16"/>
      <c r="F10" s="20" t="s">
        <v>174</v>
      </c>
      <c r="G10" s="64" t="s">
        <v>102</v>
      </c>
      <c r="H10" s="27">
        <f>(H5*D8*H9*H7)/(8.3145*H2)</f>
        <v>1.1402956113202744E-5</v>
      </c>
      <c r="J10" s="20" t="s">
        <v>119</v>
      </c>
      <c r="K10" s="64" t="s">
        <v>105</v>
      </c>
      <c r="L10" s="61">
        <f>H13*(L5-L4)*H20</f>
        <v>0.49032711286771802</v>
      </c>
    </row>
    <row r="11" spans="2:13" x14ac:dyDescent="0.25">
      <c r="B11" s="20" t="s">
        <v>87</v>
      </c>
      <c r="C11" s="64"/>
      <c r="D11" s="100">
        <v>0.8</v>
      </c>
      <c r="E11" s="16"/>
      <c r="F11" s="20" t="s">
        <v>103</v>
      </c>
      <c r="G11" s="64" t="s">
        <v>102</v>
      </c>
      <c r="H11" s="97">
        <f>(H4*D8*(1-H9)*H7)/(8.3145*H2)</f>
        <v>1.7171118123682496E-4</v>
      </c>
      <c r="J11" s="20" t="s">
        <v>120</v>
      </c>
      <c r="K11" s="64" t="s">
        <v>105</v>
      </c>
      <c r="L11" s="61">
        <f>H13*(L5-L7)*H20</f>
        <v>0.29302788906859067</v>
      </c>
    </row>
    <row r="12" spans="2:13" ht="15.75" thickBot="1" x14ac:dyDescent="0.3">
      <c r="B12" s="20" t="s">
        <v>60</v>
      </c>
      <c r="C12" s="64"/>
      <c r="D12" s="38">
        <v>9.5</v>
      </c>
      <c r="E12" s="16"/>
      <c r="F12" s="20" t="s">
        <v>104</v>
      </c>
      <c r="G12" s="64" t="s">
        <v>105</v>
      </c>
      <c r="H12" s="61">
        <f>H10*D15</f>
        <v>0.49032711286771796</v>
      </c>
      <c r="J12" s="28" t="s">
        <v>121</v>
      </c>
      <c r="K12" s="65" t="s">
        <v>105</v>
      </c>
      <c r="L12" s="98">
        <f>H13*(L2-L7)*H20</f>
        <v>-0.28173729420530985</v>
      </c>
    </row>
    <row r="13" spans="2:13" ht="15.75" thickBot="1" x14ac:dyDescent="0.3">
      <c r="B13" s="20" t="s">
        <v>11</v>
      </c>
      <c r="C13" s="64" t="s">
        <v>5</v>
      </c>
      <c r="D13" s="38">
        <v>4000</v>
      </c>
      <c r="E13" s="16"/>
      <c r="F13" s="20" t="s">
        <v>59</v>
      </c>
      <c r="G13" s="64" t="str">
        <f>C18</f>
        <v>kJ/kg.K</v>
      </c>
      <c r="H13" s="21">
        <f>D18-D17</f>
        <v>0.71750000000000003</v>
      </c>
      <c r="J13" s="94"/>
      <c r="K13" s="94"/>
      <c r="L13" s="94"/>
    </row>
    <row r="14" spans="2:13" x14ac:dyDescent="0.25">
      <c r="B14" s="20" t="s">
        <v>106</v>
      </c>
      <c r="C14" s="64" t="s">
        <v>0</v>
      </c>
      <c r="D14" s="38">
        <v>60</v>
      </c>
      <c r="E14" s="16"/>
      <c r="F14" s="20" t="s">
        <v>68</v>
      </c>
      <c r="G14" s="64"/>
      <c r="H14" s="21">
        <f>D18/H13</f>
        <v>1.3986062717770036</v>
      </c>
      <c r="J14" s="17" t="s">
        <v>82</v>
      </c>
      <c r="K14" s="90" t="s">
        <v>7</v>
      </c>
      <c r="L14" s="30">
        <f>(L9+L11)*D13/2/60</f>
        <v>6.9529939554136027</v>
      </c>
    </row>
    <row r="15" spans="2:13" x14ac:dyDescent="0.25">
      <c r="B15" s="20" t="s">
        <v>3</v>
      </c>
      <c r="C15" s="64" t="s">
        <v>33</v>
      </c>
      <c r="D15" s="38">
        <v>43000</v>
      </c>
      <c r="E15" s="16"/>
      <c r="F15" s="20" t="str">
        <f>B14</f>
        <v>Vel_ref</v>
      </c>
      <c r="G15" s="64" t="str">
        <f>C14</f>
        <v>km/h</v>
      </c>
      <c r="H15" s="21">
        <f>D14/3.6</f>
        <v>16.666666666666668</v>
      </c>
      <c r="J15" s="20" t="s">
        <v>82</v>
      </c>
      <c r="K15" s="64" t="s">
        <v>8</v>
      </c>
      <c r="L15" s="21">
        <f>L14/0.735</f>
        <v>9.4598557216511594</v>
      </c>
    </row>
    <row r="16" spans="2:13" x14ac:dyDescent="0.25">
      <c r="B16" s="20" t="s">
        <v>2</v>
      </c>
      <c r="C16" s="64" t="s">
        <v>39</v>
      </c>
      <c r="D16" s="38">
        <v>0.745</v>
      </c>
      <c r="E16" s="16"/>
      <c r="F16" s="20" t="s">
        <v>61</v>
      </c>
      <c r="G16" s="64" t="s">
        <v>55</v>
      </c>
      <c r="H16" s="97">
        <f>D12*H7/(D12-1)</f>
        <v>1.676470588235294E-4</v>
      </c>
      <c r="J16" s="20" t="s">
        <v>83</v>
      </c>
      <c r="K16" s="64" t="s">
        <v>7</v>
      </c>
      <c r="L16" s="21">
        <f>L10*D13/2/60</f>
        <v>16.3442370955906</v>
      </c>
      <c r="M16" s="120"/>
    </row>
    <row r="17" spans="2:17" x14ac:dyDescent="0.25">
      <c r="B17" s="20" t="s">
        <v>56</v>
      </c>
      <c r="C17" s="64" t="s">
        <v>57</v>
      </c>
      <c r="D17" s="38">
        <v>0.28599999999999998</v>
      </c>
      <c r="E17" s="16"/>
      <c r="F17" s="20" t="s">
        <v>62</v>
      </c>
      <c r="G17" s="64" t="s">
        <v>55</v>
      </c>
      <c r="H17" s="97">
        <f>H16/D12</f>
        <v>1.764705882352941E-5</v>
      </c>
      <c r="J17" s="20" t="s">
        <v>21</v>
      </c>
      <c r="K17" s="64"/>
      <c r="L17" s="45">
        <f>L14/L16</f>
        <v>0.42540951374777863</v>
      </c>
    </row>
    <row r="18" spans="2:17" ht="15.75" thickBot="1" x14ac:dyDescent="0.3">
      <c r="B18" s="28" t="s">
        <v>58</v>
      </c>
      <c r="C18" s="65" t="s">
        <v>57</v>
      </c>
      <c r="D18" s="39">
        <v>1.0035000000000001</v>
      </c>
      <c r="E18" s="16"/>
      <c r="F18" s="20" t="s">
        <v>71</v>
      </c>
      <c r="G18" s="64" t="s">
        <v>72</v>
      </c>
      <c r="H18" s="61">
        <f>D17*H2/D8</f>
        <v>0.85227999999999993</v>
      </c>
      <c r="J18" s="20" t="s">
        <v>158</v>
      </c>
      <c r="K18" s="64" t="s">
        <v>79</v>
      </c>
      <c r="L18" s="61">
        <f>H10*D13/2*60/D16</f>
        <v>1.8367177632004419</v>
      </c>
    </row>
    <row r="19" spans="2:17" x14ac:dyDescent="0.25">
      <c r="B19" s="16"/>
      <c r="C19" s="16"/>
      <c r="D19" s="16"/>
      <c r="E19" s="16"/>
      <c r="F19" s="20" t="s">
        <v>107</v>
      </c>
      <c r="G19" s="64" t="s">
        <v>102</v>
      </c>
      <c r="H19" s="97">
        <f>D8*H17/(D17*H2)</f>
        <v>2.070570566425284E-5</v>
      </c>
      <c r="J19" s="20" t="s">
        <v>177</v>
      </c>
      <c r="K19" s="64" t="s">
        <v>80</v>
      </c>
      <c r="L19" s="61">
        <f>L18*D16*H8</f>
        <v>4.2250953177340689</v>
      </c>
    </row>
    <row r="20" spans="2:17" ht="15.75" thickBot="1" x14ac:dyDescent="0.3">
      <c r="E20" s="16"/>
      <c r="F20" s="20" t="s">
        <v>108</v>
      </c>
      <c r="G20" s="64" t="s">
        <v>102</v>
      </c>
      <c r="H20" s="97">
        <f>H19+H11+H10</f>
        <v>2.0381984301428056E-4</v>
      </c>
      <c r="J20" s="28" t="s">
        <v>40</v>
      </c>
      <c r="K20" s="65" t="s">
        <v>81</v>
      </c>
      <c r="L20" s="26">
        <f>D14/L18</f>
        <v>32.666967784670014</v>
      </c>
    </row>
    <row r="21" spans="2:17" ht="15.75" thickBot="1" x14ac:dyDescent="0.3">
      <c r="E21" s="16"/>
      <c r="F21" s="28" t="s">
        <v>63</v>
      </c>
      <c r="G21" s="65" t="s">
        <v>64</v>
      </c>
      <c r="H21" s="99">
        <f>H12/H20</f>
        <v>2405.6887966171348</v>
      </c>
    </row>
    <row r="22" spans="2:17" x14ac:dyDescent="0.25">
      <c r="E22" s="16"/>
      <c r="F22" s="16"/>
      <c r="G22" s="16"/>
      <c r="H22" s="16"/>
    </row>
    <row r="23" spans="2:17" x14ac:dyDescent="0.25">
      <c r="E23" s="16"/>
      <c r="F23" s="16"/>
      <c r="G23" s="16"/>
      <c r="H23" s="16"/>
    </row>
    <row r="24" spans="2:17" x14ac:dyDescent="0.25">
      <c r="J24" s="94"/>
      <c r="P24" s="94"/>
      <c r="Q24" s="94"/>
    </row>
    <row r="25" spans="2:17" x14ac:dyDescent="0.25">
      <c r="H25" s="120"/>
    </row>
    <row r="27" spans="2:17" x14ac:dyDescent="0.25">
      <c r="J27" s="96"/>
    </row>
    <row r="31" spans="2:17" x14ac:dyDescent="0.25">
      <c r="J31" s="96"/>
    </row>
    <row r="33" spans="8:8" x14ac:dyDescent="0.25">
      <c r="H33" s="120"/>
    </row>
  </sheetData>
  <sheetProtection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"/>
  <sheetViews>
    <sheetView workbookViewId="0">
      <selection activeCell="H12" sqref="H12"/>
    </sheetView>
  </sheetViews>
  <sheetFormatPr defaultRowHeight="15" x14ac:dyDescent="0.25"/>
  <cols>
    <col min="1" max="1" width="9.140625" style="93"/>
    <col min="2" max="2" width="9.85546875" style="93" customWidth="1"/>
    <col min="3" max="3" width="16.42578125" style="93" customWidth="1"/>
    <col min="4" max="4" width="7" style="93" customWidth="1"/>
    <col min="5" max="5" width="8.7109375" style="93" customWidth="1"/>
    <col min="6" max="6" width="13.42578125" style="93" bestFit="1" customWidth="1"/>
    <col min="7" max="7" width="16.42578125" style="93" customWidth="1"/>
    <col min="8" max="8" width="11" style="93" customWidth="1"/>
    <col min="9" max="9" width="6.28515625" style="93" customWidth="1"/>
    <col min="10" max="10" width="19.42578125" style="93" customWidth="1"/>
    <col min="11" max="11" width="12.5703125" style="93" customWidth="1"/>
    <col min="12" max="12" width="16.42578125" style="93" bestFit="1" customWidth="1"/>
    <col min="13" max="13" width="8.28515625" style="93" customWidth="1"/>
    <col min="14" max="14" width="9.140625" style="93"/>
    <col min="15" max="15" width="8.42578125" style="93" customWidth="1"/>
    <col min="16" max="16" width="13.28515625" style="93" bestFit="1" customWidth="1"/>
    <col min="17" max="17" width="7.28515625" style="93" customWidth="1"/>
    <col min="18" max="16384" width="9.140625" style="93"/>
  </cols>
  <sheetData>
    <row r="1" spans="2:13" ht="15.75" thickBot="1" x14ac:dyDescent="0.3">
      <c r="B1" s="1" t="s">
        <v>179</v>
      </c>
      <c r="C1" s="16"/>
      <c r="D1" s="16"/>
      <c r="E1" s="16"/>
      <c r="F1" s="16"/>
      <c r="G1" s="16"/>
      <c r="H1" s="16"/>
      <c r="J1" s="19"/>
      <c r="K1" s="19"/>
      <c r="L1" s="35"/>
      <c r="M1" s="16"/>
    </row>
    <row r="2" spans="2:13" x14ac:dyDescent="0.25">
      <c r="B2" s="104" t="s">
        <v>1</v>
      </c>
      <c r="C2" s="105"/>
      <c r="D2" s="106"/>
      <c r="E2" s="16"/>
      <c r="F2" s="17" t="s">
        <v>50</v>
      </c>
      <c r="G2" s="90" t="s">
        <v>48</v>
      </c>
      <c r="H2" s="18">
        <f>273+D7</f>
        <v>298</v>
      </c>
      <c r="J2" s="17" t="s">
        <v>52</v>
      </c>
      <c r="K2" s="90" t="s">
        <v>48</v>
      </c>
      <c r="L2" s="30">
        <f>H2</f>
        <v>298</v>
      </c>
      <c r="M2" s="16"/>
    </row>
    <row r="3" spans="2:13" x14ac:dyDescent="0.25">
      <c r="B3" s="20" t="s">
        <v>88</v>
      </c>
      <c r="C3" s="64" t="s">
        <v>89</v>
      </c>
      <c r="D3" s="38">
        <v>2</v>
      </c>
      <c r="E3" s="16"/>
      <c r="F3" s="20" t="s">
        <v>96</v>
      </c>
      <c r="G3" s="64"/>
      <c r="H3" s="27">
        <f>D3+D4/4-D5/2</f>
        <v>3</v>
      </c>
      <c r="J3" s="20" t="s">
        <v>85</v>
      </c>
      <c r="K3" s="64" t="s">
        <v>48</v>
      </c>
      <c r="L3" s="21">
        <f>L2*D12^(H14-1)</f>
        <v>775.03607860404384</v>
      </c>
      <c r="M3" s="16"/>
    </row>
    <row r="4" spans="2:13" x14ac:dyDescent="0.25">
      <c r="B4" s="20" t="s">
        <v>90</v>
      </c>
      <c r="C4" s="64" t="s">
        <v>91</v>
      </c>
      <c r="D4" s="38">
        <v>6</v>
      </c>
      <c r="E4" s="16"/>
      <c r="F4" s="20" t="s">
        <v>98</v>
      </c>
      <c r="G4" s="64"/>
      <c r="H4" s="27">
        <f>0.21*2*16+0.79*2*14</f>
        <v>28.84</v>
      </c>
      <c r="J4" s="20" t="s">
        <v>67</v>
      </c>
      <c r="K4" s="64" t="s">
        <v>48</v>
      </c>
      <c r="L4" s="21">
        <f>L2+(L3-L2)/D10</f>
        <v>934.04810480539174</v>
      </c>
      <c r="M4" s="16"/>
    </row>
    <row r="5" spans="2:13" x14ac:dyDescent="0.25">
      <c r="B5" s="20" t="s">
        <v>92</v>
      </c>
      <c r="C5" s="64" t="s">
        <v>93</v>
      </c>
      <c r="D5" s="38">
        <v>1</v>
      </c>
      <c r="E5" s="16"/>
      <c r="F5" s="20" t="s">
        <v>99</v>
      </c>
      <c r="G5" s="64"/>
      <c r="H5" s="27">
        <f>D3*12+D4*1+D5*16</f>
        <v>46</v>
      </c>
      <c r="J5" s="20" t="s">
        <v>69</v>
      </c>
      <c r="K5" s="64" t="s">
        <v>48</v>
      </c>
      <c r="L5" s="21">
        <f>L4+H21/H13</f>
        <v>4379.2691697684531</v>
      </c>
      <c r="M5" s="16"/>
    </row>
    <row r="6" spans="2:13" x14ac:dyDescent="0.25">
      <c r="B6" s="20" t="s">
        <v>95</v>
      </c>
      <c r="C6" s="64"/>
      <c r="D6" s="27">
        <f>'Ab04'!D6</f>
        <v>1</v>
      </c>
      <c r="E6" s="16"/>
      <c r="F6" s="20" t="s">
        <v>97</v>
      </c>
      <c r="G6" s="64"/>
      <c r="H6" s="61">
        <f>D6*(1*H3 + 0.79/0.21*H3)*H4/H5</f>
        <v>8.9565217391304355</v>
      </c>
      <c r="J6" s="20" t="s">
        <v>84</v>
      </c>
      <c r="K6" s="64" t="s">
        <v>48</v>
      </c>
      <c r="L6" s="21">
        <f>L5/D12^(H14-1)</f>
        <v>1683.8212421562873</v>
      </c>
      <c r="M6" s="16"/>
    </row>
    <row r="7" spans="2:13" ht="15.75" thickBot="1" x14ac:dyDescent="0.3">
      <c r="B7" s="20" t="s">
        <v>50</v>
      </c>
      <c r="C7" s="64" t="s">
        <v>47</v>
      </c>
      <c r="D7" s="27">
        <f>'Ab04'!D7</f>
        <v>25</v>
      </c>
      <c r="E7" s="16"/>
      <c r="F7" s="20" t="s">
        <v>53</v>
      </c>
      <c r="G7" s="64" t="s">
        <v>55</v>
      </c>
      <c r="H7" s="97">
        <f>D9/1000000</f>
        <v>1.4999999999999999E-4</v>
      </c>
      <c r="J7" s="28" t="s">
        <v>70</v>
      </c>
      <c r="K7" s="65" t="s">
        <v>48</v>
      </c>
      <c r="L7" s="26">
        <f>L5+(L6-L5)*D11</f>
        <v>2222.9108276787206</v>
      </c>
    </row>
    <row r="8" spans="2:13" ht="15.75" thickBot="1" x14ac:dyDescent="0.3">
      <c r="B8" s="20" t="s">
        <v>49</v>
      </c>
      <c r="C8" s="64" t="s">
        <v>51</v>
      </c>
      <c r="D8" s="27">
        <f>'Ab04'!D8</f>
        <v>100</v>
      </c>
      <c r="E8" s="16"/>
      <c r="F8" s="66" t="s">
        <v>178</v>
      </c>
      <c r="G8" s="64" t="s">
        <v>34</v>
      </c>
      <c r="H8" s="61">
        <f>D3*(12+2*16)/H5</f>
        <v>1.9130434782608696</v>
      </c>
      <c r="J8" s="94"/>
      <c r="K8" s="94"/>
      <c r="L8" s="94"/>
    </row>
    <row r="9" spans="2:13" x14ac:dyDescent="0.25">
      <c r="B9" s="20" t="s">
        <v>53</v>
      </c>
      <c r="C9" s="64" t="s">
        <v>54</v>
      </c>
      <c r="D9" s="27">
        <f>'Ab04'!D9</f>
        <v>150</v>
      </c>
      <c r="E9" s="16"/>
      <c r="F9" s="20" t="s">
        <v>100</v>
      </c>
      <c r="G9" s="64"/>
      <c r="H9" s="97">
        <f>1/(D6*H3*(1+0.79/0.21)+1)</f>
        <v>6.5420560747663545E-2</v>
      </c>
      <c r="J9" s="17" t="s">
        <v>118</v>
      </c>
      <c r="K9" s="90" t="s">
        <v>105</v>
      </c>
      <c r="L9" s="102">
        <f>H13*(L2-L4)*H20</f>
        <v>-9.0812908345333274E-2</v>
      </c>
    </row>
    <row r="10" spans="2:13" x14ac:dyDescent="0.25">
      <c r="B10" s="20" t="s">
        <v>86</v>
      </c>
      <c r="C10" s="64"/>
      <c r="D10" s="27">
        <f>'Ab04'!D10</f>
        <v>0.75</v>
      </c>
      <c r="E10" s="16"/>
      <c r="F10" s="20" t="s">
        <v>101</v>
      </c>
      <c r="G10" s="64" t="s">
        <v>102</v>
      </c>
      <c r="H10" s="27">
        <f>(H5*D8*H9*H7)/(8.3145*H2)</f>
        <v>1.8218430128286376E-5</v>
      </c>
      <c r="J10" s="20" t="s">
        <v>119</v>
      </c>
      <c r="K10" s="64" t="s">
        <v>105</v>
      </c>
      <c r="L10" s="61">
        <f>H13*(L5-L4)*H20</f>
        <v>0.49189761346373223</v>
      </c>
    </row>
    <row r="11" spans="2:13" x14ac:dyDescent="0.25">
      <c r="B11" s="20" t="s">
        <v>87</v>
      </c>
      <c r="C11" s="64"/>
      <c r="D11" s="27">
        <f>'Ab04'!D11</f>
        <v>0.8</v>
      </c>
      <c r="E11" s="16"/>
      <c r="F11" s="20" t="s">
        <v>103</v>
      </c>
      <c r="G11" s="64" t="s">
        <v>102</v>
      </c>
      <c r="H11" s="97">
        <f>(H4*D8*(1-H9)*H7)/(8.3145*H2)</f>
        <v>1.631737654968258E-4</v>
      </c>
      <c r="J11" s="20" t="s">
        <v>120</v>
      </c>
      <c r="K11" s="64" t="s">
        <v>105</v>
      </c>
      <c r="L11" s="61">
        <f>H13*(L5-L7)*H20</f>
        <v>0.30787792778630368</v>
      </c>
    </row>
    <row r="12" spans="2:13" ht="15.75" thickBot="1" x14ac:dyDescent="0.3">
      <c r="B12" s="20" t="s">
        <v>60</v>
      </c>
      <c r="C12" s="64"/>
      <c r="D12" s="38">
        <v>11</v>
      </c>
      <c r="E12" s="16"/>
      <c r="F12" s="20" t="s">
        <v>104</v>
      </c>
      <c r="G12" s="64" t="s">
        <v>105</v>
      </c>
      <c r="H12" s="61">
        <f>H10*D15</f>
        <v>0.49189761346373218</v>
      </c>
      <c r="J12" s="28" t="s">
        <v>121</v>
      </c>
      <c r="K12" s="65" t="s">
        <v>105</v>
      </c>
      <c r="L12" s="98">
        <f>H13*(L2-L7)*H20</f>
        <v>-0.27483259402276183</v>
      </c>
    </row>
    <row r="13" spans="2:13" ht="15.75" thickBot="1" x14ac:dyDescent="0.3">
      <c r="B13" s="20" t="s">
        <v>11</v>
      </c>
      <c r="C13" s="64" t="s">
        <v>5</v>
      </c>
      <c r="D13" s="27">
        <f>'Ab04'!D13</f>
        <v>4000</v>
      </c>
      <c r="E13" s="16"/>
      <c r="F13" s="20" t="s">
        <v>59</v>
      </c>
      <c r="G13" s="64" t="str">
        <f>C18</f>
        <v>kJ/kg.K</v>
      </c>
      <c r="H13" s="21">
        <f>D18-D17</f>
        <v>0.71750000000000003</v>
      </c>
      <c r="J13" s="94"/>
      <c r="K13" s="94"/>
      <c r="L13" s="94"/>
    </row>
    <row r="14" spans="2:13" x14ac:dyDescent="0.25">
      <c r="B14" s="20" t="s">
        <v>106</v>
      </c>
      <c r="C14" s="64" t="s">
        <v>0</v>
      </c>
      <c r="D14" s="27">
        <f>'Ab04'!D14</f>
        <v>60</v>
      </c>
      <c r="E14" s="16"/>
      <c r="F14" s="20" t="s">
        <v>68</v>
      </c>
      <c r="G14" s="64"/>
      <c r="H14" s="21">
        <f>D18/H13</f>
        <v>1.3986062717770036</v>
      </c>
      <c r="J14" s="17" t="s">
        <v>82</v>
      </c>
      <c r="K14" s="90" t="s">
        <v>7</v>
      </c>
      <c r="L14" s="30">
        <f>(L9+L11)*D13/2/60</f>
        <v>7.235500648032346</v>
      </c>
    </row>
    <row r="15" spans="2:13" x14ac:dyDescent="0.25">
      <c r="B15" s="20" t="s">
        <v>3</v>
      </c>
      <c r="C15" s="64" t="s">
        <v>33</v>
      </c>
      <c r="D15" s="38">
        <v>27000</v>
      </c>
      <c r="E15" s="16"/>
      <c r="F15" s="20" t="str">
        <f>B14</f>
        <v>Vel_ref</v>
      </c>
      <c r="G15" s="64" t="str">
        <f>C14</f>
        <v>km/h</v>
      </c>
      <c r="H15" s="21">
        <f>D14/3.6</f>
        <v>16.666666666666668</v>
      </c>
      <c r="J15" s="20" t="s">
        <v>82</v>
      </c>
      <c r="K15" s="64" t="s">
        <v>8</v>
      </c>
      <c r="L15" s="21">
        <f>L14/0.735</f>
        <v>9.8442185687514918</v>
      </c>
    </row>
    <row r="16" spans="2:13" x14ac:dyDescent="0.25">
      <c r="B16" s="20" t="s">
        <v>2</v>
      </c>
      <c r="C16" s="64" t="s">
        <v>39</v>
      </c>
      <c r="D16" s="38">
        <v>0.78900000000000003</v>
      </c>
      <c r="E16" s="16"/>
      <c r="F16" s="20" t="s">
        <v>61</v>
      </c>
      <c r="G16" s="64" t="s">
        <v>55</v>
      </c>
      <c r="H16" s="97">
        <f>D12*H7/(D12-1)</f>
        <v>1.6499999999999997E-4</v>
      </c>
      <c r="J16" s="20" t="s">
        <v>83</v>
      </c>
      <c r="K16" s="64" t="s">
        <v>7</v>
      </c>
      <c r="L16" s="21">
        <f>L10*D13/2/60</f>
        <v>16.396587115457741</v>
      </c>
    </row>
    <row r="17" spans="2:17" x14ac:dyDescent="0.25">
      <c r="B17" s="20" t="s">
        <v>56</v>
      </c>
      <c r="C17" s="64" t="s">
        <v>57</v>
      </c>
      <c r="D17" s="27">
        <f>'Ab04'!D17</f>
        <v>0.28599999999999998</v>
      </c>
      <c r="E17" s="16"/>
      <c r="F17" s="20" t="s">
        <v>62</v>
      </c>
      <c r="G17" s="64" t="s">
        <v>55</v>
      </c>
      <c r="H17" s="97">
        <f>H16/D12</f>
        <v>1.4999999999999997E-5</v>
      </c>
      <c r="J17" s="20" t="s">
        <v>21</v>
      </c>
      <c r="K17" s="64"/>
      <c r="L17" s="45">
        <f>L14/L16</f>
        <v>0.44128089565731277</v>
      </c>
    </row>
    <row r="18" spans="2:17" ht="15.75" thickBot="1" x14ac:dyDescent="0.3">
      <c r="B18" s="28" t="s">
        <v>58</v>
      </c>
      <c r="C18" s="65" t="s">
        <v>57</v>
      </c>
      <c r="D18" s="29">
        <f>'Ab04'!D18</f>
        <v>1.0035000000000001</v>
      </c>
      <c r="E18" s="16"/>
      <c r="F18" s="20" t="s">
        <v>71</v>
      </c>
      <c r="G18" s="64" t="s">
        <v>72</v>
      </c>
      <c r="H18" s="61">
        <f>D17*H2/D8</f>
        <v>0.85227999999999993</v>
      </c>
      <c r="J18" s="20" t="s">
        <v>158</v>
      </c>
      <c r="K18" s="64" t="s">
        <v>79</v>
      </c>
      <c r="L18" s="61">
        <f>H10*D13/2*60/D16</f>
        <v>2.7708638978382316</v>
      </c>
    </row>
    <row r="19" spans="2:17" x14ac:dyDescent="0.25">
      <c r="B19" s="16"/>
      <c r="C19" s="16"/>
      <c r="D19" s="16"/>
      <c r="E19" s="16"/>
      <c r="F19" s="20" t="s">
        <v>107</v>
      </c>
      <c r="G19" s="64" t="s">
        <v>102</v>
      </c>
      <c r="H19" s="97">
        <f>D8*H17/(D17*H2)</f>
        <v>1.759984981461491E-5</v>
      </c>
      <c r="J19" s="20" t="s">
        <v>177</v>
      </c>
      <c r="K19" s="64" t="s">
        <v>80</v>
      </c>
      <c r="L19" s="61">
        <f>L18*D16*H8</f>
        <v>4.1823178729283503</v>
      </c>
    </row>
    <row r="20" spans="2:17" ht="15.75" thickBot="1" x14ac:dyDescent="0.3">
      <c r="E20" s="16"/>
      <c r="F20" s="20" t="s">
        <v>108</v>
      </c>
      <c r="G20" s="64" t="s">
        <v>102</v>
      </c>
      <c r="H20" s="97">
        <f>H19+H11+H10</f>
        <v>1.9899204543972706E-4</v>
      </c>
      <c r="J20" s="28" t="s">
        <v>40</v>
      </c>
      <c r="K20" s="65" t="s">
        <v>81</v>
      </c>
      <c r="L20" s="26">
        <f>D14/L18</f>
        <v>21.653896478571433</v>
      </c>
    </row>
    <row r="21" spans="2:17" ht="15.75" thickBot="1" x14ac:dyDescent="0.3">
      <c r="E21" s="16"/>
      <c r="F21" s="28" t="s">
        <v>63</v>
      </c>
      <c r="G21" s="65" t="s">
        <v>64</v>
      </c>
      <c r="H21" s="99">
        <f>H12/H20</f>
        <v>2471.9461141109964</v>
      </c>
    </row>
    <row r="22" spans="2:17" x14ac:dyDescent="0.25">
      <c r="E22" s="16"/>
      <c r="F22" s="16"/>
      <c r="G22" s="16"/>
      <c r="H22" s="16"/>
    </row>
    <row r="23" spans="2:17" x14ac:dyDescent="0.25">
      <c r="E23" s="16"/>
      <c r="F23" s="16"/>
      <c r="G23" s="16"/>
      <c r="H23" s="16"/>
    </row>
    <row r="24" spans="2:17" x14ac:dyDescent="0.25">
      <c r="J24" s="94"/>
      <c r="P24" s="94"/>
      <c r="Q24" s="94"/>
    </row>
    <row r="27" spans="2:17" x14ac:dyDescent="0.25">
      <c r="J27" s="96"/>
    </row>
    <row r="31" spans="2:17" x14ac:dyDescent="0.25">
      <c r="J31" s="96"/>
    </row>
  </sheetData>
  <sheetProtection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workbookViewId="0">
      <selection activeCell="G35" sqref="G35"/>
    </sheetView>
  </sheetViews>
  <sheetFormatPr defaultRowHeight="15" x14ac:dyDescent="0.25"/>
  <cols>
    <col min="1" max="1" width="9.140625" style="93"/>
    <col min="2" max="2" width="9.85546875" style="93" customWidth="1"/>
    <col min="3" max="3" width="16.42578125" style="93" customWidth="1"/>
    <col min="4" max="4" width="7" style="93" customWidth="1"/>
    <col min="5" max="5" width="8.7109375" style="93" customWidth="1"/>
    <col min="6" max="6" width="13.42578125" style="93" bestFit="1" customWidth="1"/>
    <col min="7" max="7" width="16.42578125" style="93" customWidth="1"/>
    <col min="8" max="8" width="11" style="93" customWidth="1"/>
    <col min="9" max="9" width="6.28515625" style="93" customWidth="1"/>
    <col min="10" max="10" width="20.5703125" style="93" customWidth="1"/>
    <col min="11" max="11" width="11.5703125" style="93" customWidth="1"/>
    <col min="12" max="12" width="16.42578125" style="93" bestFit="1" customWidth="1"/>
    <col min="13" max="13" width="8.28515625" style="93" customWidth="1"/>
    <col min="14" max="14" width="9.140625" style="93"/>
    <col min="15" max="15" width="8.42578125" style="93" customWidth="1"/>
    <col min="16" max="16" width="13.28515625" style="93" bestFit="1" customWidth="1"/>
    <col min="17" max="17" width="7.28515625" style="93" customWidth="1"/>
    <col min="18" max="16384" width="9.140625" style="93"/>
  </cols>
  <sheetData>
    <row r="1" spans="2:15" ht="15.75" thickBot="1" x14ac:dyDescent="0.3">
      <c r="B1" s="1" t="s">
        <v>179</v>
      </c>
      <c r="C1" s="16"/>
      <c r="D1" s="16"/>
      <c r="E1" s="16"/>
      <c r="F1" s="16"/>
      <c r="G1" s="16"/>
      <c r="H1" s="16"/>
      <c r="J1" s="19"/>
      <c r="K1" s="19"/>
      <c r="L1" s="35"/>
      <c r="M1" s="16"/>
    </row>
    <row r="2" spans="2:15" x14ac:dyDescent="0.25">
      <c r="B2" s="104" t="s">
        <v>1</v>
      </c>
      <c r="C2" s="105"/>
      <c r="D2" s="106"/>
      <c r="E2" s="16"/>
      <c r="F2" s="17" t="s">
        <v>50</v>
      </c>
      <c r="G2" s="90" t="s">
        <v>48</v>
      </c>
      <c r="H2" s="18">
        <f>273+D7</f>
        <v>298</v>
      </c>
      <c r="J2" s="17" t="s">
        <v>52</v>
      </c>
      <c r="K2" s="90" t="s">
        <v>48</v>
      </c>
      <c r="L2" s="30">
        <f>H2</f>
        <v>298</v>
      </c>
      <c r="M2" s="16"/>
    </row>
    <row r="3" spans="2:15" x14ac:dyDescent="0.25">
      <c r="B3" s="20" t="s">
        <v>88</v>
      </c>
      <c r="C3" s="64" t="s">
        <v>89</v>
      </c>
      <c r="D3" s="38">
        <v>8</v>
      </c>
      <c r="E3" s="16"/>
      <c r="F3" s="20" t="s">
        <v>96</v>
      </c>
      <c r="G3" s="64"/>
      <c r="H3" s="27">
        <f>D3+D4/4-D5/2</f>
        <v>12.5</v>
      </c>
      <c r="J3" s="20" t="s">
        <v>85</v>
      </c>
      <c r="K3" s="64" t="s">
        <v>48</v>
      </c>
      <c r="L3" s="21">
        <f>L2*D12^(H14-1)</f>
        <v>731.04317214670584</v>
      </c>
      <c r="M3" s="16"/>
    </row>
    <row r="4" spans="2:15" x14ac:dyDescent="0.25">
      <c r="B4" s="20" t="s">
        <v>90</v>
      </c>
      <c r="C4" s="64" t="s">
        <v>91</v>
      </c>
      <c r="D4" s="38">
        <v>18</v>
      </c>
      <c r="E4" s="16"/>
      <c r="F4" s="20" t="s">
        <v>98</v>
      </c>
      <c r="G4" s="64"/>
      <c r="H4" s="27">
        <f>0.21*2*16+0.79*2*14</f>
        <v>28.84</v>
      </c>
      <c r="J4" s="20" t="s">
        <v>67</v>
      </c>
      <c r="K4" s="64" t="s">
        <v>48</v>
      </c>
      <c r="L4" s="21">
        <f>L2+(L3-L2)/D10</f>
        <v>916.6331030667227</v>
      </c>
      <c r="M4" s="16"/>
    </row>
    <row r="5" spans="2:15" x14ac:dyDescent="0.25">
      <c r="B5" s="20" t="s">
        <v>92</v>
      </c>
      <c r="C5" s="64" t="s">
        <v>93</v>
      </c>
      <c r="D5" s="38">
        <v>0</v>
      </c>
      <c r="E5" s="16"/>
      <c r="F5" s="20" t="s">
        <v>99</v>
      </c>
      <c r="G5" s="64"/>
      <c r="H5" s="27">
        <f>D3*12+D4*1+D5*16</f>
        <v>114</v>
      </c>
      <c r="J5" s="20" t="s">
        <v>69</v>
      </c>
      <c r="K5" s="64" t="s">
        <v>48</v>
      </c>
      <c r="L5" s="21">
        <f>L4+H21/H13*(1-H23)</f>
        <v>2961.8876897377359</v>
      </c>
      <c r="M5" s="16"/>
    </row>
    <row r="6" spans="2:15" x14ac:dyDescent="0.25">
      <c r="B6" s="20" t="s">
        <v>95</v>
      </c>
      <c r="C6" s="64"/>
      <c r="D6" s="38">
        <v>1</v>
      </c>
      <c r="E6" s="16"/>
      <c r="F6" s="20" t="s">
        <v>97</v>
      </c>
      <c r="G6" s="64"/>
      <c r="H6" s="61">
        <f>D6*(1*H3 + 0.79/0.21*H3)*H4/H5</f>
        <v>15.058479532163743</v>
      </c>
      <c r="J6" s="20" t="s">
        <v>84</v>
      </c>
      <c r="K6" s="64" t="s">
        <v>48</v>
      </c>
      <c r="L6" s="21">
        <f>L5/D12^(H14-1)</f>
        <v>1207.3740172553264</v>
      </c>
      <c r="M6" s="16"/>
    </row>
    <row r="7" spans="2:15" ht="15.75" thickBot="1" x14ac:dyDescent="0.3">
      <c r="B7" s="20" t="s">
        <v>50</v>
      </c>
      <c r="C7" s="64" t="s">
        <v>47</v>
      </c>
      <c r="D7" s="38">
        <v>25</v>
      </c>
      <c r="E7" s="16"/>
      <c r="F7" s="20" t="s">
        <v>53</v>
      </c>
      <c r="G7" s="64" t="s">
        <v>55</v>
      </c>
      <c r="H7" s="97">
        <f>D9/1000000</f>
        <v>1.4999999999999999E-4</v>
      </c>
      <c r="J7" s="28" t="s">
        <v>70</v>
      </c>
      <c r="K7" s="65" t="s">
        <v>48</v>
      </c>
      <c r="L7" s="26">
        <f>L5+(L6-L5)*D11</f>
        <v>1646.0024353759288</v>
      </c>
    </row>
    <row r="8" spans="2:15" ht="15.75" thickBot="1" x14ac:dyDescent="0.3">
      <c r="B8" s="20" t="s">
        <v>49</v>
      </c>
      <c r="C8" s="64" t="s">
        <v>51</v>
      </c>
      <c r="D8" s="38">
        <v>100</v>
      </c>
      <c r="E8" s="16"/>
      <c r="F8" s="66" t="s">
        <v>178</v>
      </c>
      <c r="G8" s="64" t="s">
        <v>34</v>
      </c>
      <c r="H8" s="130">
        <f>D3*(12+2*16)/H5</f>
        <v>3.0877192982456139</v>
      </c>
      <c r="J8" s="94"/>
      <c r="K8" s="94"/>
      <c r="L8" s="94"/>
    </row>
    <row r="9" spans="2:15" x14ac:dyDescent="0.25">
      <c r="B9" s="20" t="s">
        <v>53</v>
      </c>
      <c r="C9" s="64" t="s">
        <v>54</v>
      </c>
      <c r="D9" s="38">
        <v>150</v>
      </c>
      <c r="E9" s="16"/>
      <c r="F9" s="20" t="s">
        <v>100</v>
      </c>
      <c r="G9" s="64"/>
      <c r="H9" s="97">
        <f>1/(D6*H3*(1+0.79/0.21)+1)</f>
        <v>1.6522423288749016E-2</v>
      </c>
      <c r="J9" s="17" t="s">
        <v>118</v>
      </c>
      <c r="K9" s="90" t="s">
        <v>105</v>
      </c>
      <c r="L9" s="102">
        <f>H13*(L2-L4)*H20</f>
        <v>-9.0469361149481356E-2</v>
      </c>
    </row>
    <row r="10" spans="2:15" x14ac:dyDescent="0.25">
      <c r="B10" s="20" t="s">
        <v>86</v>
      </c>
      <c r="C10" s="64"/>
      <c r="D10" s="38">
        <v>0.7</v>
      </c>
      <c r="E10" s="16"/>
      <c r="F10" s="20" t="s">
        <v>101</v>
      </c>
      <c r="G10" s="64" t="s">
        <v>102</v>
      </c>
      <c r="H10" s="27">
        <f>(H5*D8*H9*H7)/(8.3145*H2)</f>
        <v>1.1402956113202744E-5</v>
      </c>
      <c r="J10" s="20" t="s">
        <v>119</v>
      </c>
      <c r="K10" s="64" t="s">
        <v>105</v>
      </c>
      <c r="L10" s="61">
        <f>H13*(L5-L4)*H20</f>
        <v>0.2990995388493079</v>
      </c>
    </row>
    <row r="11" spans="2:15" x14ac:dyDescent="0.25">
      <c r="B11" s="20" t="s">
        <v>87</v>
      </c>
      <c r="C11" s="64"/>
      <c r="D11" s="100">
        <v>0.75</v>
      </c>
      <c r="E11" s="16"/>
      <c r="F11" s="20" t="s">
        <v>103</v>
      </c>
      <c r="G11" s="64" t="s">
        <v>102</v>
      </c>
      <c r="H11" s="97">
        <f>(H4*D8*(1-H9)*H7)/(8.3145*H2)</f>
        <v>1.7171118123682496E-4</v>
      </c>
      <c r="J11" s="20" t="s">
        <v>120</v>
      </c>
      <c r="K11" s="64" t="s">
        <v>105</v>
      </c>
      <c r="L11" s="61">
        <f>H13*(L5-L7)*H20</f>
        <v>0.19243602988263564</v>
      </c>
    </row>
    <row r="12" spans="2:15" ht="15.75" thickBot="1" x14ac:dyDescent="0.3">
      <c r="B12" s="20" t="s">
        <v>60</v>
      </c>
      <c r="C12" s="64"/>
      <c r="D12" s="38">
        <v>9.5</v>
      </c>
      <c r="E12" s="16"/>
      <c r="F12" s="20" t="s">
        <v>104</v>
      </c>
      <c r="G12" s="64" t="s">
        <v>105</v>
      </c>
      <c r="H12" s="61">
        <f>H10*D15</f>
        <v>0.49032711286771796</v>
      </c>
      <c r="J12" s="28" t="s">
        <v>122</v>
      </c>
      <c r="K12" s="65" t="s">
        <v>105</v>
      </c>
      <c r="L12" s="98">
        <f>H13*(L2-L7)*H20</f>
        <v>-0.1971328701161536</v>
      </c>
      <c r="M12" s="120"/>
      <c r="O12" s="120"/>
    </row>
    <row r="13" spans="2:15" ht="15.75" thickBot="1" x14ac:dyDescent="0.3">
      <c r="B13" s="20" t="s">
        <v>11</v>
      </c>
      <c r="C13" s="64" t="s">
        <v>5</v>
      </c>
      <c r="D13" s="38">
        <v>4000</v>
      </c>
      <c r="E13" s="16"/>
      <c r="F13" s="20" t="s">
        <v>59</v>
      </c>
      <c r="G13" s="64" t="str">
        <f>C18</f>
        <v>kJ/kg.K</v>
      </c>
      <c r="H13" s="21">
        <f>D18-D17</f>
        <v>0.71750000000000003</v>
      </c>
      <c r="J13" s="94"/>
      <c r="K13" s="94"/>
      <c r="L13" s="94"/>
    </row>
    <row r="14" spans="2:15" x14ac:dyDescent="0.25">
      <c r="B14" s="20" t="s">
        <v>106</v>
      </c>
      <c r="C14" s="64" t="s">
        <v>0</v>
      </c>
      <c r="D14" s="38">
        <v>60</v>
      </c>
      <c r="E14" s="16"/>
      <c r="F14" s="20" t="s">
        <v>68</v>
      </c>
      <c r="G14" s="64"/>
      <c r="H14" s="21">
        <f>D18/H13</f>
        <v>1.3986062717770036</v>
      </c>
      <c r="J14" s="17" t="s">
        <v>82</v>
      </c>
      <c r="K14" s="90" t="s">
        <v>7</v>
      </c>
      <c r="L14" s="30">
        <f>(L9+L11)*D13/2/60*(1-H24)</f>
        <v>3.0250111724169102</v>
      </c>
      <c r="M14" s="16"/>
    </row>
    <row r="15" spans="2:15" x14ac:dyDescent="0.25">
      <c r="B15" s="20" t="s">
        <v>3</v>
      </c>
      <c r="C15" s="64" t="s">
        <v>33</v>
      </c>
      <c r="D15" s="38">
        <v>43000</v>
      </c>
      <c r="E15" s="16"/>
      <c r="F15" s="20" t="str">
        <f>B14</f>
        <v>Vel_ref</v>
      </c>
      <c r="G15" s="64" t="str">
        <f>C14</f>
        <v>km/h</v>
      </c>
      <c r="H15" s="21">
        <f>D14/3.6</f>
        <v>16.666666666666668</v>
      </c>
      <c r="J15" s="20" t="s">
        <v>82</v>
      </c>
      <c r="K15" s="64" t="s">
        <v>8</v>
      </c>
      <c r="L15" s="21">
        <f>L14/0.735</f>
        <v>4.1156614590706262</v>
      </c>
    </row>
    <row r="16" spans="2:15" x14ac:dyDescent="0.25">
      <c r="B16" s="20" t="s">
        <v>2</v>
      </c>
      <c r="C16" s="64" t="s">
        <v>39</v>
      </c>
      <c r="D16" s="38">
        <v>0.745</v>
      </c>
      <c r="E16" s="16"/>
      <c r="F16" s="20" t="s">
        <v>61</v>
      </c>
      <c r="G16" s="64" t="s">
        <v>55</v>
      </c>
      <c r="H16" s="97">
        <f>D12*H7/(D12-1)</f>
        <v>1.676470588235294E-4</v>
      </c>
      <c r="J16" s="20" t="s">
        <v>83</v>
      </c>
      <c r="K16" s="64" t="s">
        <v>7</v>
      </c>
      <c r="L16" s="21">
        <f>H21*H20*D13/2/60</f>
        <v>16.344237095590596</v>
      </c>
      <c r="M16" s="120"/>
    </row>
    <row r="17" spans="2:17" x14ac:dyDescent="0.25">
      <c r="B17" s="20" t="s">
        <v>56</v>
      </c>
      <c r="C17" s="64" t="s">
        <v>57</v>
      </c>
      <c r="D17" s="38">
        <v>0.28599999999999998</v>
      </c>
      <c r="E17" s="16"/>
      <c r="F17" s="20" t="s">
        <v>62</v>
      </c>
      <c r="G17" s="64" t="s">
        <v>55</v>
      </c>
      <c r="H17" s="97">
        <f>H16/D12</f>
        <v>1.764705882352941E-5</v>
      </c>
      <c r="J17" s="20" t="s">
        <v>21</v>
      </c>
      <c r="K17" s="64"/>
      <c r="L17" s="45">
        <f>L14/L16</f>
        <v>0.18508120964746699</v>
      </c>
      <c r="M17" s="120"/>
    </row>
    <row r="18" spans="2:17" ht="15.75" thickBot="1" x14ac:dyDescent="0.3">
      <c r="B18" s="28" t="s">
        <v>58</v>
      </c>
      <c r="C18" s="65" t="s">
        <v>57</v>
      </c>
      <c r="D18" s="39">
        <v>1.0035000000000001</v>
      </c>
      <c r="E18" s="16"/>
      <c r="F18" s="20" t="s">
        <v>71</v>
      </c>
      <c r="G18" s="64" t="s">
        <v>72</v>
      </c>
      <c r="H18" s="61">
        <f>D17*H2/D8</f>
        <v>0.85227999999999993</v>
      </c>
      <c r="J18" s="20" t="s">
        <v>158</v>
      </c>
      <c r="K18" s="64" t="s">
        <v>79</v>
      </c>
      <c r="L18" s="61">
        <f>H10*D13/2*60/D16</f>
        <v>1.8367177632004419</v>
      </c>
    </row>
    <row r="19" spans="2:17" x14ac:dyDescent="0.25">
      <c r="B19" s="16"/>
      <c r="C19" s="16"/>
      <c r="D19" s="16"/>
      <c r="E19" s="16"/>
      <c r="F19" s="20" t="s">
        <v>107</v>
      </c>
      <c r="G19" s="64" t="s">
        <v>102</v>
      </c>
      <c r="H19" s="97">
        <f>D8*H17/(D17*H2)</f>
        <v>2.070570566425284E-5</v>
      </c>
      <c r="J19" s="20" t="s">
        <v>177</v>
      </c>
      <c r="K19" s="64" t="s">
        <v>80</v>
      </c>
      <c r="L19" s="61">
        <f>L18*D16*H8</f>
        <v>4.2250953177340689</v>
      </c>
    </row>
    <row r="20" spans="2:17" ht="15.75" thickBot="1" x14ac:dyDescent="0.3">
      <c r="E20" s="16"/>
      <c r="F20" s="20" t="s">
        <v>108</v>
      </c>
      <c r="G20" s="64" t="s">
        <v>102</v>
      </c>
      <c r="H20" s="97">
        <f>H19+H11+H10</f>
        <v>2.0381984301428056E-4</v>
      </c>
      <c r="J20" s="28" t="s">
        <v>40</v>
      </c>
      <c r="K20" s="65" t="s">
        <v>81</v>
      </c>
      <c r="L20" s="26">
        <f>D14/L18</f>
        <v>32.666967784670014</v>
      </c>
    </row>
    <row r="21" spans="2:17" ht="15.75" thickBot="1" x14ac:dyDescent="0.3">
      <c r="B21" s="85" t="s">
        <v>109</v>
      </c>
      <c r="C21" s="86"/>
      <c r="D21" s="68"/>
      <c r="E21" s="16"/>
      <c r="F21" s="28" t="s">
        <v>63</v>
      </c>
      <c r="G21" s="65" t="s">
        <v>64</v>
      </c>
      <c r="H21" s="99">
        <f>H12/H20</f>
        <v>2405.6887966171348</v>
      </c>
    </row>
    <row r="22" spans="2:17" ht="15.75" thickBot="1" x14ac:dyDescent="0.3">
      <c r="B22" s="20" t="s">
        <v>4</v>
      </c>
      <c r="C22" s="19" t="s">
        <v>5</v>
      </c>
      <c r="D22" s="110">
        <v>1400</v>
      </c>
      <c r="E22" s="16"/>
      <c r="F22" s="16"/>
      <c r="G22" s="16"/>
      <c r="H22" s="16"/>
    </row>
    <row r="23" spans="2:17" x14ac:dyDescent="0.25">
      <c r="B23" s="20" t="s">
        <v>6</v>
      </c>
      <c r="C23" s="35" t="s">
        <v>5</v>
      </c>
      <c r="D23" s="111">
        <v>9150</v>
      </c>
      <c r="E23" s="16"/>
      <c r="F23" s="67" t="s">
        <v>114</v>
      </c>
      <c r="G23" s="114"/>
      <c r="H23" s="115">
        <v>0.39</v>
      </c>
    </row>
    <row r="24" spans="2:17" ht="15.75" thickBot="1" x14ac:dyDescent="0.3">
      <c r="B24" s="107" t="s">
        <v>110</v>
      </c>
      <c r="C24" s="16"/>
      <c r="D24" s="112">
        <v>0.45</v>
      </c>
      <c r="F24" s="108" t="s">
        <v>115</v>
      </c>
      <c r="G24" s="92"/>
      <c r="H24" s="116">
        <v>0.11</v>
      </c>
      <c r="J24" s="19"/>
      <c r="K24" s="16"/>
      <c r="L24" s="16"/>
      <c r="P24" s="94"/>
      <c r="Q24" s="94"/>
    </row>
    <row r="25" spans="2:17" x14ac:dyDescent="0.25">
      <c r="B25" s="107" t="s">
        <v>111</v>
      </c>
      <c r="C25" s="16"/>
      <c r="D25" s="112">
        <v>0.3</v>
      </c>
      <c r="J25" s="19"/>
      <c r="K25" s="19"/>
      <c r="L25" s="44"/>
    </row>
    <row r="26" spans="2:17" x14ac:dyDescent="0.25">
      <c r="B26" s="107" t="s">
        <v>112</v>
      </c>
      <c r="C26" s="16"/>
      <c r="D26" s="112">
        <v>0.05</v>
      </c>
      <c r="J26" s="19"/>
      <c r="K26" s="19"/>
      <c r="L26" s="44"/>
    </row>
    <row r="27" spans="2:17" ht="15.75" thickBot="1" x14ac:dyDescent="0.3">
      <c r="B27" s="108" t="s">
        <v>113</v>
      </c>
      <c r="C27" s="109"/>
      <c r="D27" s="113">
        <v>0.2</v>
      </c>
      <c r="J27" s="19"/>
      <c r="K27" s="19"/>
      <c r="L27" s="44"/>
    </row>
    <row r="28" spans="2:17" x14ac:dyDescent="0.25">
      <c r="J28" s="19"/>
      <c r="K28" s="19"/>
      <c r="L28" s="44"/>
    </row>
    <row r="29" spans="2:17" x14ac:dyDescent="0.25">
      <c r="J29" s="19"/>
      <c r="K29" s="19"/>
      <c r="L29" s="44"/>
    </row>
    <row r="30" spans="2:17" x14ac:dyDescent="0.25">
      <c r="D30" s="22"/>
      <c r="J30" s="19"/>
      <c r="K30" s="19"/>
      <c r="L30" s="44"/>
    </row>
    <row r="31" spans="2:17" x14ac:dyDescent="0.25">
      <c r="D31" s="22"/>
      <c r="E31" s="16"/>
      <c r="J31" s="19"/>
      <c r="K31" s="19"/>
      <c r="L31" s="44"/>
    </row>
    <row r="32" spans="2:17" x14ac:dyDescent="0.25">
      <c r="D32" s="22"/>
      <c r="E32" s="16"/>
      <c r="J32" s="16"/>
      <c r="K32" s="16"/>
      <c r="L32" s="16"/>
    </row>
    <row r="33" spans="4:5" x14ac:dyDescent="0.25">
      <c r="D33" s="22"/>
      <c r="E33" s="16"/>
    </row>
    <row r="34" spans="4:5" x14ac:dyDescent="0.25">
      <c r="D34" s="16"/>
      <c r="E34" s="16"/>
    </row>
    <row r="35" spans="4:5" x14ac:dyDescent="0.25">
      <c r="E35" s="16"/>
    </row>
  </sheetData>
  <sheetProtection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7"/>
  <sheetViews>
    <sheetView workbookViewId="0">
      <selection activeCell="M35" sqref="M35"/>
    </sheetView>
  </sheetViews>
  <sheetFormatPr defaultRowHeight="15" x14ac:dyDescent="0.25"/>
  <cols>
    <col min="1" max="1" width="9.140625" style="93"/>
    <col min="2" max="2" width="9.85546875" style="93" customWidth="1"/>
    <col min="3" max="3" width="16.42578125" style="93" customWidth="1"/>
    <col min="4" max="4" width="7" style="93" customWidth="1"/>
    <col min="5" max="5" width="8.7109375" style="93" customWidth="1"/>
    <col min="6" max="6" width="13.42578125" style="93" bestFit="1" customWidth="1"/>
    <col min="7" max="7" width="16.42578125" style="93" customWidth="1"/>
    <col min="8" max="8" width="11" style="93" customWidth="1"/>
    <col min="9" max="9" width="6.28515625" style="93" customWidth="1"/>
    <col min="10" max="10" width="12" style="93" customWidth="1"/>
    <col min="11" max="11" width="12.5703125" style="93" customWidth="1"/>
    <col min="12" max="12" width="16.42578125" style="93" bestFit="1" customWidth="1"/>
    <col min="13" max="13" width="9.5703125" style="93" customWidth="1"/>
    <col min="14" max="14" width="8.28515625" style="93" customWidth="1"/>
    <col min="15" max="15" width="9.140625" style="93"/>
    <col min="16" max="16" width="8.42578125" style="93" customWidth="1"/>
    <col min="17" max="17" width="13.28515625" style="93" bestFit="1" customWidth="1"/>
    <col min="18" max="18" width="7.28515625" style="93" customWidth="1"/>
    <col min="19" max="16384" width="9.140625" style="93"/>
  </cols>
  <sheetData>
    <row r="1" spans="2:28" ht="15.75" thickBot="1" x14ac:dyDescent="0.3">
      <c r="B1" s="1" t="s">
        <v>179</v>
      </c>
      <c r="C1" s="16"/>
      <c r="D1" s="16"/>
      <c r="E1" s="16"/>
      <c r="F1" s="16"/>
      <c r="G1" s="16"/>
      <c r="H1" s="16"/>
      <c r="J1" s="19"/>
      <c r="K1" s="19"/>
      <c r="L1" s="35" t="s">
        <v>11</v>
      </c>
      <c r="M1" s="35" t="s">
        <v>123</v>
      </c>
      <c r="N1" s="16" t="s">
        <v>114</v>
      </c>
      <c r="O1" s="93" t="s">
        <v>115</v>
      </c>
      <c r="P1" s="93" t="s">
        <v>116</v>
      </c>
      <c r="Q1" s="93" t="s">
        <v>84</v>
      </c>
      <c r="R1" s="93" t="s">
        <v>117</v>
      </c>
      <c r="S1" s="93" t="s">
        <v>118</v>
      </c>
      <c r="T1" s="93" t="s">
        <v>119</v>
      </c>
      <c r="U1" s="93" t="s">
        <v>120</v>
      </c>
      <c r="V1" s="93" t="s">
        <v>122</v>
      </c>
      <c r="W1" s="93" t="s">
        <v>82</v>
      </c>
      <c r="X1" s="93" t="s">
        <v>124</v>
      </c>
      <c r="Y1" s="93" t="s">
        <v>83</v>
      </c>
      <c r="Z1" s="93" t="s">
        <v>21</v>
      </c>
      <c r="AA1" s="93" t="s">
        <v>125</v>
      </c>
      <c r="AB1" s="93" t="s">
        <v>126</v>
      </c>
    </row>
    <row r="2" spans="2:28" x14ac:dyDescent="0.25">
      <c r="B2" s="104" t="s">
        <v>1</v>
      </c>
      <c r="C2" s="105"/>
      <c r="D2" s="106"/>
      <c r="E2" s="16"/>
      <c r="F2" s="17" t="s">
        <v>50</v>
      </c>
      <c r="G2" s="90" t="s">
        <v>48</v>
      </c>
      <c r="H2" s="18">
        <f>273+D8</f>
        <v>298</v>
      </c>
      <c r="K2" s="16">
        <f>0</f>
        <v>0</v>
      </c>
      <c r="L2" s="16">
        <f>$D$23 + ($D$24-$D$23)*K2</f>
        <v>1400</v>
      </c>
      <c r="M2" s="121">
        <f>L2/60*2*3.141592</f>
        <v>146.60762666666668</v>
      </c>
      <c r="N2" s="36">
        <f>$D$25+(L2-$D$23)/($D$24-$D$23)*($D$26-$D$25)</f>
        <v>0.45</v>
      </c>
      <c r="O2" s="36">
        <f>$D$27+(L2-$D$23)/($D$24-$D$23)*($D$28-$D$27)</f>
        <v>0.05</v>
      </c>
      <c r="P2" s="119">
        <f t="shared" ref="P2:P22" si="0">$H$25+$H$21/$H$13*(1-N2)</f>
        <v>2760.7151074422268</v>
      </c>
      <c r="Q2" s="119">
        <f t="shared" ref="Q2:Q22" si="1">P2/$D$13^($H$14-1)</f>
        <v>1125.3686969019191</v>
      </c>
      <c r="R2" s="93">
        <f>P2+(Q2-P2)*$D$12</f>
        <v>1534.2052995369959</v>
      </c>
      <c r="S2" s="118">
        <f t="shared" ref="S2:S22" si="2">$H$13*($H$23-$H$25)*$H$20</f>
        <v>-9.0469361149481356E-2</v>
      </c>
      <c r="T2" s="118">
        <f>$H$13*(P2-R2)*$H$20</f>
        <v>0.17936569869070129</v>
      </c>
      <c r="U2" s="118">
        <f t="shared" ref="U2:U22" si="3">$H$13*($H$23-R2)*$H$20</f>
        <v>-0.18078357453602495</v>
      </c>
      <c r="V2" s="118">
        <f t="shared" ref="V2:V22" si="4">$H$13*(P2-$H$25)*$H$20</f>
        <v>0.2696799120772449</v>
      </c>
      <c r="W2" s="118">
        <f t="shared" ref="W2:W22" si="5">(S2+T2)*L2/2/60*(1-O2)</f>
        <v>0.98526774108185422</v>
      </c>
      <c r="X2" s="118">
        <f>W2/0.735</f>
        <v>1.3405003280025227</v>
      </c>
      <c r="Y2" s="118">
        <f>$H$20*$H$21*L2/2/60</f>
        <v>5.7204829834567086</v>
      </c>
      <c r="Z2" s="117">
        <f>W2/Y2</f>
        <v>0.17223506195738875</v>
      </c>
      <c r="AA2" s="118">
        <f>W2/M2*1000</f>
        <v>6.7204398808119361</v>
      </c>
      <c r="AB2" s="96">
        <f>Z2*100</f>
        <v>17.223506195738874</v>
      </c>
    </row>
    <row r="3" spans="2:28" x14ac:dyDescent="0.25">
      <c r="B3" s="20" t="s">
        <v>88</v>
      </c>
      <c r="C3" s="64" t="s">
        <v>89</v>
      </c>
      <c r="D3" s="38">
        <v>8</v>
      </c>
      <c r="E3" s="16"/>
      <c r="F3" s="20" t="s">
        <v>96</v>
      </c>
      <c r="G3" s="64"/>
      <c r="H3" s="27">
        <f>D3+D4/4-D5/2</f>
        <v>12.5</v>
      </c>
      <c r="K3" s="16">
        <f>K2+0.05</f>
        <v>0.05</v>
      </c>
      <c r="L3" s="16">
        <f t="shared" ref="L3:L22" si="6">$D$23 + ($D$24-$D$23)*K3</f>
        <v>1787.5</v>
      </c>
      <c r="M3" s="121">
        <f t="shared" ref="M3:M22" si="7">L3/60*2*3.141592</f>
        <v>187.18652333333335</v>
      </c>
      <c r="N3" s="36">
        <f t="shared" ref="N3:N22" si="8">$D$25+(L3-$D$23)/($D$24-$D$23)*($D$26-$D$25)</f>
        <v>0.4425</v>
      </c>
      <c r="O3" s="36">
        <f t="shared" ref="O3:O22" si="9">$D$27+(L3-$D$23)/($D$24-$D$23)*($D$28-$D$27)</f>
        <v>6.25E-2</v>
      </c>
      <c r="P3" s="119">
        <f t="shared" si="0"/>
        <v>2785.8616802291654</v>
      </c>
      <c r="Q3" s="119">
        <f t="shared" si="1"/>
        <v>1135.6193619460948</v>
      </c>
      <c r="R3" s="93">
        <f t="shared" ref="R3:R22" si="10">P3+(Q3-P3)*$D$12</f>
        <v>1548.1799415168625</v>
      </c>
      <c r="S3" s="118">
        <f t="shared" si="2"/>
        <v>-9.0469361149481356E-2</v>
      </c>
      <c r="T3" s="118">
        <f t="shared" ref="T3:T22" si="11">$H$13*(P3-R3)*$H$20</f>
        <v>0.18099949008969307</v>
      </c>
      <c r="U3" s="118">
        <f t="shared" si="3"/>
        <v>-0.18282723648354104</v>
      </c>
      <c r="V3" s="118">
        <f t="shared" si="4"/>
        <v>0.27335736542375272</v>
      </c>
      <c r="W3" s="118">
        <f t="shared" si="5"/>
        <v>1.2642391053174098</v>
      </c>
      <c r="X3" s="118">
        <f t="shared" ref="X3:X22" si="12">W3/0.735</f>
        <v>1.7200532045134826</v>
      </c>
      <c r="Y3" s="118">
        <f t="shared" ref="Y3:Y22" si="13">$H$20*$H$21*L3/2/60</f>
        <v>7.3038309520920475</v>
      </c>
      <c r="Z3" s="117">
        <f t="shared" ref="Z3:Z22" si="14">W3/Y3</f>
        <v>0.17309260217137035</v>
      </c>
      <c r="AA3" s="118">
        <f t="shared" ref="AA3:AA22" si="15">W3/M3*1000</f>
        <v>6.7539002424128016</v>
      </c>
      <c r="AB3" s="96">
        <f t="shared" ref="AB3:AB22" si="16">Z3*100</f>
        <v>17.309260217137034</v>
      </c>
    </row>
    <row r="4" spans="2:28" x14ac:dyDescent="0.25">
      <c r="B4" s="20" t="s">
        <v>90</v>
      </c>
      <c r="C4" s="64" t="s">
        <v>91</v>
      </c>
      <c r="D4" s="38">
        <v>18</v>
      </c>
      <c r="E4" s="16"/>
      <c r="F4" s="20" t="s">
        <v>98</v>
      </c>
      <c r="G4" s="64"/>
      <c r="H4" s="27">
        <f>0.21*2*16+0.79*2*14</f>
        <v>28.84</v>
      </c>
      <c r="K4" s="16">
        <f t="shared" ref="K4:K21" si="17">K3+0.05</f>
        <v>0.1</v>
      </c>
      <c r="L4" s="16">
        <f t="shared" si="6"/>
        <v>2175</v>
      </c>
      <c r="M4" s="121">
        <f t="shared" si="7"/>
        <v>227.76542000000001</v>
      </c>
      <c r="N4" s="36">
        <f t="shared" si="8"/>
        <v>0.435</v>
      </c>
      <c r="O4" s="36">
        <f t="shared" si="9"/>
        <v>7.5000000000000011E-2</v>
      </c>
      <c r="P4" s="119">
        <f t="shared" si="0"/>
        <v>2811.0082530161039</v>
      </c>
      <c r="Q4" s="119">
        <f t="shared" si="1"/>
        <v>1145.8700269902708</v>
      </c>
      <c r="R4" s="93">
        <f t="shared" si="10"/>
        <v>1562.1545834967292</v>
      </c>
      <c r="S4" s="118">
        <f t="shared" si="2"/>
        <v>-9.0469361149481356E-2</v>
      </c>
      <c r="T4" s="118">
        <f t="shared" si="11"/>
        <v>0.18263328148868485</v>
      </c>
      <c r="U4" s="118">
        <f t="shared" si="3"/>
        <v>-0.18487089843105711</v>
      </c>
      <c r="V4" s="118">
        <f t="shared" si="4"/>
        <v>0.27703481877026065</v>
      </c>
      <c r="W4" s="118">
        <f t="shared" si="5"/>
        <v>1.5451857269369587</v>
      </c>
      <c r="X4" s="118">
        <f t="shared" si="12"/>
        <v>2.1022935060366783</v>
      </c>
      <c r="Y4" s="118">
        <f t="shared" si="13"/>
        <v>8.8871789207273881</v>
      </c>
      <c r="Z4" s="117">
        <f t="shared" si="14"/>
        <v>0.17386684129123958</v>
      </c>
      <c r="AA4" s="118">
        <f t="shared" si="15"/>
        <v>6.7841102786233254</v>
      </c>
      <c r="AB4" s="96">
        <f t="shared" si="16"/>
        <v>17.386684129123957</v>
      </c>
    </row>
    <row r="5" spans="2:28" x14ac:dyDescent="0.25">
      <c r="B5" s="20" t="s">
        <v>92</v>
      </c>
      <c r="C5" s="64" t="s">
        <v>93</v>
      </c>
      <c r="D5" s="38">
        <v>0</v>
      </c>
      <c r="E5" s="16"/>
      <c r="F5" s="20" t="s">
        <v>99</v>
      </c>
      <c r="G5" s="64"/>
      <c r="H5" s="27">
        <f>D3*12+D4*1+D5*16</f>
        <v>114</v>
      </c>
      <c r="K5" s="16">
        <f t="shared" si="17"/>
        <v>0.15000000000000002</v>
      </c>
      <c r="L5" s="16">
        <f t="shared" si="6"/>
        <v>2562.5</v>
      </c>
      <c r="M5" s="121">
        <f t="shared" si="7"/>
        <v>268.34431666666671</v>
      </c>
      <c r="N5" s="36">
        <f t="shared" si="8"/>
        <v>0.42749999999999999</v>
      </c>
      <c r="O5" s="36">
        <f t="shared" si="9"/>
        <v>8.7499999999999994E-2</v>
      </c>
      <c r="P5" s="119">
        <f t="shared" si="0"/>
        <v>2836.1548258030425</v>
      </c>
      <c r="Q5" s="119">
        <f t="shared" si="1"/>
        <v>1156.1206920344466</v>
      </c>
      <c r="R5" s="93">
        <f t="shared" si="10"/>
        <v>1576.1292254765956</v>
      </c>
      <c r="S5" s="118">
        <f t="shared" si="2"/>
        <v>-9.0469361149481356E-2</v>
      </c>
      <c r="T5" s="118">
        <f t="shared" si="11"/>
        <v>0.18426707288767666</v>
      </c>
      <c r="U5" s="118">
        <f t="shared" si="3"/>
        <v>-0.18691456037857318</v>
      </c>
      <c r="V5" s="118">
        <f t="shared" si="4"/>
        <v>0.28071227211676847</v>
      </c>
      <c r="W5" s="118">
        <f t="shared" si="5"/>
        <v>1.827711922086058</v>
      </c>
      <c r="X5" s="118">
        <f t="shared" si="12"/>
        <v>2.4866828871919155</v>
      </c>
      <c r="Y5" s="118">
        <f t="shared" si="13"/>
        <v>10.470526889362727</v>
      </c>
      <c r="Z5" s="117">
        <f t="shared" si="14"/>
        <v>0.17455777931699662</v>
      </c>
      <c r="AA5" s="118">
        <f t="shared" si="15"/>
        <v>6.8110699894435038</v>
      </c>
      <c r="AB5" s="96">
        <f t="shared" si="16"/>
        <v>17.455777931699661</v>
      </c>
    </row>
    <row r="6" spans="2:28" x14ac:dyDescent="0.25">
      <c r="B6" s="20" t="s">
        <v>94</v>
      </c>
      <c r="C6" s="64" t="s">
        <v>57</v>
      </c>
      <c r="D6" s="38">
        <v>1.71</v>
      </c>
      <c r="E6" s="16"/>
      <c r="F6" s="20" t="s">
        <v>97</v>
      </c>
      <c r="G6" s="64"/>
      <c r="H6" s="61">
        <f>D7*(1*H3 + 0.79/0.21*H3)*H4/H5</f>
        <v>15.058479532163743</v>
      </c>
      <c r="K6" s="16">
        <f t="shared" si="17"/>
        <v>0.2</v>
      </c>
      <c r="L6" s="16">
        <f t="shared" si="6"/>
        <v>2950</v>
      </c>
      <c r="M6" s="121">
        <f t="shared" si="7"/>
        <v>308.92321333333331</v>
      </c>
      <c r="N6" s="36">
        <f t="shared" si="8"/>
        <v>0.42</v>
      </c>
      <c r="O6" s="36">
        <f t="shared" si="9"/>
        <v>0.1</v>
      </c>
      <c r="P6" s="119">
        <f t="shared" si="0"/>
        <v>2861.3013985899815</v>
      </c>
      <c r="Q6" s="119">
        <f t="shared" si="1"/>
        <v>1166.3713570786229</v>
      </c>
      <c r="R6" s="93">
        <f t="shared" si="10"/>
        <v>1590.1038674564625</v>
      </c>
      <c r="S6" s="118">
        <f t="shared" si="2"/>
        <v>-9.0469361149481356E-2</v>
      </c>
      <c r="T6" s="118">
        <f t="shared" si="11"/>
        <v>0.18590086428666849</v>
      </c>
      <c r="U6" s="118">
        <f t="shared" si="3"/>
        <v>-0.18895822232608928</v>
      </c>
      <c r="V6" s="118">
        <f t="shared" si="4"/>
        <v>0.2843897254632764</v>
      </c>
      <c r="W6" s="118">
        <f t="shared" si="5"/>
        <v>2.1114220069102658</v>
      </c>
      <c r="X6" s="118">
        <f t="shared" si="12"/>
        <v>2.8726830025990013</v>
      </c>
      <c r="Y6" s="118">
        <f t="shared" si="13"/>
        <v>12.053874857998066</v>
      </c>
      <c r="Z6" s="117">
        <f t="shared" si="14"/>
        <v>0.17516541624864151</v>
      </c>
      <c r="AA6" s="118">
        <f t="shared" si="15"/>
        <v>6.8347793748733485</v>
      </c>
      <c r="AB6" s="96">
        <f t="shared" si="16"/>
        <v>17.51654162486415</v>
      </c>
    </row>
    <row r="7" spans="2:28" x14ac:dyDescent="0.25">
      <c r="B7" s="20" t="s">
        <v>95</v>
      </c>
      <c r="C7" s="64"/>
      <c r="D7" s="38">
        <v>1</v>
      </c>
      <c r="E7" s="16"/>
      <c r="F7" s="20" t="s">
        <v>53</v>
      </c>
      <c r="G7" s="64" t="s">
        <v>55</v>
      </c>
      <c r="H7" s="97">
        <f>D10/1000000</f>
        <v>1.4999999999999999E-4</v>
      </c>
      <c r="K7" s="16">
        <f t="shared" si="17"/>
        <v>0.25</v>
      </c>
      <c r="L7" s="16">
        <f t="shared" si="6"/>
        <v>3337.5</v>
      </c>
      <c r="M7" s="121">
        <f t="shared" si="7"/>
        <v>349.50211000000002</v>
      </c>
      <c r="N7" s="36">
        <f t="shared" si="8"/>
        <v>0.41249999999999998</v>
      </c>
      <c r="O7" s="36">
        <f t="shared" si="9"/>
        <v>0.1125</v>
      </c>
      <c r="P7" s="119">
        <f t="shared" si="0"/>
        <v>2886.4479713769201</v>
      </c>
      <c r="Q7" s="119">
        <f t="shared" si="1"/>
        <v>1176.6220221227986</v>
      </c>
      <c r="R7" s="93">
        <f t="shared" si="10"/>
        <v>1604.0785094363291</v>
      </c>
      <c r="S7" s="118">
        <f t="shared" si="2"/>
        <v>-9.0469361149481356E-2</v>
      </c>
      <c r="T7" s="118">
        <f t="shared" si="11"/>
        <v>0.18753465568566027</v>
      </c>
      <c r="U7" s="118">
        <f t="shared" si="3"/>
        <v>-0.19100188427360537</v>
      </c>
      <c r="V7" s="118">
        <f t="shared" si="4"/>
        <v>0.28806717880978427</v>
      </c>
      <c r="W7" s="118">
        <f t="shared" si="5"/>
        <v>2.3959202975551346</v>
      </c>
      <c r="X7" s="118">
        <f t="shared" si="12"/>
        <v>3.2597555068777342</v>
      </c>
      <c r="Y7" s="118">
        <f t="shared" si="13"/>
        <v>13.637222826633405</v>
      </c>
      <c r="Z7" s="117">
        <f t="shared" si="14"/>
        <v>0.17568975208617391</v>
      </c>
      <c r="AA7" s="118">
        <f t="shared" si="15"/>
        <v>6.8552384349128381</v>
      </c>
      <c r="AB7" s="96">
        <f t="shared" si="16"/>
        <v>17.568975208617392</v>
      </c>
    </row>
    <row r="8" spans="2:28" x14ac:dyDescent="0.25">
      <c r="B8" s="20" t="s">
        <v>50</v>
      </c>
      <c r="C8" s="64" t="s">
        <v>47</v>
      </c>
      <c r="D8" s="38">
        <v>25</v>
      </c>
      <c r="E8" s="16"/>
      <c r="F8" s="66" t="s">
        <v>178</v>
      </c>
      <c r="G8" s="64" t="s">
        <v>34</v>
      </c>
      <c r="H8" s="103">
        <f>D3*(12+2*16)/H5</f>
        <v>3.0877192982456139</v>
      </c>
      <c r="J8" s="94"/>
      <c r="K8" s="16">
        <f t="shared" si="17"/>
        <v>0.3</v>
      </c>
      <c r="L8" s="16">
        <f t="shared" si="6"/>
        <v>3725</v>
      </c>
      <c r="M8" s="121">
        <f t="shared" si="7"/>
        <v>390.08100666666672</v>
      </c>
      <c r="N8" s="36">
        <f t="shared" si="8"/>
        <v>0.40500000000000003</v>
      </c>
      <c r="O8" s="36">
        <f t="shared" si="9"/>
        <v>0.125</v>
      </c>
      <c r="P8" s="119">
        <f t="shared" si="0"/>
        <v>2911.5945441638587</v>
      </c>
      <c r="Q8" s="119">
        <f t="shared" si="1"/>
        <v>1186.8726871669746</v>
      </c>
      <c r="R8" s="93">
        <f t="shared" si="10"/>
        <v>1618.0531514161958</v>
      </c>
      <c r="S8" s="118">
        <f t="shared" si="2"/>
        <v>-9.0469361149481356E-2</v>
      </c>
      <c r="T8" s="118">
        <f t="shared" si="11"/>
        <v>0.18916844708465205</v>
      </c>
      <c r="U8" s="118">
        <f t="shared" si="3"/>
        <v>-0.19304554622112147</v>
      </c>
      <c r="V8" s="118">
        <f t="shared" si="4"/>
        <v>0.29174463215629215</v>
      </c>
      <c r="W8" s="118">
        <f t="shared" si="5"/>
        <v>2.6808111101662249</v>
      </c>
      <c r="X8" s="118">
        <f t="shared" si="12"/>
        <v>3.6473620546479251</v>
      </c>
      <c r="Y8" s="118">
        <f t="shared" si="13"/>
        <v>15.220570795268744</v>
      </c>
      <c r="Z8" s="117">
        <f t="shared" si="14"/>
        <v>0.17613078682959413</v>
      </c>
      <c r="AA8" s="118">
        <f t="shared" si="15"/>
        <v>6.8724471695619878</v>
      </c>
      <c r="AB8" s="96">
        <f t="shared" si="16"/>
        <v>17.613078682959411</v>
      </c>
    </row>
    <row r="9" spans="2:28" x14ac:dyDescent="0.25">
      <c r="B9" s="20" t="s">
        <v>49</v>
      </c>
      <c r="C9" s="64" t="s">
        <v>51</v>
      </c>
      <c r="D9" s="38">
        <v>100</v>
      </c>
      <c r="E9" s="16"/>
      <c r="F9" s="20" t="s">
        <v>100</v>
      </c>
      <c r="G9" s="64"/>
      <c r="H9" s="97">
        <f>1/(D7*H3*(1+0.79/0.21)+1)</f>
        <v>1.6522423288749016E-2</v>
      </c>
      <c r="K9" s="16">
        <f t="shared" si="17"/>
        <v>0.35</v>
      </c>
      <c r="L9" s="16">
        <f t="shared" si="6"/>
        <v>4112.5</v>
      </c>
      <c r="M9" s="121">
        <f t="shared" si="7"/>
        <v>430.65990333333338</v>
      </c>
      <c r="N9" s="36">
        <f t="shared" si="8"/>
        <v>0.39750000000000002</v>
      </c>
      <c r="O9" s="36">
        <f t="shared" si="9"/>
        <v>0.13750000000000001</v>
      </c>
      <c r="P9" s="119">
        <f t="shared" si="0"/>
        <v>2936.7411169507977</v>
      </c>
      <c r="Q9" s="119">
        <f t="shared" si="1"/>
        <v>1197.1233522111506</v>
      </c>
      <c r="R9" s="93">
        <f t="shared" si="10"/>
        <v>1632.0277933960624</v>
      </c>
      <c r="S9" s="118">
        <f t="shared" si="2"/>
        <v>-9.0469361149481356E-2</v>
      </c>
      <c r="T9" s="118">
        <f t="shared" si="11"/>
        <v>0.19080223848364389</v>
      </c>
      <c r="U9" s="118">
        <f t="shared" si="3"/>
        <v>-0.19508920816863756</v>
      </c>
      <c r="V9" s="118">
        <f t="shared" si="4"/>
        <v>0.29542208550280008</v>
      </c>
      <c r="W9" s="118">
        <f t="shared" si="5"/>
        <v>2.9656987608890937</v>
      </c>
      <c r="X9" s="118">
        <f t="shared" si="12"/>
        <v>4.0349643005293796</v>
      </c>
      <c r="Y9" s="118">
        <f t="shared" si="13"/>
        <v>16.803918763904083</v>
      </c>
      <c r="Z9" s="117">
        <f t="shared" si="14"/>
        <v>0.17648852047890215</v>
      </c>
      <c r="AA9" s="118">
        <f t="shared" si="15"/>
        <v>6.8864055788208001</v>
      </c>
      <c r="AB9" s="96">
        <f t="shared" si="16"/>
        <v>17.648852047890216</v>
      </c>
    </row>
    <row r="10" spans="2:28" x14ac:dyDescent="0.25">
      <c r="B10" s="20" t="s">
        <v>53</v>
      </c>
      <c r="C10" s="64" t="s">
        <v>54</v>
      </c>
      <c r="D10" s="38">
        <v>150</v>
      </c>
      <c r="E10" s="16"/>
      <c r="F10" s="20" t="s">
        <v>101</v>
      </c>
      <c r="G10" s="64" t="s">
        <v>102</v>
      </c>
      <c r="H10" s="27">
        <f>(H5*D9*H9*H7)/(8.3145*H2)</f>
        <v>1.1402956113202744E-5</v>
      </c>
      <c r="K10" s="16">
        <f t="shared" si="17"/>
        <v>0.39999999999999997</v>
      </c>
      <c r="L10" s="16">
        <f t="shared" si="6"/>
        <v>4500</v>
      </c>
      <c r="M10" s="121">
        <f t="shared" si="7"/>
        <v>471.23880000000003</v>
      </c>
      <c r="N10" s="36">
        <f t="shared" si="8"/>
        <v>0.39</v>
      </c>
      <c r="O10" s="36">
        <f t="shared" si="9"/>
        <v>0.15000000000000002</v>
      </c>
      <c r="P10" s="119">
        <f t="shared" si="0"/>
        <v>2961.8876897377359</v>
      </c>
      <c r="Q10" s="119">
        <f t="shared" si="1"/>
        <v>1207.3740172553264</v>
      </c>
      <c r="R10" s="93">
        <f t="shared" si="10"/>
        <v>1646.0024353759288</v>
      </c>
      <c r="S10" s="118">
        <f t="shared" si="2"/>
        <v>-9.0469361149481356E-2</v>
      </c>
      <c r="T10" s="118">
        <f t="shared" si="11"/>
        <v>0.19243602988263564</v>
      </c>
      <c r="U10" s="118">
        <f t="shared" si="3"/>
        <v>-0.1971328701161536</v>
      </c>
      <c r="V10" s="118">
        <f t="shared" si="4"/>
        <v>0.2990995388493079</v>
      </c>
      <c r="W10" s="118">
        <f t="shared" si="5"/>
        <v>3.2501875658692927</v>
      </c>
      <c r="X10" s="118">
        <f t="shared" si="12"/>
        <v>4.4220238991418945</v>
      </c>
      <c r="Y10" s="118">
        <f t="shared" si="13"/>
        <v>18.387266732539423</v>
      </c>
      <c r="Z10" s="117">
        <f t="shared" si="14"/>
        <v>0.17676295303409767</v>
      </c>
      <c r="AA10" s="118">
        <f t="shared" si="15"/>
        <v>6.8971136626892617</v>
      </c>
      <c r="AB10" s="96">
        <f t="shared" si="16"/>
        <v>17.676295303409766</v>
      </c>
    </row>
    <row r="11" spans="2:28" x14ac:dyDescent="0.25">
      <c r="B11" s="20" t="s">
        <v>86</v>
      </c>
      <c r="C11" s="64"/>
      <c r="D11" s="100">
        <v>0.7</v>
      </c>
      <c r="E11" s="16"/>
      <c r="F11" s="20" t="s">
        <v>103</v>
      </c>
      <c r="G11" s="64" t="s">
        <v>102</v>
      </c>
      <c r="H11" s="97">
        <f>(H4*D9*(1-H9)*H7)/(8.3145*H2)</f>
        <v>1.7171118123682496E-4</v>
      </c>
      <c r="K11" s="16">
        <f t="shared" si="17"/>
        <v>0.44999999999999996</v>
      </c>
      <c r="L11" s="16">
        <f t="shared" si="6"/>
        <v>4887.5</v>
      </c>
      <c r="M11" s="121">
        <f t="shared" si="7"/>
        <v>511.81769666666668</v>
      </c>
      <c r="N11" s="36">
        <f t="shared" si="8"/>
        <v>0.38250000000000001</v>
      </c>
      <c r="O11" s="36">
        <f t="shared" si="9"/>
        <v>0.16250000000000001</v>
      </c>
      <c r="P11" s="119">
        <f t="shared" si="0"/>
        <v>2987.0342625246749</v>
      </c>
      <c r="Q11" s="119">
        <f t="shared" si="1"/>
        <v>1217.6246822995024</v>
      </c>
      <c r="R11" s="93">
        <f t="shared" si="10"/>
        <v>1659.9770773557955</v>
      </c>
      <c r="S11" s="118">
        <f t="shared" si="2"/>
        <v>-9.0469361149481356E-2</v>
      </c>
      <c r="T11" s="118">
        <f t="shared" si="11"/>
        <v>0.19406982128162747</v>
      </c>
      <c r="U11" s="118">
        <f t="shared" si="3"/>
        <v>-0.1991765320636697</v>
      </c>
      <c r="V11" s="118">
        <f t="shared" si="4"/>
        <v>0.30277699219581583</v>
      </c>
      <c r="W11" s="118">
        <f t="shared" si="5"/>
        <v>3.5338818412523851</v>
      </c>
      <c r="X11" s="118">
        <f t="shared" si="12"/>
        <v>4.8080025051052857</v>
      </c>
      <c r="Y11" s="118">
        <f t="shared" si="13"/>
        <v>19.97061470117476</v>
      </c>
      <c r="Z11" s="117">
        <f t="shared" si="14"/>
        <v>0.17695408449518113</v>
      </c>
      <c r="AA11" s="118">
        <f t="shared" si="15"/>
        <v>6.9045714211673861</v>
      </c>
      <c r="AB11" s="96">
        <f t="shared" si="16"/>
        <v>17.695408449518112</v>
      </c>
    </row>
    <row r="12" spans="2:28" x14ac:dyDescent="0.25">
      <c r="B12" s="20" t="s">
        <v>87</v>
      </c>
      <c r="C12" s="64"/>
      <c r="D12" s="100">
        <v>0.75</v>
      </c>
      <c r="E12" s="16"/>
      <c r="F12" s="20" t="s">
        <v>104</v>
      </c>
      <c r="G12" s="64" t="s">
        <v>105</v>
      </c>
      <c r="H12" s="61">
        <f>H10*D16</f>
        <v>0.49032711286771796</v>
      </c>
      <c r="K12" s="16">
        <f t="shared" si="17"/>
        <v>0.49999999999999994</v>
      </c>
      <c r="L12" s="16">
        <f t="shared" si="6"/>
        <v>5275</v>
      </c>
      <c r="M12" s="121">
        <f t="shared" si="7"/>
        <v>552.39659333333339</v>
      </c>
      <c r="N12" s="36">
        <f t="shared" si="8"/>
        <v>0.375</v>
      </c>
      <c r="O12" s="36">
        <f t="shared" si="9"/>
        <v>0.17499999999999999</v>
      </c>
      <c r="P12" s="119">
        <f t="shared" si="0"/>
        <v>3012.1808353116139</v>
      </c>
      <c r="Q12" s="119">
        <f t="shared" si="1"/>
        <v>1227.8753473436784</v>
      </c>
      <c r="R12" s="93">
        <f t="shared" si="10"/>
        <v>1673.9517193356623</v>
      </c>
      <c r="S12" s="118">
        <f t="shared" si="2"/>
        <v>-9.0469361149481356E-2</v>
      </c>
      <c r="T12" s="118">
        <f t="shared" si="11"/>
        <v>0.19570361268061931</v>
      </c>
      <c r="U12" s="118">
        <f t="shared" si="3"/>
        <v>-0.20122019401118582</v>
      </c>
      <c r="V12" s="118">
        <f t="shared" si="4"/>
        <v>0.30645444554232376</v>
      </c>
      <c r="W12" s="118">
        <f t="shared" si="5"/>
        <v>3.8163859031839249</v>
      </c>
      <c r="X12" s="118">
        <f t="shared" si="12"/>
        <v>5.1923617730393534</v>
      </c>
      <c r="Y12" s="118">
        <f t="shared" si="13"/>
        <v>21.553962669810101</v>
      </c>
      <c r="Z12" s="117">
        <f t="shared" si="14"/>
        <v>0.17706191486215231</v>
      </c>
      <c r="AA12" s="118">
        <f t="shared" si="15"/>
        <v>6.9087788542551678</v>
      </c>
      <c r="AB12" s="96">
        <f t="shared" si="16"/>
        <v>17.706191486215232</v>
      </c>
    </row>
    <row r="13" spans="2:28" x14ac:dyDescent="0.25">
      <c r="B13" s="20" t="s">
        <v>60</v>
      </c>
      <c r="C13" s="64"/>
      <c r="D13" s="38">
        <v>9.5</v>
      </c>
      <c r="E13" s="16"/>
      <c r="F13" s="20" t="s">
        <v>59</v>
      </c>
      <c r="G13" s="64" t="str">
        <f>C19</f>
        <v>kJ/kg.K</v>
      </c>
      <c r="H13" s="21">
        <f>D19-D18</f>
        <v>0.71750000000000003</v>
      </c>
      <c r="K13" s="16">
        <f t="shared" si="17"/>
        <v>0.54999999999999993</v>
      </c>
      <c r="L13" s="16">
        <f t="shared" si="6"/>
        <v>5662.4999999999991</v>
      </c>
      <c r="M13" s="121">
        <f t="shared" si="7"/>
        <v>592.97548999999992</v>
      </c>
      <c r="N13" s="36">
        <f t="shared" si="8"/>
        <v>0.36749999999999999</v>
      </c>
      <c r="O13" s="36">
        <f t="shared" si="9"/>
        <v>0.1875</v>
      </c>
      <c r="P13" s="119">
        <f t="shared" si="0"/>
        <v>3037.327408098552</v>
      </c>
      <c r="Q13" s="119">
        <f t="shared" si="1"/>
        <v>1238.1260123878542</v>
      </c>
      <c r="R13" s="93">
        <f t="shared" si="10"/>
        <v>1687.9263613155285</v>
      </c>
      <c r="S13" s="118">
        <f t="shared" si="2"/>
        <v>-9.0469361149481356E-2</v>
      </c>
      <c r="T13" s="118">
        <f t="shared" si="11"/>
        <v>0.19733740407961109</v>
      </c>
      <c r="U13" s="118">
        <f t="shared" si="3"/>
        <v>-0.20326385595870183</v>
      </c>
      <c r="V13" s="118">
        <f t="shared" si="4"/>
        <v>0.31013189888883158</v>
      </c>
      <c r="W13" s="118">
        <f t="shared" si="5"/>
        <v>4.0973040678094659</v>
      </c>
      <c r="X13" s="118">
        <f t="shared" si="12"/>
        <v>5.5745633575638989</v>
      </c>
      <c r="Y13" s="118">
        <f t="shared" si="13"/>
        <v>23.137310638445435</v>
      </c>
      <c r="Z13" s="117">
        <f t="shared" si="14"/>
        <v>0.17708644413501112</v>
      </c>
      <c r="AA13" s="118">
        <f t="shared" si="15"/>
        <v>6.9097359619526033</v>
      </c>
      <c r="AB13" s="96">
        <f t="shared" si="16"/>
        <v>17.708644413501112</v>
      </c>
    </row>
    <row r="14" spans="2:28" x14ac:dyDescent="0.25">
      <c r="B14" s="20" t="s">
        <v>11</v>
      </c>
      <c r="C14" s="64" t="s">
        <v>5</v>
      </c>
      <c r="D14" s="38">
        <v>9150</v>
      </c>
      <c r="E14" s="16"/>
      <c r="F14" s="20" t="s">
        <v>68</v>
      </c>
      <c r="G14" s="64"/>
      <c r="H14" s="21">
        <f>D19/H13</f>
        <v>1.3986062717770036</v>
      </c>
      <c r="K14" s="16">
        <f t="shared" si="17"/>
        <v>0.6</v>
      </c>
      <c r="L14" s="16">
        <f t="shared" si="6"/>
        <v>6050</v>
      </c>
      <c r="M14" s="121">
        <f t="shared" si="7"/>
        <v>633.55438666666669</v>
      </c>
      <c r="N14" s="36">
        <f t="shared" si="8"/>
        <v>0.36</v>
      </c>
      <c r="O14" s="36">
        <f t="shared" si="9"/>
        <v>0.2</v>
      </c>
      <c r="P14" s="119">
        <f t="shared" si="0"/>
        <v>3062.4739808854911</v>
      </c>
      <c r="Q14" s="119">
        <f t="shared" si="1"/>
        <v>1248.3766774320302</v>
      </c>
      <c r="R14" s="93">
        <f t="shared" si="10"/>
        <v>1701.9010032953954</v>
      </c>
      <c r="S14" s="118">
        <f t="shared" si="2"/>
        <v>-9.0469361149481356E-2</v>
      </c>
      <c r="T14" s="118">
        <f t="shared" si="11"/>
        <v>0.1989711954786029</v>
      </c>
      <c r="U14" s="118">
        <f t="shared" si="3"/>
        <v>-0.20530751790621796</v>
      </c>
      <c r="V14" s="118">
        <f t="shared" si="4"/>
        <v>0.31380935223533951</v>
      </c>
      <c r="W14" s="118">
        <f t="shared" si="5"/>
        <v>4.3762406512745686</v>
      </c>
      <c r="X14" s="118">
        <f t="shared" si="12"/>
        <v>5.954068913298733</v>
      </c>
      <c r="Y14" s="118">
        <f t="shared" si="13"/>
        <v>24.720658607080779</v>
      </c>
      <c r="Z14" s="117">
        <f t="shared" si="14"/>
        <v>0.17702767231375766</v>
      </c>
      <c r="AA14" s="118">
        <f t="shared" si="15"/>
        <v>6.9074427442596962</v>
      </c>
      <c r="AB14" s="96">
        <f t="shared" si="16"/>
        <v>17.702767231375766</v>
      </c>
    </row>
    <row r="15" spans="2:28" x14ac:dyDescent="0.25">
      <c r="B15" s="20" t="s">
        <v>106</v>
      </c>
      <c r="C15" s="64" t="s">
        <v>0</v>
      </c>
      <c r="D15" s="38">
        <v>60</v>
      </c>
      <c r="E15" s="16"/>
      <c r="F15" s="20" t="str">
        <f>B15</f>
        <v>Vel_ref</v>
      </c>
      <c r="G15" s="64" t="str">
        <f>C15</f>
        <v>km/h</v>
      </c>
      <c r="H15" s="21">
        <f>D15/3.6</f>
        <v>16.666666666666668</v>
      </c>
      <c r="J15" s="94"/>
      <c r="K15" s="16">
        <f t="shared" si="17"/>
        <v>0.65</v>
      </c>
      <c r="L15" s="16">
        <f t="shared" si="6"/>
        <v>6437.5</v>
      </c>
      <c r="M15" s="121">
        <f t="shared" si="7"/>
        <v>674.13328333333345</v>
      </c>
      <c r="N15" s="36">
        <f t="shared" si="8"/>
        <v>0.35249999999999998</v>
      </c>
      <c r="O15" s="36">
        <f t="shared" si="9"/>
        <v>0.21250000000000002</v>
      </c>
      <c r="P15" s="119">
        <f t="shared" si="0"/>
        <v>3087.6205536724292</v>
      </c>
      <c r="Q15" s="119">
        <f t="shared" si="1"/>
        <v>1258.627342476206</v>
      </c>
      <c r="R15" s="93">
        <f t="shared" si="10"/>
        <v>1715.8756452752618</v>
      </c>
      <c r="S15" s="118">
        <f t="shared" si="2"/>
        <v>-9.0469361149481356E-2</v>
      </c>
      <c r="T15" s="118">
        <f t="shared" si="11"/>
        <v>0.20060498687759465</v>
      </c>
      <c r="U15" s="118">
        <f t="shared" si="3"/>
        <v>-0.207351179853734</v>
      </c>
      <c r="V15" s="118">
        <f t="shared" si="4"/>
        <v>0.31748680558184733</v>
      </c>
      <c r="W15" s="118">
        <f t="shared" si="5"/>
        <v>4.6527999697247857</v>
      </c>
      <c r="X15" s="118">
        <f t="shared" si="12"/>
        <v>6.3303400948636543</v>
      </c>
      <c r="Y15" s="118">
        <f t="shared" si="13"/>
        <v>26.304006575716119</v>
      </c>
      <c r="Z15" s="117">
        <f t="shared" si="14"/>
        <v>0.17688559939839182</v>
      </c>
      <c r="AA15" s="118">
        <f t="shared" si="15"/>
        <v>6.9018992011764411</v>
      </c>
      <c r="AB15" s="96">
        <f t="shared" si="16"/>
        <v>17.688559939839184</v>
      </c>
    </row>
    <row r="16" spans="2:28" x14ac:dyDescent="0.25">
      <c r="B16" s="20" t="s">
        <v>3</v>
      </c>
      <c r="C16" s="64" t="s">
        <v>33</v>
      </c>
      <c r="D16" s="38">
        <v>43000</v>
      </c>
      <c r="E16" s="16"/>
      <c r="F16" s="20" t="s">
        <v>61</v>
      </c>
      <c r="G16" s="64" t="s">
        <v>55</v>
      </c>
      <c r="H16" s="97">
        <f>D13*H7/(D13-1)</f>
        <v>1.676470588235294E-4</v>
      </c>
      <c r="K16" s="16">
        <f t="shared" si="17"/>
        <v>0.70000000000000007</v>
      </c>
      <c r="L16" s="16">
        <f t="shared" si="6"/>
        <v>6825.0000000000009</v>
      </c>
      <c r="M16" s="121">
        <f t="shared" si="7"/>
        <v>714.7121800000001</v>
      </c>
      <c r="N16" s="36">
        <f t="shared" si="8"/>
        <v>0.34499999999999997</v>
      </c>
      <c r="O16" s="36">
        <f t="shared" si="9"/>
        <v>0.22500000000000003</v>
      </c>
      <c r="P16" s="119">
        <f t="shared" si="0"/>
        <v>3112.7671264593682</v>
      </c>
      <c r="Q16" s="119">
        <f t="shared" si="1"/>
        <v>1268.878007520382</v>
      </c>
      <c r="R16" s="93">
        <f t="shared" si="10"/>
        <v>1729.8502872551285</v>
      </c>
      <c r="S16" s="118">
        <f t="shared" si="2"/>
        <v>-9.0469361149481356E-2</v>
      </c>
      <c r="T16" s="118">
        <f t="shared" si="11"/>
        <v>0.20223877827658648</v>
      </c>
      <c r="U16" s="118">
        <f t="shared" si="3"/>
        <v>-0.20939484180125009</v>
      </c>
      <c r="V16" s="118">
        <f t="shared" si="4"/>
        <v>0.32116425892835526</v>
      </c>
      <c r="W16" s="118">
        <f t="shared" si="5"/>
        <v>4.9265863393056808</v>
      </c>
      <c r="X16" s="118">
        <f t="shared" si="12"/>
        <v>6.7028385568784774</v>
      </c>
      <c r="Y16" s="118">
        <f t="shared" si="13"/>
        <v>27.88735454435146</v>
      </c>
      <c r="Z16" s="117">
        <f t="shared" si="14"/>
        <v>0.17666022538891388</v>
      </c>
      <c r="AA16" s="118">
        <f t="shared" si="15"/>
        <v>6.8931053327028513</v>
      </c>
      <c r="AB16" s="96">
        <f t="shared" si="16"/>
        <v>17.666022538891387</v>
      </c>
    </row>
    <row r="17" spans="2:28" x14ac:dyDescent="0.25">
      <c r="B17" s="20" t="s">
        <v>2</v>
      </c>
      <c r="C17" s="64" t="s">
        <v>39</v>
      </c>
      <c r="D17" s="38">
        <v>0.745</v>
      </c>
      <c r="E17" s="16"/>
      <c r="F17" s="20" t="s">
        <v>62</v>
      </c>
      <c r="G17" s="64" t="s">
        <v>55</v>
      </c>
      <c r="H17" s="97">
        <f>H16/D13</f>
        <v>1.764705882352941E-5</v>
      </c>
      <c r="K17" s="16">
        <f t="shared" si="17"/>
        <v>0.75000000000000011</v>
      </c>
      <c r="L17" s="16">
        <f t="shared" si="6"/>
        <v>7212.5000000000009</v>
      </c>
      <c r="M17" s="121">
        <f t="shared" si="7"/>
        <v>755.29107666666675</v>
      </c>
      <c r="N17" s="36">
        <f t="shared" si="8"/>
        <v>0.33749999999999997</v>
      </c>
      <c r="O17" s="36">
        <f t="shared" si="9"/>
        <v>0.23750000000000004</v>
      </c>
      <c r="P17" s="119">
        <f t="shared" si="0"/>
        <v>3137.9136992463073</v>
      </c>
      <c r="Q17" s="119">
        <f t="shared" si="1"/>
        <v>1279.1286725645582</v>
      </c>
      <c r="R17" s="93">
        <f t="shared" si="10"/>
        <v>1743.8249292349956</v>
      </c>
      <c r="S17" s="118">
        <f t="shared" si="2"/>
        <v>-9.0469361149481356E-2</v>
      </c>
      <c r="T17" s="118">
        <f t="shared" si="11"/>
        <v>0.20387256967557826</v>
      </c>
      <c r="U17" s="118">
        <f t="shared" si="3"/>
        <v>-0.21143850374876622</v>
      </c>
      <c r="V17" s="118">
        <f t="shared" si="4"/>
        <v>0.32484171227486319</v>
      </c>
      <c r="W17" s="118">
        <f t="shared" si="5"/>
        <v>5.1972040761628033</v>
      </c>
      <c r="X17" s="118">
        <f t="shared" si="12"/>
        <v>7.071025953962998</v>
      </c>
      <c r="Y17" s="118">
        <f t="shared" si="13"/>
        <v>29.470702512986801</v>
      </c>
      <c r="Z17" s="117">
        <f t="shared" si="14"/>
        <v>0.17635155028532357</v>
      </c>
      <c r="AA17" s="118">
        <f t="shared" si="15"/>
        <v>6.8810611388389145</v>
      </c>
      <c r="AB17" s="96">
        <f t="shared" si="16"/>
        <v>17.635155028532356</v>
      </c>
    </row>
    <row r="18" spans="2:28" x14ac:dyDescent="0.25">
      <c r="B18" s="20" t="s">
        <v>56</v>
      </c>
      <c r="C18" s="64" t="s">
        <v>57</v>
      </c>
      <c r="D18" s="38">
        <v>0.28599999999999998</v>
      </c>
      <c r="E18" s="16"/>
      <c r="F18" s="20" t="s">
        <v>71</v>
      </c>
      <c r="G18" s="64" t="s">
        <v>72</v>
      </c>
      <c r="H18" s="61">
        <f>D18*H2/D9</f>
        <v>0.85227999999999993</v>
      </c>
      <c r="K18" s="16">
        <f t="shared" si="17"/>
        <v>0.80000000000000016</v>
      </c>
      <c r="L18" s="16">
        <f t="shared" si="6"/>
        <v>7600.0000000000009</v>
      </c>
      <c r="M18" s="121">
        <f t="shared" si="7"/>
        <v>795.86997333333352</v>
      </c>
      <c r="N18" s="36">
        <f t="shared" si="8"/>
        <v>0.32999999999999996</v>
      </c>
      <c r="O18" s="36">
        <f t="shared" si="9"/>
        <v>0.25000000000000006</v>
      </c>
      <c r="P18" s="119">
        <f t="shared" si="0"/>
        <v>3163.0602720332454</v>
      </c>
      <c r="Q18" s="119">
        <f t="shared" si="1"/>
        <v>1289.3793376087337</v>
      </c>
      <c r="R18" s="93">
        <f t="shared" si="10"/>
        <v>1757.7995712148618</v>
      </c>
      <c r="S18" s="118">
        <f t="shared" si="2"/>
        <v>-9.0469361149481356E-2</v>
      </c>
      <c r="T18" s="118">
        <f t="shared" si="11"/>
        <v>0.20550636107457004</v>
      </c>
      <c r="U18" s="118">
        <f t="shared" si="3"/>
        <v>-0.21348216569628228</v>
      </c>
      <c r="V18" s="118">
        <f t="shared" si="4"/>
        <v>0.32851916562137101</v>
      </c>
      <c r="W18" s="118">
        <f t="shared" si="5"/>
        <v>5.4642574964417134</v>
      </c>
      <c r="X18" s="118">
        <f t="shared" si="12"/>
        <v>7.4343639407370254</v>
      </c>
      <c r="Y18" s="118">
        <f t="shared" si="13"/>
        <v>31.054050481622138</v>
      </c>
      <c r="Z18" s="117">
        <f t="shared" si="14"/>
        <v>0.175959574087621</v>
      </c>
      <c r="AA18" s="118">
        <f t="shared" si="15"/>
        <v>6.8657666195846332</v>
      </c>
      <c r="AB18" s="96">
        <f t="shared" si="16"/>
        <v>17.5959574087621</v>
      </c>
    </row>
    <row r="19" spans="2:28" ht="15.75" thickBot="1" x14ac:dyDescent="0.3">
      <c r="B19" s="28" t="s">
        <v>58</v>
      </c>
      <c r="C19" s="65" t="s">
        <v>57</v>
      </c>
      <c r="D19" s="39">
        <v>1.0035000000000001</v>
      </c>
      <c r="E19" s="16"/>
      <c r="F19" s="20" t="s">
        <v>107</v>
      </c>
      <c r="G19" s="64" t="s">
        <v>102</v>
      </c>
      <c r="H19" s="97">
        <f>D9*H17/(D18*H2)</f>
        <v>2.070570566425284E-5</v>
      </c>
      <c r="K19" s="16">
        <f t="shared" si="17"/>
        <v>0.8500000000000002</v>
      </c>
      <c r="L19" s="16">
        <f t="shared" si="6"/>
        <v>7987.5000000000018</v>
      </c>
      <c r="M19" s="121">
        <f t="shared" si="7"/>
        <v>836.44887000000017</v>
      </c>
      <c r="N19" s="36">
        <f t="shared" si="8"/>
        <v>0.32249999999999995</v>
      </c>
      <c r="O19" s="36">
        <f t="shared" si="9"/>
        <v>0.26250000000000007</v>
      </c>
      <c r="P19" s="119">
        <f t="shared" si="0"/>
        <v>3188.2068448201844</v>
      </c>
      <c r="Q19" s="119">
        <f t="shared" si="1"/>
        <v>1299.63000265291</v>
      </c>
      <c r="R19" s="93">
        <f t="shared" si="10"/>
        <v>1771.7742131947286</v>
      </c>
      <c r="S19" s="118">
        <f t="shared" si="2"/>
        <v>-9.0469361149481356E-2</v>
      </c>
      <c r="T19" s="118">
        <f t="shared" si="11"/>
        <v>0.20714015247356185</v>
      </c>
      <c r="U19" s="118">
        <f t="shared" si="3"/>
        <v>-0.21552582764379841</v>
      </c>
      <c r="V19" s="118">
        <f t="shared" si="4"/>
        <v>0.33219661896787889</v>
      </c>
      <c r="W19" s="118">
        <f t="shared" si="5"/>
        <v>5.7273509162879677</v>
      </c>
      <c r="X19" s="118">
        <f t="shared" si="12"/>
        <v>7.7923141718203643</v>
      </c>
      <c r="Y19" s="118">
        <f t="shared" si="13"/>
        <v>32.637398450257486</v>
      </c>
      <c r="Z19" s="117">
        <f t="shared" si="14"/>
        <v>0.17548429679580613</v>
      </c>
      <c r="AA19" s="118">
        <f t="shared" si="15"/>
        <v>6.8472217749400111</v>
      </c>
      <c r="AB19" s="96">
        <f t="shared" si="16"/>
        <v>17.548429679580615</v>
      </c>
    </row>
    <row r="20" spans="2:28" x14ac:dyDescent="0.25">
      <c r="B20" s="16"/>
      <c r="C20" s="16"/>
      <c r="D20" s="16"/>
      <c r="E20" s="16"/>
      <c r="F20" s="20" t="s">
        <v>108</v>
      </c>
      <c r="G20" s="64" t="s">
        <v>102</v>
      </c>
      <c r="H20" s="97">
        <f>H19+H11+H10</f>
        <v>2.0381984301428056E-4</v>
      </c>
      <c r="K20" s="16">
        <f t="shared" si="17"/>
        <v>0.90000000000000024</v>
      </c>
      <c r="L20" s="16">
        <f t="shared" si="6"/>
        <v>8375.0000000000018</v>
      </c>
      <c r="M20" s="121">
        <f t="shared" si="7"/>
        <v>877.02776666666693</v>
      </c>
      <c r="N20" s="36">
        <f t="shared" si="8"/>
        <v>0.31499999999999995</v>
      </c>
      <c r="O20" s="36">
        <f t="shared" si="9"/>
        <v>0.27500000000000008</v>
      </c>
      <c r="P20" s="119">
        <f t="shared" si="0"/>
        <v>3213.3534176071234</v>
      </c>
      <c r="Q20" s="119">
        <f t="shared" si="1"/>
        <v>1309.880667697086</v>
      </c>
      <c r="R20" s="93">
        <f t="shared" si="10"/>
        <v>1785.7488551745953</v>
      </c>
      <c r="S20" s="118">
        <f t="shared" si="2"/>
        <v>-9.0469361149481356E-2</v>
      </c>
      <c r="T20" s="118">
        <f t="shared" si="11"/>
        <v>0.20877394387255374</v>
      </c>
      <c r="U20" s="118">
        <f t="shared" si="3"/>
        <v>-0.21756948959131445</v>
      </c>
      <c r="V20" s="118">
        <f t="shared" si="4"/>
        <v>0.33587407231438687</v>
      </c>
      <c r="W20" s="118">
        <f t="shared" si="5"/>
        <v>5.9860886518471261</v>
      </c>
      <c r="X20" s="118">
        <f t="shared" si="12"/>
        <v>8.1443383018328248</v>
      </c>
      <c r="Y20" s="118">
        <f t="shared" si="13"/>
        <v>34.220746418892823</v>
      </c>
      <c r="Z20" s="117">
        <f t="shared" si="14"/>
        <v>0.17492571840987914</v>
      </c>
      <c r="AA20" s="118">
        <f t="shared" si="15"/>
        <v>6.8254266049050498</v>
      </c>
      <c r="AB20" s="96">
        <f t="shared" si="16"/>
        <v>17.492571840987914</v>
      </c>
    </row>
    <row r="21" spans="2:28" ht="15.75" thickBot="1" x14ac:dyDescent="0.3">
      <c r="E21" s="16"/>
      <c r="F21" s="28" t="s">
        <v>63</v>
      </c>
      <c r="G21" s="65" t="s">
        <v>64</v>
      </c>
      <c r="H21" s="99">
        <f>H12/H20</f>
        <v>2405.6887966171348</v>
      </c>
      <c r="K21" s="16">
        <f t="shared" si="17"/>
        <v>0.95000000000000029</v>
      </c>
      <c r="L21" s="16">
        <f t="shared" si="6"/>
        <v>8762.5000000000018</v>
      </c>
      <c r="M21" s="121">
        <f t="shared" si="7"/>
        <v>917.60666333333347</v>
      </c>
      <c r="N21" s="36">
        <f t="shared" si="8"/>
        <v>0.30749999999999994</v>
      </c>
      <c r="O21" s="36">
        <f t="shared" si="9"/>
        <v>0.28750000000000009</v>
      </c>
      <c r="P21" s="119">
        <f t="shared" si="0"/>
        <v>3238.4999903940625</v>
      </c>
      <c r="Q21" s="119">
        <f t="shared" si="1"/>
        <v>1320.131332741262</v>
      </c>
      <c r="R21" s="93">
        <f t="shared" si="10"/>
        <v>1799.7234971544622</v>
      </c>
      <c r="S21" s="118">
        <f t="shared" si="2"/>
        <v>-9.0469361149481356E-2</v>
      </c>
      <c r="T21" s="118">
        <f t="shared" si="11"/>
        <v>0.21040773527154552</v>
      </c>
      <c r="U21" s="118">
        <f t="shared" si="3"/>
        <v>-0.2196131515388306</v>
      </c>
      <c r="V21" s="118">
        <f t="shared" si="4"/>
        <v>0.3395515256608948</v>
      </c>
      <c r="W21" s="118">
        <f t="shared" si="5"/>
        <v>6.2400750192647374</v>
      </c>
      <c r="X21" s="118">
        <f t="shared" si="12"/>
        <v>8.4898979853942009</v>
      </c>
      <c r="Y21" s="118">
        <f t="shared" si="13"/>
        <v>35.80409438752816</v>
      </c>
      <c r="Z21" s="117">
        <f t="shared" si="14"/>
        <v>0.17428383892983976</v>
      </c>
      <c r="AA21" s="118">
        <f t="shared" si="15"/>
        <v>6.8003811094797406</v>
      </c>
      <c r="AB21" s="96">
        <f t="shared" si="16"/>
        <v>17.428383892983977</v>
      </c>
    </row>
    <row r="22" spans="2:28" ht="15.75" thickBot="1" x14ac:dyDescent="0.3">
      <c r="B22" s="85" t="s">
        <v>109</v>
      </c>
      <c r="C22" s="86"/>
      <c r="D22" s="68"/>
      <c r="E22" s="16"/>
      <c r="F22" s="16"/>
      <c r="G22" s="16"/>
      <c r="H22" s="16"/>
      <c r="K22" s="16">
        <f>K21+0.05</f>
        <v>1.0000000000000002</v>
      </c>
      <c r="L22" s="16">
        <f t="shared" si="6"/>
        <v>9150.0000000000018</v>
      </c>
      <c r="M22" s="121">
        <f t="shared" si="7"/>
        <v>958.18556000000024</v>
      </c>
      <c r="N22" s="36">
        <f t="shared" si="8"/>
        <v>0.29999999999999993</v>
      </c>
      <c r="O22" s="36">
        <f t="shared" si="9"/>
        <v>0.30000000000000004</v>
      </c>
      <c r="P22" s="119">
        <f t="shared" si="0"/>
        <v>3263.6465631810006</v>
      </c>
      <c r="Q22" s="119">
        <f t="shared" si="1"/>
        <v>1330.3819977854378</v>
      </c>
      <c r="R22" s="93">
        <f t="shared" si="10"/>
        <v>1813.6981391343284</v>
      </c>
      <c r="S22" s="118">
        <f t="shared" si="2"/>
        <v>-9.0469361149481356E-2</v>
      </c>
      <c r="T22" s="118">
        <f t="shared" si="11"/>
        <v>0.2120415266705373</v>
      </c>
      <c r="U22" s="118">
        <f t="shared" si="3"/>
        <v>-0.22165681348634664</v>
      </c>
      <c r="V22" s="118">
        <f t="shared" si="4"/>
        <v>0.34322897900740257</v>
      </c>
      <c r="W22" s="118">
        <f t="shared" si="5"/>
        <v>6.4889143346863625</v>
      </c>
      <c r="X22" s="118">
        <f t="shared" si="12"/>
        <v>8.8284548771243028</v>
      </c>
      <c r="Y22" s="118">
        <f t="shared" si="13"/>
        <v>37.387442356163504</v>
      </c>
      <c r="Z22" s="117">
        <f t="shared" si="14"/>
        <v>0.17355865835568807</v>
      </c>
      <c r="AA22" s="118">
        <f t="shared" si="15"/>
        <v>6.7720852886640879</v>
      </c>
      <c r="AB22" s="96">
        <f t="shared" si="16"/>
        <v>17.355865835568807</v>
      </c>
    </row>
    <row r="23" spans="2:28" x14ac:dyDescent="0.25">
      <c r="B23" s="20" t="s">
        <v>4</v>
      </c>
      <c r="C23" s="19" t="s">
        <v>5</v>
      </c>
      <c r="D23" s="110">
        <v>1400</v>
      </c>
      <c r="E23" s="16"/>
      <c r="F23" s="17" t="s">
        <v>52</v>
      </c>
      <c r="G23" s="90" t="s">
        <v>48</v>
      </c>
      <c r="H23" s="30">
        <f>H2</f>
        <v>298</v>
      </c>
    </row>
    <row r="24" spans="2:28" x14ac:dyDescent="0.25">
      <c r="B24" s="20" t="s">
        <v>6</v>
      </c>
      <c r="C24" s="35" t="s">
        <v>5</v>
      </c>
      <c r="D24" s="111">
        <v>9150</v>
      </c>
      <c r="F24" s="20" t="s">
        <v>85</v>
      </c>
      <c r="G24" s="64" t="s">
        <v>48</v>
      </c>
      <c r="H24" s="21">
        <f>H23*D13^(H14-1)</f>
        <v>731.04317214670584</v>
      </c>
      <c r="J24" s="19"/>
      <c r="K24" s="16"/>
      <c r="L24" s="16"/>
      <c r="M24" s="16"/>
      <c r="Q24" s="94"/>
      <c r="R24" s="94"/>
    </row>
    <row r="25" spans="2:28" ht="15.75" thickBot="1" x14ac:dyDescent="0.3">
      <c r="B25" s="107" t="s">
        <v>110</v>
      </c>
      <c r="C25" s="16"/>
      <c r="D25" s="178">
        <v>0.45</v>
      </c>
      <c r="F25" s="28" t="s">
        <v>67</v>
      </c>
      <c r="G25" s="65" t="s">
        <v>48</v>
      </c>
      <c r="H25" s="26">
        <f>H23+(H24-H23)/D11</f>
        <v>916.6331030667227</v>
      </c>
      <c r="J25" s="19"/>
      <c r="K25" s="19"/>
      <c r="L25" s="44"/>
      <c r="M25" s="44"/>
    </row>
    <row r="26" spans="2:28" x14ac:dyDescent="0.25">
      <c r="B26" s="107" t="s">
        <v>111</v>
      </c>
      <c r="C26" s="16"/>
      <c r="D26" s="178">
        <v>0.3</v>
      </c>
      <c r="J26" s="19"/>
      <c r="K26" s="19"/>
      <c r="L26" s="44"/>
      <c r="M26" s="44"/>
    </row>
    <row r="27" spans="2:28" x14ac:dyDescent="0.25">
      <c r="B27" s="107" t="s">
        <v>112</v>
      </c>
      <c r="C27" s="16"/>
      <c r="D27" s="178">
        <v>0.05</v>
      </c>
    </row>
    <row r="28" spans="2:28" ht="15.75" thickBot="1" x14ac:dyDescent="0.3">
      <c r="B28" s="108" t="s">
        <v>113</v>
      </c>
      <c r="C28" s="109"/>
      <c r="D28" s="179">
        <v>0.3</v>
      </c>
    </row>
    <row r="29" spans="2:28" x14ac:dyDescent="0.25">
      <c r="F29" s="19"/>
      <c r="G29" s="19"/>
      <c r="H29" s="35"/>
    </row>
    <row r="30" spans="2:28" x14ac:dyDescent="0.25">
      <c r="E30" s="16"/>
      <c r="F30" s="19"/>
      <c r="G30" s="19"/>
      <c r="H30" s="35"/>
      <c r="I30" s="16"/>
    </row>
    <row r="31" spans="2:28" x14ac:dyDescent="0.25">
      <c r="D31" s="22"/>
      <c r="E31" s="16"/>
      <c r="F31" s="19"/>
      <c r="G31" s="19"/>
      <c r="H31" s="35"/>
      <c r="I31" s="16"/>
    </row>
    <row r="32" spans="2:28" x14ac:dyDescent="0.25">
      <c r="D32" s="22"/>
      <c r="E32" s="16"/>
      <c r="F32" s="16"/>
      <c r="G32" s="16"/>
      <c r="H32" s="16"/>
      <c r="I32" s="16"/>
    </row>
    <row r="33" spans="4:9" x14ac:dyDescent="0.25">
      <c r="D33" s="22"/>
      <c r="E33" s="16"/>
      <c r="F33" s="19"/>
      <c r="G33" s="19"/>
      <c r="H33" s="22"/>
      <c r="I33" s="16"/>
    </row>
    <row r="34" spans="4:9" x14ac:dyDescent="0.25">
      <c r="D34" s="22"/>
      <c r="E34" s="16"/>
      <c r="F34" s="19"/>
      <c r="G34" s="19"/>
      <c r="H34" s="22"/>
      <c r="I34" s="16"/>
    </row>
    <row r="35" spans="4:9" x14ac:dyDescent="0.25">
      <c r="D35" s="16"/>
      <c r="E35" s="16"/>
      <c r="F35" s="19"/>
      <c r="G35" s="19"/>
      <c r="H35" s="22"/>
      <c r="I35" s="16"/>
    </row>
    <row r="36" spans="4:9" x14ac:dyDescent="0.25">
      <c r="E36" s="16"/>
      <c r="F36" s="19"/>
      <c r="G36" s="19"/>
      <c r="H36" s="22"/>
      <c r="I36" s="16"/>
    </row>
    <row r="37" spans="4:9" x14ac:dyDescent="0.25">
      <c r="E37" s="16"/>
      <c r="F37" s="19"/>
      <c r="G37" s="19"/>
      <c r="H37" s="19"/>
      <c r="I37" s="16"/>
    </row>
    <row r="38" spans="4:9" x14ac:dyDescent="0.25">
      <c r="F38" s="19"/>
      <c r="G38" s="19"/>
      <c r="H38" s="44"/>
    </row>
    <row r="39" spans="4:9" x14ac:dyDescent="0.25">
      <c r="F39" s="16"/>
      <c r="G39" s="16"/>
      <c r="H39" s="16"/>
    </row>
    <row r="40" spans="4:9" x14ac:dyDescent="0.25">
      <c r="F40" s="19"/>
      <c r="G40" s="19"/>
      <c r="H40" s="44"/>
    </row>
    <row r="41" spans="4:9" x14ac:dyDescent="0.25">
      <c r="F41" s="19"/>
      <c r="G41" s="19"/>
      <c r="H41" s="44"/>
    </row>
    <row r="42" spans="4:9" x14ac:dyDescent="0.25">
      <c r="F42" s="19"/>
      <c r="G42" s="19"/>
      <c r="H42" s="35"/>
    </row>
    <row r="43" spans="4:9" x14ac:dyDescent="0.25">
      <c r="F43" s="19"/>
      <c r="G43" s="19"/>
      <c r="H43" s="35"/>
    </row>
    <row r="44" spans="4:9" x14ac:dyDescent="0.25">
      <c r="F44" s="19"/>
      <c r="G44" s="19"/>
      <c r="H44" s="22"/>
    </row>
    <row r="45" spans="4:9" x14ac:dyDescent="0.25">
      <c r="F45" s="19"/>
      <c r="G45" s="19"/>
      <c r="H45" s="22"/>
    </row>
    <row r="46" spans="4:9" x14ac:dyDescent="0.25">
      <c r="F46" s="19"/>
      <c r="G46" s="19"/>
      <c r="H46" s="35"/>
    </row>
    <row r="47" spans="4:9" x14ac:dyDescent="0.25">
      <c r="F47" s="16"/>
      <c r="G47" s="16"/>
      <c r="H47" s="16"/>
    </row>
  </sheetData>
  <sheetProtection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7"/>
  <sheetViews>
    <sheetView workbookViewId="0">
      <selection activeCell="K32" sqref="K32"/>
    </sheetView>
  </sheetViews>
  <sheetFormatPr defaultRowHeight="15" x14ac:dyDescent="0.25"/>
  <cols>
    <col min="1" max="1" width="9.140625" style="93"/>
    <col min="2" max="2" width="9.85546875" style="93" customWidth="1"/>
    <col min="3" max="3" width="16.42578125" style="93" customWidth="1"/>
    <col min="4" max="4" width="7" style="93" customWidth="1"/>
    <col min="5" max="5" width="8.7109375" style="93" customWidth="1"/>
    <col min="6" max="6" width="13.42578125" style="93" bestFit="1" customWidth="1"/>
    <col min="7" max="7" width="16.42578125" style="93" customWidth="1"/>
    <col min="8" max="8" width="11" style="93" customWidth="1"/>
    <col min="9" max="9" width="6.28515625" style="93" customWidth="1"/>
    <col min="10" max="10" width="12" style="93" customWidth="1"/>
    <col min="11" max="11" width="12.5703125" style="93" customWidth="1"/>
    <col min="12" max="12" width="16.42578125" style="93" bestFit="1" customWidth="1"/>
    <col min="13" max="13" width="9.5703125" style="93" customWidth="1"/>
    <col min="14" max="14" width="8.28515625" style="93" customWidth="1"/>
    <col min="15" max="15" width="9.140625" style="93"/>
    <col min="16" max="16" width="8.42578125" style="93" customWidth="1"/>
    <col min="17" max="17" width="13.28515625" style="93" bestFit="1" customWidth="1"/>
    <col min="18" max="18" width="7.28515625" style="93" customWidth="1"/>
    <col min="19" max="16384" width="9.140625" style="93"/>
  </cols>
  <sheetData>
    <row r="1" spans="2:28" ht="15.75" thickBot="1" x14ac:dyDescent="0.3">
      <c r="B1" s="1" t="s">
        <v>179</v>
      </c>
      <c r="C1" s="16"/>
      <c r="D1" s="16"/>
      <c r="E1" s="16"/>
      <c r="F1" s="16"/>
      <c r="G1" s="16"/>
      <c r="H1" s="16"/>
      <c r="J1" s="19"/>
      <c r="K1" s="19"/>
      <c r="L1" s="35" t="s">
        <v>11</v>
      </c>
      <c r="M1" s="35" t="s">
        <v>123</v>
      </c>
      <c r="N1" s="16" t="s">
        <v>114</v>
      </c>
      <c r="O1" s="93" t="s">
        <v>115</v>
      </c>
      <c r="P1" s="93" t="s">
        <v>116</v>
      </c>
      <c r="Q1" s="93" t="s">
        <v>84</v>
      </c>
      <c r="R1" s="93" t="s">
        <v>117</v>
      </c>
      <c r="S1" s="93" t="s">
        <v>118</v>
      </c>
      <c r="T1" s="93" t="s">
        <v>119</v>
      </c>
      <c r="U1" s="93" t="s">
        <v>120</v>
      </c>
      <c r="V1" s="93" t="s">
        <v>122</v>
      </c>
      <c r="W1" s="93" t="s">
        <v>82</v>
      </c>
      <c r="X1" s="93" t="s">
        <v>124</v>
      </c>
      <c r="Y1" s="93" t="s">
        <v>83</v>
      </c>
      <c r="Z1" s="93" t="s">
        <v>21</v>
      </c>
      <c r="AA1" s="93" t="s">
        <v>125</v>
      </c>
      <c r="AB1" s="93" t="s">
        <v>126</v>
      </c>
    </row>
    <row r="2" spans="2:28" x14ac:dyDescent="0.25">
      <c r="B2" s="104" t="s">
        <v>1</v>
      </c>
      <c r="C2" s="105"/>
      <c r="D2" s="106"/>
      <c r="E2" s="16"/>
      <c r="F2" s="17" t="s">
        <v>50</v>
      </c>
      <c r="G2" s="90" t="s">
        <v>48</v>
      </c>
      <c r="H2" s="18">
        <f>273+D8</f>
        <v>298</v>
      </c>
      <c r="K2" s="16">
        <f>0</f>
        <v>0</v>
      </c>
      <c r="L2" s="16">
        <f>$D$23 + ($D$24-$D$23)*K2</f>
        <v>1400</v>
      </c>
      <c r="M2" s="121">
        <f>L2/60*2*3.141592</f>
        <v>146.60762666666668</v>
      </c>
      <c r="N2" s="36">
        <f>$D$25+(L2-$D$23)/($D$24-$D$23)*($D$26-$D$25)</f>
        <v>0</v>
      </c>
      <c r="O2" s="36">
        <f>$D$27+(L2-$D$23)/($D$24-$D$23)*($D$28-$D$27)</f>
        <v>0</v>
      </c>
      <c r="P2" s="119">
        <f t="shared" ref="P2:P22" si="0">$H$25+$H$21/$H$13*(1-N2)</f>
        <v>4269.5094746585482</v>
      </c>
      <c r="Q2" s="119">
        <f t="shared" ref="Q2:Q22" si="1">P2/$D$13^($H$14-1)</f>
        <v>1740.4085995524754</v>
      </c>
      <c r="R2" s="93">
        <f>P2+(Q2-P2)*$D$12</f>
        <v>2372.6838183289938</v>
      </c>
      <c r="S2" s="118">
        <f t="shared" ref="S2:S22" si="2">$H$13*($H$23-$H$25)*$H$20</f>
        <v>-9.0469361149481356E-2</v>
      </c>
      <c r="T2" s="118">
        <f>$H$13*(P2-R2)*$H$20</f>
        <v>0.27739318263020929</v>
      </c>
      <c r="U2" s="118">
        <f t="shared" ref="U2:U22" si="3">$H$13*($H$23-R2)*$H$20</f>
        <v>-0.30340329138699001</v>
      </c>
      <c r="V2" s="118">
        <f t="shared" ref="V2:V22" si="4">$H$13*(P2-$H$25)*$H$20</f>
        <v>0.49032711286771802</v>
      </c>
      <c r="W2" s="118">
        <f t="shared" ref="W2:W22" si="5">(S2+T2)*L2/2/60*(1-O2)</f>
        <v>2.1807779172751593</v>
      </c>
      <c r="X2" s="118">
        <f>W2/0.735</f>
        <v>2.9670447854083801</v>
      </c>
      <c r="Y2" s="118">
        <f>$H$20*$H$21*L2/2/60</f>
        <v>5.7204829834567086</v>
      </c>
      <c r="Z2" s="117">
        <f>W2/Y2</f>
        <v>0.38122269108776957</v>
      </c>
      <c r="AA2" s="118">
        <f>W2/M2*1000</f>
        <v>14.874928179783366</v>
      </c>
      <c r="AB2" s="96">
        <f>Z2*100</f>
        <v>38.122269108776955</v>
      </c>
    </row>
    <row r="3" spans="2:28" x14ac:dyDescent="0.25">
      <c r="B3" s="20" t="s">
        <v>88</v>
      </c>
      <c r="C3" s="64" t="s">
        <v>89</v>
      </c>
      <c r="D3" s="27">
        <f>'Ab07'!D3</f>
        <v>8</v>
      </c>
      <c r="E3" s="16"/>
      <c r="F3" s="20" t="s">
        <v>96</v>
      </c>
      <c r="G3" s="64"/>
      <c r="H3" s="27">
        <f>D3+D4/4-D5/2</f>
        <v>12.5</v>
      </c>
      <c r="K3" s="16">
        <f>K2+0.05</f>
        <v>0.05</v>
      </c>
      <c r="L3" s="16">
        <f t="shared" ref="L3:L22" si="6">$D$23 + ($D$24-$D$23)*K3</f>
        <v>1787.5</v>
      </c>
      <c r="M3" s="121">
        <f t="shared" ref="M3:M22" si="7">L3/60*2*3.141592</f>
        <v>187.18652333333335</v>
      </c>
      <c r="N3" s="36">
        <f t="shared" ref="N3:N22" si="8">$D$25+(L3-$D$23)/($D$24-$D$23)*($D$26-$D$25)</f>
        <v>0</v>
      </c>
      <c r="O3" s="36">
        <f t="shared" ref="O3:O22" si="9">$D$27+(L3-$D$23)/($D$24-$D$23)*($D$28-$D$27)</f>
        <v>0</v>
      </c>
      <c r="P3" s="119">
        <f t="shared" si="0"/>
        <v>4269.5094746585482</v>
      </c>
      <c r="Q3" s="119">
        <f t="shared" si="1"/>
        <v>1740.4085995524754</v>
      </c>
      <c r="R3" s="93">
        <f t="shared" ref="R3:R22" si="10">P3+(Q3-P3)*$D$12</f>
        <v>2372.6838183289938</v>
      </c>
      <c r="S3" s="118">
        <f t="shared" si="2"/>
        <v>-9.0469361149481356E-2</v>
      </c>
      <c r="T3" s="118">
        <f t="shared" ref="T3:T22" si="11">$H$13*(P3-R3)*$H$20</f>
        <v>0.27739318263020929</v>
      </c>
      <c r="U3" s="118">
        <f t="shared" si="3"/>
        <v>-0.30340329138699001</v>
      </c>
      <c r="V3" s="118">
        <f t="shared" si="4"/>
        <v>0.49032711286771802</v>
      </c>
      <c r="W3" s="118">
        <f t="shared" si="5"/>
        <v>2.7843860908066769</v>
      </c>
      <c r="X3" s="118">
        <f t="shared" ref="X3:X22" si="12">W3/0.735</f>
        <v>3.7882803956553426</v>
      </c>
      <c r="Y3" s="118">
        <f t="shared" ref="Y3:Y22" si="13">$H$20*$H$21*L3/2/60</f>
        <v>7.3038309520920475</v>
      </c>
      <c r="Z3" s="117">
        <f t="shared" ref="Z3:Z22" si="14">W3/Y3</f>
        <v>0.38122269108776963</v>
      </c>
      <c r="AA3" s="118">
        <f t="shared" ref="AA3:AA22" si="15">W3/M3*1000</f>
        <v>14.874928179783366</v>
      </c>
      <c r="AB3" s="96">
        <f t="shared" ref="AB3:AB22" si="16">Z3*100</f>
        <v>38.122269108776962</v>
      </c>
    </row>
    <row r="4" spans="2:28" x14ac:dyDescent="0.25">
      <c r="B4" s="20" t="s">
        <v>90</v>
      </c>
      <c r="C4" s="64" t="s">
        <v>91</v>
      </c>
      <c r="D4" s="27">
        <f>'Ab07'!D4</f>
        <v>18</v>
      </c>
      <c r="E4" s="16"/>
      <c r="F4" s="20" t="s">
        <v>98</v>
      </c>
      <c r="G4" s="64"/>
      <c r="H4" s="27">
        <f>0.21*2*16+0.79*2*14</f>
        <v>28.84</v>
      </c>
      <c r="K4" s="16">
        <f t="shared" ref="K4:K21" si="17">K3+0.05</f>
        <v>0.1</v>
      </c>
      <c r="L4" s="16">
        <f t="shared" si="6"/>
        <v>2175</v>
      </c>
      <c r="M4" s="121">
        <f t="shared" si="7"/>
        <v>227.76542000000001</v>
      </c>
      <c r="N4" s="36">
        <f t="shared" si="8"/>
        <v>0</v>
      </c>
      <c r="O4" s="36">
        <f t="shared" si="9"/>
        <v>0</v>
      </c>
      <c r="P4" s="119">
        <f t="shared" si="0"/>
        <v>4269.5094746585482</v>
      </c>
      <c r="Q4" s="119">
        <f t="shared" si="1"/>
        <v>1740.4085995524754</v>
      </c>
      <c r="R4" s="93">
        <f t="shared" si="10"/>
        <v>2372.6838183289938</v>
      </c>
      <c r="S4" s="118">
        <f t="shared" si="2"/>
        <v>-9.0469361149481356E-2</v>
      </c>
      <c r="T4" s="118">
        <f t="shared" si="11"/>
        <v>0.27739318263020929</v>
      </c>
      <c r="U4" s="118">
        <f t="shared" si="3"/>
        <v>-0.30340329138699001</v>
      </c>
      <c r="V4" s="118">
        <f t="shared" si="4"/>
        <v>0.49032711286771802</v>
      </c>
      <c r="W4" s="118">
        <f t="shared" si="5"/>
        <v>3.3879942643381944</v>
      </c>
      <c r="X4" s="118">
        <f t="shared" si="12"/>
        <v>4.6095160059023055</v>
      </c>
      <c r="Y4" s="118">
        <f t="shared" si="13"/>
        <v>8.8871789207273881</v>
      </c>
      <c r="Z4" s="117">
        <f t="shared" si="14"/>
        <v>0.38122269108776957</v>
      </c>
      <c r="AA4" s="118">
        <f t="shared" si="15"/>
        <v>14.874928179783367</v>
      </c>
      <c r="AB4" s="96">
        <f t="shared" si="16"/>
        <v>38.122269108776955</v>
      </c>
    </row>
    <row r="5" spans="2:28" x14ac:dyDescent="0.25">
      <c r="B5" s="20" t="s">
        <v>92</v>
      </c>
      <c r="C5" s="64" t="s">
        <v>93</v>
      </c>
      <c r="D5" s="27">
        <f>'Ab07'!D5</f>
        <v>0</v>
      </c>
      <c r="E5" s="16"/>
      <c r="F5" s="20" t="s">
        <v>99</v>
      </c>
      <c r="G5" s="64"/>
      <c r="H5" s="27">
        <f>D3*12+D4*1+D5*16</f>
        <v>114</v>
      </c>
      <c r="K5" s="16">
        <f t="shared" si="17"/>
        <v>0.15000000000000002</v>
      </c>
      <c r="L5" s="16">
        <f t="shared" si="6"/>
        <v>2562.5</v>
      </c>
      <c r="M5" s="121">
        <f t="shared" si="7"/>
        <v>268.34431666666671</v>
      </c>
      <c r="N5" s="36">
        <f t="shared" si="8"/>
        <v>0</v>
      </c>
      <c r="O5" s="36">
        <f t="shared" si="9"/>
        <v>0</v>
      </c>
      <c r="P5" s="119">
        <f t="shared" si="0"/>
        <v>4269.5094746585482</v>
      </c>
      <c r="Q5" s="119">
        <f t="shared" si="1"/>
        <v>1740.4085995524754</v>
      </c>
      <c r="R5" s="93">
        <f t="shared" si="10"/>
        <v>2372.6838183289938</v>
      </c>
      <c r="S5" s="118">
        <f t="shared" si="2"/>
        <v>-9.0469361149481356E-2</v>
      </c>
      <c r="T5" s="118">
        <f t="shared" si="11"/>
        <v>0.27739318263020929</v>
      </c>
      <c r="U5" s="118">
        <f t="shared" si="3"/>
        <v>-0.30340329138699001</v>
      </c>
      <c r="V5" s="118">
        <f t="shared" si="4"/>
        <v>0.49032711286771802</v>
      </c>
      <c r="W5" s="118">
        <f t="shared" si="5"/>
        <v>3.991602437869711</v>
      </c>
      <c r="X5" s="118">
        <f t="shared" si="12"/>
        <v>5.4307516161492666</v>
      </c>
      <c r="Y5" s="118">
        <f t="shared" si="13"/>
        <v>10.470526889362727</v>
      </c>
      <c r="Z5" s="117">
        <f t="shared" si="14"/>
        <v>0.38122269108776952</v>
      </c>
      <c r="AA5" s="118">
        <f t="shared" si="15"/>
        <v>14.874928179783362</v>
      </c>
      <c r="AB5" s="96">
        <f t="shared" si="16"/>
        <v>38.122269108776955</v>
      </c>
    </row>
    <row r="6" spans="2:28" x14ac:dyDescent="0.25">
      <c r="B6" s="20" t="s">
        <v>94</v>
      </c>
      <c r="C6" s="64" t="s">
        <v>57</v>
      </c>
      <c r="D6" s="27">
        <f>'Ab07'!D6</f>
        <v>1.71</v>
      </c>
      <c r="E6" s="16"/>
      <c r="F6" s="20" t="s">
        <v>97</v>
      </c>
      <c r="G6" s="64"/>
      <c r="H6" s="61">
        <f>D7*(1*H3 + 0.79/0.21*H3)*H4/H5</f>
        <v>15.058479532163743</v>
      </c>
      <c r="K6" s="16">
        <f t="shared" si="17"/>
        <v>0.2</v>
      </c>
      <c r="L6" s="16">
        <f t="shared" si="6"/>
        <v>2950</v>
      </c>
      <c r="M6" s="121">
        <f t="shared" si="7"/>
        <v>308.92321333333331</v>
      </c>
      <c r="N6" s="36">
        <f t="shared" si="8"/>
        <v>0</v>
      </c>
      <c r="O6" s="36">
        <f t="shared" si="9"/>
        <v>0</v>
      </c>
      <c r="P6" s="119">
        <f t="shared" si="0"/>
        <v>4269.5094746585482</v>
      </c>
      <c r="Q6" s="119">
        <f t="shared" si="1"/>
        <v>1740.4085995524754</v>
      </c>
      <c r="R6" s="93">
        <f t="shared" si="10"/>
        <v>2372.6838183289938</v>
      </c>
      <c r="S6" s="118">
        <f t="shared" si="2"/>
        <v>-9.0469361149481356E-2</v>
      </c>
      <c r="T6" s="118">
        <f t="shared" si="11"/>
        <v>0.27739318263020929</v>
      </c>
      <c r="U6" s="118">
        <f t="shared" si="3"/>
        <v>-0.30340329138699001</v>
      </c>
      <c r="V6" s="118">
        <f t="shared" si="4"/>
        <v>0.49032711286771802</v>
      </c>
      <c r="W6" s="118">
        <f t="shared" si="5"/>
        <v>4.595210611401229</v>
      </c>
      <c r="X6" s="118">
        <f t="shared" si="12"/>
        <v>6.2519872263962304</v>
      </c>
      <c r="Y6" s="118">
        <f t="shared" si="13"/>
        <v>12.053874857998066</v>
      </c>
      <c r="Z6" s="117">
        <f t="shared" si="14"/>
        <v>0.38122269108776957</v>
      </c>
      <c r="AA6" s="118">
        <f t="shared" si="15"/>
        <v>14.874928179783369</v>
      </c>
      <c r="AB6" s="96">
        <f t="shared" si="16"/>
        <v>38.122269108776955</v>
      </c>
    </row>
    <row r="7" spans="2:28" x14ac:dyDescent="0.25">
      <c r="B7" s="20" t="s">
        <v>95</v>
      </c>
      <c r="C7" s="64"/>
      <c r="D7" s="27">
        <f>'Ab07'!D7</f>
        <v>1</v>
      </c>
      <c r="E7" s="16"/>
      <c r="F7" s="20" t="s">
        <v>53</v>
      </c>
      <c r="G7" s="64" t="s">
        <v>55</v>
      </c>
      <c r="H7" s="97">
        <f>D10/1000000</f>
        <v>1.4999999999999999E-4</v>
      </c>
      <c r="K7" s="16">
        <f t="shared" si="17"/>
        <v>0.25</v>
      </c>
      <c r="L7" s="16">
        <f t="shared" si="6"/>
        <v>3337.5</v>
      </c>
      <c r="M7" s="121">
        <f t="shared" si="7"/>
        <v>349.50211000000002</v>
      </c>
      <c r="N7" s="36">
        <f t="shared" si="8"/>
        <v>0</v>
      </c>
      <c r="O7" s="36">
        <f t="shared" si="9"/>
        <v>0</v>
      </c>
      <c r="P7" s="119">
        <f t="shared" si="0"/>
        <v>4269.5094746585482</v>
      </c>
      <c r="Q7" s="119">
        <f t="shared" si="1"/>
        <v>1740.4085995524754</v>
      </c>
      <c r="R7" s="93">
        <f t="shared" si="10"/>
        <v>2372.6838183289938</v>
      </c>
      <c r="S7" s="118">
        <f t="shared" si="2"/>
        <v>-9.0469361149481356E-2</v>
      </c>
      <c r="T7" s="118">
        <f t="shared" si="11"/>
        <v>0.27739318263020929</v>
      </c>
      <c r="U7" s="118">
        <f t="shared" si="3"/>
        <v>-0.30340329138699001</v>
      </c>
      <c r="V7" s="118">
        <f t="shared" si="4"/>
        <v>0.49032711286771802</v>
      </c>
      <c r="W7" s="118">
        <f t="shared" si="5"/>
        <v>5.1988187849327456</v>
      </c>
      <c r="X7" s="118">
        <f t="shared" si="12"/>
        <v>7.0732228366431915</v>
      </c>
      <c r="Y7" s="118">
        <f t="shared" si="13"/>
        <v>13.637222826633405</v>
      </c>
      <c r="Z7" s="117">
        <f t="shared" si="14"/>
        <v>0.38122269108776952</v>
      </c>
      <c r="AA7" s="118">
        <f t="shared" si="15"/>
        <v>14.874928179783364</v>
      </c>
      <c r="AB7" s="96">
        <f t="shared" si="16"/>
        <v>38.122269108776955</v>
      </c>
    </row>
    <row r="8" spans="2:28" x14ac:dyDescent="0.25">
      <c r="B8" s="20" t="s">
        <v>50</v>
      </c>
      <c r="C8" s="64" t="s">
        <v>47</v>
      </c>
      <c r="D8" s="27">
        <f>'Ab07'!D8</f>
        <v>25</v>
      </c>
      <c r="E8" s="16"/>
      <c r="F8" s="66" t="s">
        <v>178</v>
      </c>
      <c r="G8" s="64" t="s">
        <v>34</v>
      </c>
      <c r="H8" s="61">
        <f>D3*(12+2*16)/H5</f>
        <v>3.0877192982456139</v>
      </c>
      <c r="J8" s="94"/>
      <c r="K8" s="16">
        <f t="shared" si="17"/>
        <v>0.3</v>
      </c>
      <c r="L8" s="16">
        <f t="shared" si="6"/>
        <v>3725</v>
      </c>
      <c r="M8" s="121">
        <f t="shared" si="7"/>
        <v>390.08100666666672</v>
      </c>
      <c r="N8" s="36">
        <f t="shared" si="8"/>
        <v>0</v>
      </c>
      <c r="O8" s="36">
        <f t="shared" si="9"/>
        <v>0</v>
      </c>
      <c r="P8" s="119">
        <f t="shared" si="0"/>
        <v>4269.5094746585482</v>
      </c>
      <c r="Q8" s="119">
        <f t="shared" si="1"/>
        <v>1740.4085995524754</v>
      </c>
      <c r="R8" s="93">
        <f t="shared" si="10"/>
        <v>2372.6838183289938</v>
      </c>
      <c r="S8" s="118">
        <f t="shared" si="2"/>
        <v>-9.0469361149481356E-2</v>
      </c>
      <c r="T8" s="118">
        <f t="shared" si="11"/>
        <v>0.27739318263020929</v>
      </c>
      <c r="U8" s="118">
        <f t="shared" si="3"/>
        <v>-0.30340329138699001</v>
      </c>
      <c r="V8" s="118">
        <f t="shared" si="4"/>
        <v>0.49032711286771802</v>
      </c>
      <c r="W8" s="118">
        <f t="shared" si="5"/>
        <v>5.8024269584642632</v>
      </c>
      <c r="X8" s="118">
        <f t="shared" si="12"/>
        <v>7.8944584468901544</v>
      </c>
      <c r="Y8" s="118">
        <f t="shared" si="13"/>
        <v>15.220570795268744</v>
      </c>
      <c r="Z8" s="117">
        <f t="shared" si="14"/>
        <v>0.38122269108776957</v>
      </c>
      <c r="AA8" s="118">
        <f t="shared" si="15"/>
        <v>14.874928179783364</v>
      </c>
      <c r="AB8" s="96">
        <f t="shared" si="16"/>
        <v>38.122269108776955</v>
      </c>
    </row>
    <row r="9" spans="2:28" x14ac:dyDescent="0.25">
      <c r="B9" s="20" t="s">
        <v>49</v>
      </c>
      <c r="C9" s="64" t="s">
        <v>51</v>
      </c>
      <c r="D9" s="27">
        <f>'Ab07'!D9</f>
        <v>100</v>
      </c>
      <c r="E9" s="16"/>
      <c r="F9" s="20" t="s">
        <v>100</v>
      </c>
      <c r="G9" s="64"/>
      <c r="H9" s="97">
        <f>1/(D7*H3*(1+0.79/0.21)+1)</f>
        <v>1.6522423288749016E-2</v>
      </c>
      <c r="K9" s="16">
        <f t="shared" si="17"/>
        <v>0.35</v>
      </c>
      <c r="L9" s="16">
        <f t="shared" si="6"/>
        <v>4112.5</v>
      </c>
      <c r="M9" s="121">
        <f t="shared" si="7"/>
        <v>430.65990333333338</v>
      </c>
      <c r="N9" s="36">
        <f t="shared" si="8"/>
        <v>0</v>
      </c>
      <c r="O9" s="36">
        <f t="shared" si="9"/>
        <v>0</v>
      </c>
      <c r="P9" s="119">
        <f t="shared" si="0"/>
        <v>4269.5094746585482</v>
      </c>
      <c r="Q9" s="119">
        <f t="shared" si="1"/>
        <v>1740.4085995524754</v>
      </c>
      <c r="R9" s="93">
        <f t="shared" si="10"/>
        <v>2372.6838183289938</v>
      </c>
      <c r="S9" s="118">
        <f t="shared" si="2"/>
        <v>-9.0469361149481356E-2</v>
      </c>
      <c r="T9" s="118">
        <f t="shared" si="11"/>
        <v>0.27739318263020929</v>
      </c>
      <c r="U9" s="118">
        <f t="shared" si="3"/>
        <v>-0.30340329138699001</v>
      </c>
      <c r="V9" s="118">
        <f t="shared" si="4"/>
        <v>0.49032711286771802</v>
      </c>
      <c r="W9" s="118">
        <f t="shared" si="5"/>
        <v>6.4060351319957807</v>
      </c>
      <c r="X9" s="118">
        <f t="shared" si="12"/>
        <v>8.7156940571371173</v>
      </c>
      <c r="Y9" s="118">
        <f t="shared" si="13"/>
        <v>16.803918763904083</v>
      </c>
      <c r="Z9" s="117">
        <f t="shared" si="14"/>
        <v>0.38122269108776957</v>
      </c>
      <c r="AA9" s="118">
        <f t="shared" si="15"/>
        <v>14.874928179783366</v>
      </c>
      <c r="AB9" s="96">
        <f t="shared" si="16"/>
        <v>38.122269108776955</v>
      </c>
    </row>
    <row r="10" spans="2:28" x14ac:dyDescent="0.25">
      <c r="B10" s="20" t="s">
        <v>53</v>
      </c>
      <c r="C10" s="64" t="s">
        <v>54</v>
      </c>
      <c r="D10" s="27">
        <f>'Ab07'!D10</f>
        <v>150</v>
      </c>
      <c r="E10" s="16"/>
      <c r="F10" s="20" t="s">
        <v>101</v>
      </c>
      <c r="G10" s="64" t="s">
        <v>102</v>
      </c>
      <c r="H10" s="27">
        <f>(H5*D9*H9*H7)/(8.3145*H2)</f>
        <v>1.1402956113202744E-5</v>
      </c>
      <c r="K10" s="16">
        <f t="shared" si="17"/>
        <v>0.39999999999999997</v>
      </c>
      <c r="L10" s="16">
        <f t="shared" si="6"/>
        <v>4500</v>
      </c>
      <c r="M10" s="121">
        <f t="shared" si="7"/>
        <v>471.23880000000003</v>
      </c>
      <c r="N10" s="36">
        <f t="shared" si="8"/>
        <v>0</v>
      </c>
      <c r="O10" s="36">
        <f t="shared" si="9"/>
        <v>0</v>
      </c>
      <c r="P10" s="119">
        <f t="shared" si="0"/>
        <v>4269.5094746585482</v>
      </c>
      <c r="Q10" s="119">
        <f t="shared" si="1"/>
        <v>1740.4085995524754</v>
      </c>
      <c r="R10" s="93">
        <f t="shared" si="10"/>
        <v>2372.6838183289938</v>
      </c>
      <c r="S10" s="118">
        <f t="shared" si="2"/>
        <v>-9.0469361149481356E-2</v>
      </c>
      <c r="T10" s="118">
        <f t="shared" si="11"/>
        <v>0.27739318263020929</v>
      </c>
      <c r="U10" s="118">
        <f t="shared" si="3"/>
        <v>-0.30340329138699001</v>
      </c>
      <c r="V10" s="118">
        <f t="shared" si="4"/>
        <v>0.49032711286771802</v>
      </c>
      <c r="W10" s="118">
        <f t="shared" si="5"/>
        <v>7.0096433055272973</v>
      </c>
      <c r="X10" s="118">
        <f t="shared" si="12"/>
        <v>9.5369296673840775</v>
      </c>
      <c r="Y10" s="118">
        <f t="shared" si="13"/>
        <v>18.387266732539423</v>
      </c>
      <c r="Z10" s="117">
        <f t="shared" si="14"/>
        <v>0.38122269108776952</v>
      </c>
      <c r="AA10" s="118">
        <f t="shared" si="15"/>
        <v>14.874928179783364</v>
      </c>
      <c r="AB10" s="96">
        <f t="shared" si="16"/>
        <v>38.122269108776955</v>
      </c>
    </row>
    <row r="11" spans="2:28" x14ac:dyDescent="0.25">
      <c r="B11" s="20" t="s">
        <v>86</v>
      </c>
      <c r="C11" s="64"/>
      <c r="D11" s="27">
        <f>'Ab07'!D11</f>
        <v>0.7</v>
      </c>
      <c r="E11" s="16"/>
      <c r="F11" s="20" t="s">
        <v>103</v>
      </c>
      <c r="G11" s="64" t="s">
        <v>102</v>
      </c>
      <c r="H11" s="97">
        <f>(H4*D9*(1-H9)*H7)/(8.3145*H2)</f>
        <v>1.7171118123682496E-4</v>
      </c>
      <c r="K11" s="16">
        <f t="shared" si="17"/>
        <v>0.44999999999999996</v>
      </c>
      <c r="L11" s="16">
        <f t="shared" si="6"/>
        <v>4887.5</v>
      </c>
      <c r="M11" s="121">
        <f t="shared" si="7"/>
        <v>511.81769666666668</v>
      </c>
      <c r="N11" s="36">
        <f t="shared" si="8"/>
        <v>0</v>
      </c>
      <c r="O11" s="36">
        <f t="shared" si="9"/>
        <v>0</v>
      </c>
      <c r="P11" s="119">
        <f t="shared" si="0"/>
        <v>4269.5094746585482</v>
      </c>
      <c r="Q11" s="119">
        <f t="shared" si="1"/>
        <v>1740.4085995524754</v>
      </c>
      <c r="R11" s="93">
        <f t="shared" si="10"/>
        <v>2372.6838183289938</v>
      </c>
      <c r="S11" s="118">
        <f t="shared" si="2"/>
        <v>-9.0469361149481356E-2</v>
      </c>
      <c r="T11" s="118">
        <f t="shared" si="11"/>
        <v>0.27739318263020929</v>
      </c>
      <c r="U11" s="118">
        <f t="shared" si="3"/>
        <v>-0.30340329138699001</v>
      </c>
      <c r="V11" s="118">
        <f t="shared" si="4"/>
        <v>0.49032711286771802</v>
      </c>
      <c r="W11" s="118">
        <f t="shared" si="5"/>
        <v>7.6132514790588157</v>
      </c>
      <c r="X11" s="118">
        <f t="shared" si="12"/>
        <v>10.358165277631041</v>
      </c>
      <c r="Y11" s="118">
        <f t="shared" si="13"/>
        <v>19.97061470117476</v>
      </c>
      <c r="Z11" s="117">
        <f t="shared" si="14"/>
        <v>0.38122269108776957</v>
      </c>
      <c r="AA11" s="118">
        <f t="shared" si="15"/>
        <v>14.874928179783367</v>
      </c>
      <c r="AB11" s="96">
        <f t="shared" si="16"/>
        <v>38.122269108776955</v>
      </c>
    </row>
    <row r="12" spans="2:28" x14ac:dyDescent="0.25">
      <c r="B12" s="20" t="s">
        <v>87</v>
      </c>
      <c r="C12" s="64"/>
      <c r="D12" s="27">
        <f>'Ab07'!D12</f>
        <v>0.75</v>
      </c>
      <c r="E12" s="16"/>
      <c r="F12" s="20" t="s">
        <v>104</v>
      </c>
      <c r="G12" s="64" t="s">
        <v>105</v>
      </c>
      <c r="H12" s="61">
        <f>H10*D16</f>
        <v>0.49032711286771796</v>
      </c>
      <c r="K12" s="16">
        <f t="shared" si="17"/>
        <v>0.49999999999999994</v>
      </c>
      <c r="L12" s="16">
        <f t="shared" si="6"/>
        <v>5275</v>
      </c>
      <c r="M12" s="121">
        <f t="shared" si="7"/>
        <v>552.39659333333339</v>
      </c>
      <c r="N12" s="36">
        <f t="shared" si="8"/>
        <v>0</v>
      </c>
      <c r="O12" s="36">
        <f t="shared" si="9"/>
        <v>0</v>
      </c>
      <c r="P12" s="119">
        <f t="shared" si="0"/>
        <v>4269.5094746585482</v>
      </c>
      <c r="Q12" s="119">
        <f t="shared" si="1"/>
        <v>1740.4085995524754</v>
      </c>
      <c r="R12" s="93">
        <f t="shared" si="10"/>
        <v>2372.6838183289938</v>
      </c>
      <c r="S12" s="118">
        <f t="shared" si="2"/>
        <v>-9.0469361149481356E-2</v>
      </c>
      <c r="T12" s="118">
        <f t="shared" si="11"/>
        <v>0.27739318263020929</v>
      </c>
      <c r="U12" s="118">
        <f t="shared" si="3"/>
        <v>-0.30340329138699001</v>
      </c>
      <c r="V12" s="118">
        <f t="shared" si="4"/>
        <v>0.49032711286771802</v>
      </c>
      <c r="W12" s="118">
        <f t="shared" si="5"/>
        <v>8.2168596525903332</v>
      </c>
      <c r="X12" s="118">
        <f t="shared" si="12"/>
        <v>11.179400887878005</v>
      </c>
      <c r="Y12" s="118">
        <f t="shared" si="13"/>
        <v>21.553962669810101</v>
      </c>
      <c r="Z12" s="117">
        <f t="shared" si="14"/>
        <v>0.38122269108776957</v>
      </c>
      <c r="AA12" s="118">
        <f t="shared" si="15"/>
        <v>14.874928179783366</v>
      </c>
      <c r="AB12" s="96">
        <f t="shared" si="16"/>
        <v>38.122269108776955</v>
      </c>
    </row>
    <row r="13" spans="2:28" x14ac:dyDescent="0.25">
      <c r="B13" s="20" t="s">
        <v>60</v>
      </c>
      <c r="C13" s="64"/>
      <c r="D13" s="27">
        <f>'Ab07'!D13</f>
        <v>9.5</v>
      </c>
      <c r="E13" s="16"/>
      <c r="F13" s="20" t="s">
        <v>59</v>
      </c>
      <c r="G13" s="64" t="str">
        <f>C19</f>
        <v>kJ/kg.K</v>
      </c>
      <c r="H13" s="21">
        <f>D19-D18</f>
        <v>0.71750000000000003</v>
      </c>
      <c r="K13" s="16">
        <f t="shared" si="17"/>
        <v>0.54999999999999993</v>
      </c>
      <c r="L13" s="16">
        <f t="shared" si="6"/>
        <v>5662.4999999999991</v>
      </c>
      <c r="M13" s="121">
        <f t="shared" si="7"/>
        <v>592.97548999999992</v>
      </c>
      <c r="N13" s="36">
        <f t="shared" si="8"/>
        <v>0</v>
      </c>
      <c r="O13" s="36">
        <f t="shared" si="9"/>
        <v>0</v>
      </c>
      <c r="P13" s="119">
        <f t="shared" si="0"/>
        <v>4269.5094746585482</v>
      </c>
      <c r="Q13" s="119">
        <f t="shared" si="1"/>
        <v>1740.4085995524754</v>
      </c>
      <c r="R13" s="93">
        <f t="shared" si="10"/>
        <v>2372.6838183289938</v>
      </c>
      <c r="S13" s="118">
        <f t="shared" si="2"/>
        <v>-9.0469361149481356E-2</v>
      </c>
      <c r="T13" s="118">
        <f t="shared" si="11"/>
        <v>0.27739318263020929</v>
      </c>
      <c r="U13" s="118">
        <f t="shared" si="3"/>
        <v>-0.30340329138699001</v>
      </c>
      <c r="V13" s="118">
        <f t="shared" si="4"/>
        <v>0.49032711286771802</v>
      </c>
      <c r="W13" s="118">
        <f t="shared" si="5"/>
        <v>8.820467826121849</v>
      </c>
      <c r="X13" s="118">
        <f t="shared" si="12"/>
        <v>12.000636498124965</v>
      </c>
      <c r="Y13" s="118">
        <f t="shared" si="13"/>
        <v>23.137310638445435</v>
      </c>
      <c r="Z13" s="117">
        <f t="shared" si="14"/>
        <v>0.38122269108776957</v>
      </c>
      <c r="AA13" s="118">
        <f t="shared" si="15"/>
        <v>14.874928179783367</v>
      </c>
      <c r="AB13" s="96">
        <f t="shared" si="16"/>
        <v>38.122269108776955</v>
      </c>
    </row>
    <row r="14" spans="2:28" x14ac:dyDescent="0.25">
      <c r="B14" s="20" t="s">
        <v>11</v>
      </c>
      <c r="C14" s="64" t="s">
        <v>5</v>
      </c>
      <c r="D14" s="27">
        <f>'Ab07'!D14</f>
        <v>9150</v>
      </c>
      <c r="E14" s="16"/>
      <c r="F14" s="20" t="s">
        <v>68</v>
      </c>
      <c r="G14" s="64"/>
      <c r="H14" s="21">
        <f>D19/H13</f>
        <v>1.3986062717770036</v>
      </c>
      <c r="K14" s="16">
        <f t="shared" si="17"/>
        <v>0.6</v>
      </c>
      <c r="L14" s="16">
        <f t="shared" si="6"/>
        <v>6050</v>
      </c>
      <c r="M14" s="121">
        <f t="shared" si="7"/>
        <v>633.55438666666669</v>
      </c>
      <c r="N14" s="36">
        <f t="shared" si="8"/>
        <v>0</v>
      </c>
      <c r="O14" s="36">
        <f t="shared" si="9"/>
        <v>0</v>
      </c>
      <c r="P14" s="119">
        <f t="shared" si="0"/>
        <v>4269.5094746585482</v>
      </c>
      <c r="Q14" s="119">
        <f t="shared" si="1"/>
        <v>1740.4085995524754</v>
      </c>
      <c r="R14" s="93">
        <f t="shared" si="10"/>
        <v>2372.6838183289938</v>
      </c>
      <c r="S14" s="118">
        <f t="shared" si="2"/>
        <v>-9.0469361149481356E-2</v>
      </c>
      <c r="T14" s="118">
        <f t="shared" si="11"/>
        <v>0.27739318263020929</v>
      </c>
      <c r="U14" s="118">
        <f t="shared" si="3"/>
        <v>-0.30340329138699001</v>
      </c>
      <c r="V14" s="118">
        <f t="shared" si="4"/>
        <v>0.49032711286771802</v>
      </c>
      <c r="W14" s="118">
        <f t="shared" si="5"/>
        <v>9.4240759996533665</v>
      </c>
      <c r="X14" s="118">
        <f t="shared" si="12"/>
        <v>12.821872108371927</v>
      </c>
      <c r="Y14" s="118">
        <f t="shared" si="13"/>
        <v>24.720658607080779</v>
      </c>
      <c r="Z14" s="117">
        <f t="shared" si="14"/>
        <v>0.38122269108776952</v>
      </c>
      <c r="AA14" s="118">
        <f t="shared" si="15"/>
        <v>14.874928179783364</v>
      </c>
      <c r="AB14" s="96">
        <f t="shared" si="16"/>
        <v>38.122269108776955</v>
      </c>
    </row>
    <row r="15" spans="2:28" x14ac:dyDescent="0.25">
      <c r="B15" s="20" t="s">
        <v>106</v>
      </c>
      <c r="C15" s="64" t="s">
        <v>0</v>
      </c>
      <c r="D15" s="27">
        <f>'Ab07'!D15</f>
        <v>60</v>
      </c>
      <c r="E15" s="16"/>
      <c r="F15" s="20" t="str">
        <f>B15</f>
        <v>Vel_ref</v>
      </c>
      <c r="G15" s="64" t="str">
        <f>C15</f>
        <v>km/h</v>
      </c>
      <c r="H15" s="21">
        <f>D15/3.6</f>
        <v>16.666666666666668</v>
      </c>
      <c r="J15" s="94"/>
      <c r="K15" s="16">
        <f t="shared" si="17"/>
        <v>0.65</v>
      </c>
      <c r="L15" s="16">
        <f t="shared" si="6"/>
        <v>6437.5</v>
      </c>
      <c r="M15" s="121">
        <f t="shared" si="7"/>
        <v>674.13328333333345</v>
      </c>
      <c r="N15" s="36">
        <f t="shared" si="8"/>
        <v>0</v>
      </c>
      <c r="O15" s="36">
        <f t="shared" si="9"/>
        <v>0</v>
      </c>
      <c r="P15" s="119">
        <f t="shared" si="0"/>
        <v>4269.5094746585482</v>
      </c>
      <c r="Q15" s="119">
        <f t="shared" si="1"/>
        <v>1740.4085995524754</v>
      </c>
      <c r="R15" s="93">
        <f t="shared" si="10"/>
        <v>2372.6838183289938</v>
      </c>
      <c r="S15" s="118">
        <f t="shared" si="2"/>
        <v>-9.0469361149481356E-2</v>
      </c>
      <c r="T15" s="118">
        <f t="shared" si="11"/>
        <v>0.27739318263020929</v>
      </c>
      <c r="U15" s="118">
        <f t="shared" si="3"/>
        <v>-0.30340329138699001</v>
      </c>
      <c r="V15" s="118">
        <f t="shared" si="4"/>
        <v>0.49032711286771802</v>
      </c>
      <c r="W15" s="118">
        <f t="shared" si="5"/>
        <v>10.027684173184886</v>
      </c>
      <c r="X15" s="118">
        <f t="shared" si="12"/>
        <v>13.643107718618893</v>
      </c>
      <c r="Y15" s="118">
        <f t="shared" si="13"/>
        <v>26.304006575716119</v>
      </c>
      <c r="Z15" s="117">
        <f t="shared" si="14"/>
        <v>0.38122269108776957</v>
      </c>
      <c r="AA15" s="118">
        <f t="shared" si="15"/>
        <v>14.874928179783366</v>
      </c>
      <c r="AB15" s="96">
        <f t="shared" si="16"/>
        <v>38.122269108776955</v>
      </c>
    </row>
    <row r="16" spans="2:28" x14ac:dyDescent="0.25">
      <c r="B16" s="20" t="s">
        <v>3</v>
      </c>
      <c r="C16" s="64" t="s">
        <v>33</v>
      </c>
      <c r="D16" s="27">
        <f>'Ab07'!D16</f>
        <v>43000</v>
      </c>
      <c r="E16" s="16"/>
      <c r="F16" s="20" t="s">
        <v>61</v>
      </c>
      <c r="G16" s="64" t="s">
        <v>55</v>
      </c>
      <c r="H16" s="97">
        <f>D13*H7/(D13-1)</f>
        <v>1.676470588235294E-4</v>
      </c>
      <c r="K16" s="16">
        <f t="shared" si="17"/>
        <v>0.70000000000000007</v>
      </c>
      <c r="L16" s="16">
        <f t="shared" si="6"/>
        <v>6825.0000000000009</v>
      </c>
      <c r="M16" s="121">
        <f t="shared" si="7"/>
        <v>714.7121800000001</v>
      </c>
      <c r="N16" s="36">
        <f t="shared" si="8"/>
        <v>0</v>
      </c>
      <c r="O16" s="36">
        <f t="shared" si="9"/>
        <v>0</v>
      </c>
      <c r="P16" s="119">
        <f t="shared" si="0"/>
        <v>4269.5094746585482</v>
      </c>
      <c r="Q16" s="119">
        <f t="shared" si="1"/>
        <v>1740.4085995524754</v>
      </c>
      <c r="R16" s="93">
        <f t="shared" si="10"/>
        <v>2372.6838183289938</v>
      </c>
      <c r="S16" s="118">
        <f t="shared" si="2"/>
        <v>-9.0469361149481356E-2</v>
      </c>
      <c r="T16" s="118">
        <f t="shared" si="11"/>
        <v>0.27739318263020929</v>
      </c>
      <c r="U16" s="118">
        <f t="shared" si="3"/>
        <v>-0.30340329138699001</v>
      </c>
      <c r="V16" s="118">
        <f t="shared" si="4"/>
        <v>0.49032711286771802</v>
      </c>
      <c r="W16" s="118">
        <f t="shared" si="5"/>
        <v>10.631292346716403</v>
      </c>
      <c r="X16" s="118">
        <f t="shared" si="12"/>
        <v>14.464343328865855</v>
      </c>
      <c r="Y16" s="118">
        <f t="shared" si="13"/>
        <v>27.88735454435146</v>
      </c>
      <c r="Z16" s="117">
        <f t="shared" si="14"/>
        <v>0.38122269108776957</v>
      </c>
      <c r="AA16" s="118">
        <f t="shared" si="15"/>
        <v>14.874928179783366</v>
      </c>
      <c r="AB16" s="96">
        <f t="shared" si="16"/>
        <v>38.122269108776955</v>
      </c>
    </row>
    <row r="17" spans="2:28" x14ac:dyDescent="0.25">
      <c r="B17" s="20" t="s">
        <v>2</v>
      </c>
      <c r="C17" s="64" t="s">
        <v>39</v>
      </c>
      <c r="D17" s="27">
        <f>'Ab07'!D17</f>
        <v>0.745</v>
      </c>
      <c r="E17" s="16"/>
      <c r="F17" s="20" t="s">
        <v>62</v>
      </c>
      <c r="G17" s="64" t="s">
        <v>55</v>
      </c>
      <c r="H17" s="97">
        <f>H16/D13</f>
        <v>1.764705882352941E-5</v>
      </c>
      <c r="K17" s="16">
        <f t="shared" si="17"/>
        <v>0.75000000000000011</v>
      </c>
      <c r="L17" s="16">
        <f t="shared" si="6"/>
        <v>7212.5000000000009</v>
      </c>
      <c r="M17" s="121">
        <f t="shared" si="7"/>
        <v>755.29107666666675</v>
      </c>
      <c r="N17" s="36">
        <f t="shared" si="8"/>
        <v>0</v>
      </c>
      <c r="O17" s="36">
        <f t="shared" si="9"/>
        <v>0</v>
      </c>
      <c r="P17" s="119">
        <f t="shared" si="0"/>
        <v>4269.5094746585482</v>
      </c>
      <c r="Q17" s="119">
        <f t="shared" si="1"/>
        <v>1740.4085995524754</v>
      </c>
      <c r="R17" s="93">
        <f t="shared" si="10"/>
        <v>2372.6838183289938</v>
      </c>
      <c r="S17" s="118">
        <f t="shared" si="2"/>
        <v>-9.0469361149481356E-2</v>
      </c>
      <c r="T17" s="118">
        <f t="shared" si="11"/>
        <v>0.27739318263020929</v>
      </c>
      <c r="U17" s="118">
        <f t="shared" si="3"/>
        <v>-0.30340329138699001</v>
      </c>
      <c r="V17" s="118">
        <f t="shared" si="4"/>
        <v>0.49032711286771802</v>
      </c>
      <c r="W17" s="118">
        <f t="shared" si="5"/>
        <v>11.234900520247921</v>
      </c>
      <c r="X17" s="118">
        <f t="shared" si="12"/>
        <v>15.285578939112817</v>
      </c>
      <c r="Y17" s="118">
        <f t="shared" si="13"/>
        <v>29.470702512986801</v>
      </c>
      <c r="Z17" s="117">
        <f t="shared" si="14"/>
        <v>0.38122269108776957</v>
      </c>
      <c r="AA17" s="118">
        <f t="shared" si="15"/>
        <v>14.874928179783367</v>
      </c>
      <c r="AB17" s="96">
        <f t="shared" si="16"/>
        <v>38.122269108776955</v>
      </c>
    </row>
    <row r="18" spans="2:28" x14ac:dyDescent="0.25">
      <c r="B18" s="20" t="s">
        <v>56</v>
      </c>
      <c r="C18" s="64" t="s">
        <v>57</v>
      </c>
      <c r="D18" s="27">
        <f>'Ab07'!D18</f>
        <v>0.28599999999999998</v>
      </c>
      <c r="E18" s="16"/>
      <c r="F18" s="20" t="s">
        <v>71</v>
      </c>
      <c r="G18" s="64" t="s">
        <v>72</v>
      </c>
      <c r="H18" s="61">
        <f>D18*H2/D9</f>
        <v>0.85227999999999993</v>
      </c>
      <c r="K18" s="16">
        <f t="shared" si="17"/>
        <v>0.80000000000000016</v>
      </c>
      <c r="L18" s="16">
        <f t="shared" si="6"/>
        <v>7600.0000000000009</v>
      </c>
      <c r="M18" s="121">
        <f t="shared" si="7"/>
        <v>795.86997333333352</v>
      </c>
      <c r="N18" s="36">
        <f t="shared" si="8"/>
        <v>0</v>
      </c>
      <c r="O18" s="36">
        <f t="shared" si="9"/>
        <v>0</v>
      </c>
      <c r="P18" s="119">
        <f t="shared" si="0"/>
        <v>4269.5094746585482</v>
      </c>
      <c r="Q18" s="119">
        <f t="shared" si="1"/>
        <v>1740.4085995524754</v>
      </c>
      <c r="R18" s="93">
        <f t="shared" si="10"/>
        <v>2372.6838183289938</v>
      </c>
      <c r="S18" s="118">
        <f t="shared" si="2"/>
        <v>-9.0469361149481356E-2</v>
      </c>
      <c r="T18" s="118">
        <f t="shared" si="11"/>
        <v>0.27739318263020929</v>
      </c>
      <c r="U18" s="118">
        <f t="shared" si="3"/>
        <v>-0.30340329138699001</v>
      </c>
      <c r="V18" s="118">
        <f t="shared" si="4"/>
        <v>0.49032711286771802</v>
      </c>
      <c r="W18" s="118">
        <f t="shared" si="5"/>
        <v>11.838508693779438</v>
      </c>
      <c r="X18" s="118">
        <f t="shared" si="12"/>
        <v>16.106814549359779</v>
      </c>
      <c r="Y18" s="118">
        <f t="shared" si="13"/>
        <v>31.054050481622138</v>
      </c>
      <c r="Z18" s="117">
        <f t="shared" si="14"/>
        <v>0.38122269108776957</v>
      </c>
      <c r="AA18" s="118">
        <f t="shared" si="15"/>
        <v>14.874928179783366</v>
      </c>
      <c r="AB18" s="96">
        <f t="shared" si="16"/>
        <v>38.122269108776955</v>
      </c>
    </row>
    <row r="19" spans="2:28" ht="15.75" thickBot="1" x14ac:dyDescent="0.3">
      <c r="B19" s="28" t="s">
        <v>58</v>
      </c>
      <c r="C19" s="65" t="s">
        <v>57</v>
      </c>
      <c r="D19" s="27">
        <f>'Ab07'!D19</f>
        <v>1.0035000000000001</v>
      </c>
      <c r="E19" s="16"/>
      <c r="F19" s="20" t="s">
        <v>107</v>
      </c>
      <c r="G19" s="64" t="s">
        <v>102</v>
      </c>
      <c r="H19" s="97">
        <f>D9*H17/(D18*H2)</f>
        <v>2.070570566425284E-5</v>
      </c>
      <c r="K19" s="16">
        <f t="shared" si="17"/>
        <v>0.8500000000000002</v>
      </c>
      <c r="L19" s="16">
        <f t="shared" si="6"/>
        <v>7987.5000000000018</v>
      </c>
      <c r="M19" s="121">
        <f t="shared" si="7"/>
        <v>836.44887000000017</v>
      </c>
      <c r="N19" s="36">
        <f t="shared" si="8"/>
        <v>0</v>
      </c>
      <c r="O19" s="36">
        <f t="shared" si="9"/>
        <v>0</v>
      </c>
      <c r="P19" s="119">
        <f t="shared" si="0"/>
        <v>4269.5094746585482</v>
      </c>
      <c r="Q19" s="119">
        <f t="shared" si="1"/>
        <v>1740.4085995524754</v>
      </c>
      <c r="R19" s="93">
        <f t="shared" si="10"/>
        <v>2372.6838183289938</v>
      </c>
      <c r="S19" s="118">
        <f t="shared" si="2"/>
        <v>-9.0469361149481356E-2</v>
      </c>
      <c r="T19" s="118">
        <f t="shared" si="11"/>
        <v>0.27739318263020929</v>
      </c>
      <c r="U19" s="118">
        <f t="shared" si="3"/>
        <v>-0.30340329138699001</v>
      </c>
      <c r="V19" s="118">
        <f t="shared" si="4"/>
        <v>0.49032711286771802</v>
      </c>
      <c r="W19" s="118">
        <f t="shared" si="5"/>
        <v>12.442116867310956</v>
      </c>
      <c r="X19" s="118">
        <f t="shared" si="12"/>
        <v>16.928050159606745</v>
      </c>
      <c r="Y19" s="118">
        <f t="shared" si="13"/>
        <v>32.637398450257486</v>
      </c>
      <c r="Z19" s="117">
        <f t="shared" si="14"/>
        <v>0.38122269108776946</v>
      </c>
      <c r="AA19" s="118">
        <f t="shared" si="15"/>
        <v>14.874928179783366</v>
      </c>
      <c r="AB19" s="96">
        <f t="shared" si="16"/>
        <v>38.122269108776948</v>
      </c>
    </row>
    <row r="20" spans="2:28" x14ac:dyDescent="0.25">
      <c r="B20" s="16"/>
      <c r="C20" s="16"/>
      <c r="D20" s="16"/>
      <c r="E20" s="16"/>
      <c r="F20" s="20" t="s">
        <v>108</v>
      </c>
      <c r="G20" s="64" t="s">
        <v>102</v>
      </c>
      <c r="H20" s="97">
        <f>H19+H11+H10</f>
        <v>2.0381984301428056E-4</v>
      </c>
      <c r="K20" s="16">
        <f t="shared" si="17"/>
        <v>0.90000000000000024</v>
      </c>
      <c r="L20" s="16">
        <f t="shared" si="6"/>
        <v>8375.0000000000018</v>
      </c>
      <c r="M20" s="121">
        <f t="shared" si="7"/>
        <v>877.02776666666693</v>
      </c>
      <c r="N20" s="36">
        <f t="shared" si="8"/>
        <v>0</v>
      </c>
      <c r="O20" s="36">
        <f t="shared" si="9"/>
        <v>0</v>
      </c>
      <c r="P20" s="119">
        <f t="shared" si="0"/>
        <v>4269.5094746585482</v>
      </c>
      <c r="Q20" s="119">
        <f t="shared" si="1"/>
        <v>1740.4085995524754</v>
      </c>
      <c r="R20" s="93">
        <f t="shared" si="10"/>
        <v>2372.6838183289938</v>
      </c>
      <c r="S20" s="118">
        <f t="shared" si="2"/>
        <v>-9.0469361149481356E-2</v>
      </c>
      <c r="T20" s="118">
        <f t="shared" si="11"/>
        <v>0.27739318263020929</v>
      </c>
      <c r="U20" s="118">
        <f t="shared" si="3"/>
        <v>-0.30340329138699001</v>
      </c>
      <c r="V20" s="118">
        <f t="shared" si="4"/>
        <v>0.49032711286771802</v>
      </c>
      <c r="W20" s="118">
        <f t="shared" si="5"/>
        <v>13.045725040842475</v>
      </c>
      <c r="X20" s="118">
        <f t="shared" si="12"/>
        <v>17.749285769853707</v>
      </c>
      <c r="Y20" s="118">
        <f t="shared" si="13"/>
        <v>34.220746418892823</v>
      </c>
      <c r="Z20" s="117">
        <f t="shared" si="14"/>
        <v>0.38122269108776957</v>
      </c>
      <c r="AA20" s="118">
        <f t="shared" si="15"/>
        <v>14.874928179783366</v>
      </c>
      <c r="AB20" s="96">
        <f t="shared" si="16"/>
        <v>38.122269108776955</v>
      </c>
    </row>
    <row r="21" spans="2:28" ht="15.75" thickBot="1" x14ac:dyDescent="0.3">
      <c r="E21" s="16"/>
      <c r="F21" s="28" t="s">
        <v>63</v>
      </c>
      <c r="G21" s="65" t="s">
        <v>64</v>
      </c>
      <c r="H21" s="99">
        <f>H12/H20</f>
        <v>2405.6887966171348</v>
      </c>
      <c r="K21" s="16">
        <f t="shared" si="17"/>
        <v>0.95000000000000029</v>
      </c>
      <c r="L21" s="16">
        <f t="shared" si="6"/>
        <v>8762.5000000000018</v>
      </c>
      <c r="M21" s="121">
        <f t="shared" si="7"/>
        <v>917.60666333333347</v>
      </c>
      <c r="N21" s="36">
        <f t="shared" si="8"/>
        <v>0</v>
      </c>
      <c r="O21" s="36">
        <f t="shared" si="9"/>
        <v>0</v>
      </c>
      <c r="P21" s="119">
        <f t="shared" si="0"/>
        <v>4269.5094746585482</v>
      </c>
      <c r="Q21" s="119">
        <f t="shared" si="1"/>
        <v>1740.4085995524754</v>
      </c>
      <c r="R21" s="93">
        <f t="shared" si="10"/>
        <v>2372.6838183289938</v>
      </c>
      <c r="S21" s="118">
        <f t="shared" si="2"/>
        <v>-9.0469361149481356E-2</v>
      </c>
      <c r="T21" s="118">
        <f t="shared" si="11"/>
        <v>0.27739318263020929</v>
      </c>
      <c r="U21" s="118">
        <f t="shared" si="3"/>
        <v>-0.30340329138699001</v>
      </c>
      <c r="V21" s="118">
        <f t="shared" si="4"/>
        <v>0.49032711286771802</v>
      </c>
      <c r="W21" s="118">
        <f t="shared" si="5"/>
        <v>13.649333214373991</v>
      </c>
      <c r="X21" s="118">
        <f t="shared" si="12"/>
        <v>18.570521380100669</v>
      </c>
      <c r="Y21" s="118">
        <f t="shared" si="13"/>
        <v>35.80409438752816</v>
      </c>
      <c r="Z21" s="117">
        <f t="shared" si="14"/>
        <v>0.38122269108776952</v>
      </c>
      <c r="AA21" s="118">
        <f t="shared" si="15"/>
        <v>14.874928179783367</v>
      </c>
      <c r="AB21" s="96">
        <f t="shared" si="16"/>
        <v>38.122269108776955</v>
      </c>
    </row>
    <row r="22" spans="2:28" ht="15.75" thickBot="1" x14ac:dyDescent="0.3">
      <c r="B22" s="85" t="s">
        <v>109</v>
      </c>
      <c r="C22" s="86"/>
      <c r="D22" s="68"/>
      <c r="E22" s="16"/>
      <c r="F22" s="16"/>
      <c r="G22" s="16"/>
      <c r="H22" s="16"/>
      <c r="K22" s="16">
        <f>K21+0.05</f>
        <v>1.0000000000000002</v>
      </c>
      <c r="L22" s="16">
        <f t="shared" si="6"/>
        <v>9150.0000000000018</v>
      </c>
      <c r="M22" s="121">
        <f t="shared" si="7"/>
        <v>958.18556000000024</v>
      </c>
      <c r="N22" s="36">
        <f t="shared" si="8"/>
        <v>0</v>
      </c>
      <c r="O22" s="36">
        <f t="shared" si="9"/>
        <v>0</v>
      </c>
      <c r="P22" s="119">
        <f t="shared" si="0"/>
        <v>4269.5094746585482</v>
      </c>
      <c r="Q22" s="119">
        <f t="shared" si="1"/>
        <v>1740.4085995524754</v>
      </c>
      <c r="R22" s="93">
        <f t="shared" si="10"/>
        <v>2372.6838183289938</v>
      </c>
      <c r="S22" s="118">
        <f t="shared" si="2"/>
        <v>-9.0469361149481356E-2</v>
      </c>
      <c r="T22" s="118">
        <f t="shared" si="11"/>
        <v>0.27739318263020929</v>
      </c>
      <c r="U22" s="118">
        <f t="shared" si="3"/>
        <v>-0.30340329138699001</v>
      </c>
      <c r="V22" s="118">
        <f t="shared" si="4"/>
        <v>0.49032711286771802</v>
      </c>
      <c r="W22" s="118">
        <f t="shared" si="5"/>
        <v>14.252941387905508</v>
      </c>
      <c r="X22" s="118">
        <f t="shared" si="12"/>
        <v>19.391756990347631</v>
      </c>
      <c r="Y22" s="118">
        <f t="shared" si="13"/>
        <v>37.387442356163504</v>
      </c>
      <c r="Z22" s="117">
        <f t="shared" si="14"/>
        <v>0.38122269108776952</v>
      </c>
      <c r="AA22" s="118">
        <f t="shared" si="15"/>
        <v>14.874928179783366</v>
      </c>
      <c r="AB22" s="96">
        <f t="shared" si="16"/>
        <v>38.122269108776955</v>
      </c>
    </row>
    <row r="23" spans="2:28" x14ac:dyDescent="0.25">
      <c r="B23" s="87" t="s">
        <v>4</v>
      </c>
      <c r="C23" s="88" t="s">
        <v>5</v>
      </c>
      <c r="D23" s="122">
        <f>'Ab07'!D23</f>
        <v>1400</v>
      </c>
      <c r="E23" s="16"/>
      <c r="F23" s="17" t="s">
        <v>52</v>
      </c>
      <c r="G23" s="90" t="s">
        <v>48</v>
      </c>
      <c r="H23" s="30">
        <f>H2</f>
        <v>298</v>
      </c>
    </row>
    <row r="24" spans="2:28" x14ac:dyDescent="0.25">
      <c r="B24" s="20" t="s">
        <v>6</v>
      </c>
      <c r="C24" s="89" t="s">
        <v>5</v>
      </c>
      <c r="D24" s="122">
        <f>'Ab07'!D24</f>
        <v>9150</v>
      </c>
      <c r="F24" s="20" t="s">
        <v>85</v>
      </c>
      <c r="G24" s="64" t="s">
        <v>48</v>
      </c>
      <c r="H24" s="21">
        <f>H23*D13^(H14-1)</f>
        <v>731.04317214670584</v>
      </c>
      <c r="J24" s="19"/>
      <c r="K24" s="16"/>
      <c r="L24" s="16"/>
      <c r="M24" s="16"/>
      <c r="Q24" s="94"/>
      <c r="R24" s="94"/>
    </row>
    <row r="25" spans="2:28" ht="15.75" thickBot="1" x14ac:dyDescent="0.3">
      <c r="B25" s="107" t="s">
        <v>110</v>
      </c>
      <c r="C25" s="63"/>
      <c r="D25" s="123">
        <v>0</v>
      </c>
      <c r="F25" s="28" t="s">
        <v>67</v>
      </c>
      <c r="G25" s="65" t="s">
        <v>48</v>
      </c>
      <c r="H25" s="26">
        <f>H23+(H24-H23)/D11</f>
        <v>916.6331030667227</v>
      </c>
      <c r="J25" s="19"/>
      <c r="K25" s="19"/>
      <c r="L25" s="44"/>
      <c r="M25" s="44"/>
    </row>
    <row r="26" spans="2:28" x14ac:dyDescent="0.25">
      <c r="B26" s="107" t="s">
        <v>111</v>
      </c>
      <c r="C26" s="63"/>
      <c r="D26" s="123">
        <v>0</v>
      </c>
      <c r="J26" s="19"/>
      <c r="K26" s="19"/>
      <c r="L26" s="44"/>
      <c r="M26" s="44"/>
    </row>
    <row r="27" spans="2:28" x14ac:dyDescent="0.25">
      <c r="B27" s="107" t="s">
        <v>112</v>
      </c>
      <c r="C27" s="63"/>
      <c r="D27" s="123">
        <v>0</v>
      </c>
    </row>
    <row r="28" spans="2:28" ht="15.75" thickBot="1" x14ac:dyDescent="0.3">
      <c r="B28" s="108" t="s">
        <v>113</v>
      </c>
      <c r="C28" s="92"/>
      <c r="D28" s="124">
        <v>0</v>
      </c>
    </row>
    <row r="29" spans="2:28" x14ac:dyDescent="0.25">
      <c r="F29" s="19"/>
      <c r="G29" s="19"/>
      <c r="H29" s="35"/>
    </row>
    <row r="30" spans="2:28" x14ac:dyDescent="0.25">
      <c r="E30" s="16"/>
      <c r="F30" s="19"/>
      <c r="G30" s="19"/>
      <c r="H30" s="35"/>
      <c r="I30" s="16"/>
    </row>
    <row r="31" spans="2:28" x14ac:dyDescent="0.25">
      <c r="D31" s="22"/>
      <c r="E31" s="16"/>
      <c r="F31" s="19"/>
      <c r="G31" s="19"/>
      <c r="H31" s="35"/>
      <c r="I31" s="16"/>
    </row>
    <row r="32" spans="2:28" x14ac:dyDescent="0.25">
      <c r="D32" s="22"/>
      <c r="E32" s="16"/>
      <c r="F32" s="16"/>
      <c r="G32" s="16"/>
      <c r="H32" s="16"/>
      <c r="I32" s="16"/>
    </row>
    <row r="33" spans="4:9" x14ac:dyDescent="0.25">
      <c r="D33" s="22"/>
      <c r="E33" s="16"/>
      <c r="F33" s="19"/>
      <c r="G33" s="19"/>
      <c r="H33" s="22"/>
      <c r="I33" s="16"/>
    </row>
    <row r="34" spans="4:9" x14ac:dyDescent="0.25">
      <c r="D34" s="22"/>
      <c r="E34" s="16"/>
      <c r="F34" s="19"/>
      <c r="G34" s="19"/>
      <c r="H34" s="22"/>
      <c r="I34" s="16"/>
    </row>
    <row r="35" spans="4:9" x14ac:dyDescent="0.25">
      <c r="D35" s="16"/>
      <c r="E35" s="16"/>
      <c r="F35" s="19"/>
      <c r="G35" s="19"/>
      <c r="H35" s="22"/>
      <c r="I35" s="16"/>
    </row>
    <row r="36" spans="4:9" x14ac:dyDescent="0.25">
      <c r="E36" s="16"/>
      <c r="F36" s="19"/>
      <c r="G36" s="19"/>
      <c r="H36" s="22"/>
      <c r="I36" s="16"/>
    </row>
    <row r="37" spans="4:9" x14ac:dyDescent="0.25">
      <c r="E37" s="16"/>
      <c r="F37" s="19"/>
      <c r="G37" s="19"/>
      <c r="H37" s="19"/>
      <c r="I37" s="16"/>
    </row>
    <row r="38" spans="4:9" x14ac:dyDescent="0.25">
      <c r="F38" s="19"/>
      <c r="G38" s="19"/>
      <c r="H38" s="44"/>
    </row>
    <row r="39" spans="4:9" x14ac:dyDescent="0.25">
      <c r="F39" s="16"/>
      <c r="G39" s="16"/>
      <c r="H39" s="16"/>
    </row>
    <row r="40" spans="4:9" x14ac:dyDescent="0.25">
      <c r="F40" s="19"/>
      <c r="G40" s="19"/>
      <c r="H40" s="44"/>
    </row>
    <row r="41" spans="4:9" x14ac:dyDescent="0.25">
      <c r="F41" s="19"/>
      <c r="G41" s="19"/>
      <c r="H41" s="44"/>
    </row>
    <row r="42" spans="4:9" x14ac:dyDescent="0.25">
      <c r="F42" s="19"/>
      <c r="G42" s="19"/>
      <c r="H42" s="35"/>
    </row>
    <row r="43" spans="4:9" x14ac:dyDescent="0.25">
      <c r="F43" s="19"/>
      <c r="G43" s="19"/>
      <c r="H43" s="35"/>
    </row>
    <row r="44" spans="4:9" x14ac:dyDescent="0.25">
      <c r="F44" s="19"/>
      <c r="G44" s="19"/>
      <c r="H44" s="22"/>
    </row>
    <row r="45" spans="4:9" x14ac:dyDescent="0.25">
      <c r="F45" s="19"/>
      <c r="G45" s="19"/>
      <c r="H45" s="22"/>
    </row>
    <row r="46" spans="4:9" x14ac:dyDescent="0.25">
      <c r="F46" s="19"/>
      <c r="G46" s="19"/>
      <c r="H46" s="35"/>
    </row>
    <row r="47" spans="4:9" x14ac:dyDescent="0.25">
      <c r="F47" s="16"/>
      <c r="G47" s="16"/>
      <c r="H47" s="16"/>
    </row>
  </sheetData>
  <sheetProtection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workbookViewId="0">
      <selection activeCell="F37" sqref="F37"/>
    </sheetView>
  </sheetViews>
  <sheetFormatPr defaultColWidth="15.7109375" defaultRowHeight="15" x14ac:dyDescent="0.25"/>
  <cols>
    <col min="1" max="1" width="15.7109375" style="16"/>
    <col min="2" max="2" width="18.7109375" style="16" customWidth="1"/>
    <col min="3" max="3" width="14.42578125" style="16" customWidth="1"/>
    <col min="4" max="4" width="6" style="16" customWidth="1"/>
    <col min="5" max="5" width="15.7109375" style="16" customWidth="1"/>
    <col min="6" max="6" width="10.42578125" style="16" customWidth="1"/>
    <col min="7" max="7" width="9.7109375" style="16" customWidth="1"/>
    <col min="8" max="8" width="8.28515625" style="16" customWidth="1"/>
    <col min="9" max="9" width="12.28515625" style="16" customWidth="1"/>
    <col min="10" max="10" width="5.85546875" style="16" customWidth="1"/>
    <col min="11" max="11" width="7.42578125" style="16" customWidth="1"/>
    <col min="12" max="12" width="7" style="16" customWidth="1"/>
    <col min="13" max="13" width="11.85546875" style="16" customWidth="1"/>
    <col min="14" max="15" width="6" style="16" customWidth="1"/>
    <col min="16" max="16" width="4.5703125" style="16" customWidth="1"/>
    <col min="17" max="17" width="6.85546875" style="16" customWidth="1"/>
    <col min="18" max="18" width="9.28515625" style="16" customWidth="1"/>
    <col min="19" max="19" width="10.42578125" style="16" customWidth="1"/>
    <col min="20" max="21" width="12.140625" style="16" customWidth="1"/>
    <col min="22" max="22" width="9.7109375" style="16" customWidth="1"/>
    <col min="23" max="16384" width="15.7109375" style="16"/>
  </cols>
  <sheetData>
    <row r="1" spans="2:15" ht="15.75" thickBot="1" x14ac:dyDescent="0.3">
      <c r="B1" s="1" t="s">
        <v>179</v>
      </c>
    </row>
    <row r="2" spans="2:15" x14ac:dyDescent="0.25">
      <c r="B2" s="85" t="s">
        <v>9</v>
      </c>
      <c r="C2" s="86"/>
      <c r="D2" s="68"/>
      <c r="F2" s="56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19</v>
      </c>
      <c r="L2" s="5" t="s">
        <v>20</v>
      </c>
      <c r="M2" s="5" t="s">
        <v>22</v>
      </c>
      <c r="N2" s="5" t="s">
        <v>17</v>
      </c>
      <c r="O2" s="69" t="s">
        <v>18</v>
      </c>
    </row>
    <row r="3" spans="2:15" x14ac:dyDescent="0.25">
      <c r="B3" s="20" t="s">
        <v>4</v>
      </c>
      <c r="C3" s="64" t="s">
        <v>5</v>
      </c>
      <c r="D3" s="37">
        <v>1400</v>
      </c>
      <c r="E3" s="19"/>
      <c r="F3" s="54"/>
      <c r="G3" s="55"/>
      <c r="H3" s="55"/>
      <c r="I3" s="55"/>
      <c r="J3" s="55"/>
      <c r="K3" s="55"/>
      <c r="L3" s="55"/>
      <c r="M3" s="55"/>
      <c r="N3" s="55"/>
      <c r="O3" s="58"/>
    </row>
    <row r="4" spans="2:15" ht="15.75" thickBot="1" x14ac:dyDescent="0.3">
      <c r="B4" s="20" t="s">
        <v>6</v>
      </c>
      <c r="C4" s="89" t="s">
        <v>5</v>
      </c>
      <c r="D4" s="37">
        <v>9150</v>
      </c>
      <c r="E4" s="22"/>
      <c r="F4" s="23">
        <f>$C$18/(2*$D$5^2)</f>
        <v>7.2228373702422142E-8</v>
      </c>
      <c r="G4" s="24">
        <f>(3*$D$5-$D$6)*D13</f>
        <v>95000000</v>
      </c>
      <c r="H4" s="24">
        <f>$C$18/((2*D5^2)*($D$5-$D$6))</f>
        <v>3.6114186851211073E-11</v>
      </c>
      <c r="I4" s="6">
        <f>((F4*G4)-(H4*$D$13*($D$13-$D$6)^2))</f>
        <v>6.4554108996539794</v>
      </c>
      <c r="J4" s="6">
        <f>C19/I4</f>
        <v>0.58067566236580315</v>
      </c>
      <c r="K4" s="6">
        <f>J4</f>
        <v>0.58067566236580315</v>
      </c>
      <c r="L4" s="6">
        <f>D13/D5</f>
        <v>0.58823529411764708</v>
      </c>
      <c r="M4" s="6">
        <f>IF(K4&lt;=1,K4,1)</f>
        <v>0.58067566236580315</v>
      </c>
      <c r="N4" s="6">
        <f>0.234+1.0592*M4+0.8149*M4^2-1.2121*M4^3</f>
        <v>0.88650036314022673</v>
      </c>
      <c r="O4" s="34">
        <f>0.7107+0.9963*L4-1.0582*L4^2+0.3124*L4^3</f>
        <v>0.99418605739873811</v>
      </c>
    </row>
    <row r="5" spans="2:15" x14ac:dyDescent="0.25">
      <c r="B5" s="20" t="s">
        <v>27</v>
      </c>
      <c r="C5" s="89" t="s">
        <v>5</v>
      </c>
      <c r="D5" s="37">
        <v>8500</v>
      </c>
      <c r="E5" s="22"/>
    </row>
    <row r="6" spans="2:15" ht="15.75" thickBot="1" x14ac:dyDescent="0.3">
      <c r="B6" s="20" t="s">
        <v>28</v>
      </c>
      <c r="C6" s="64" t="s">
        <v>5</v>
      </c>
      <c r="D6" s="37">
        <v>6500</v>
      </c>
      <c r="E6" s="22"/>
    </row>
    <row r="7" spans="2:15" x14ac:dyDescent="0.25">
      <c r="B7" s="20" t="s">
        <v>29</v>
      </c>
      <c r="C7" s="64"/>
      <c r="D7" s="38">
        <v>0.23</v>
      </c>
      <c r="F7" s="56" t="s">
        <v>24</v>
      </c>
      <c r="G7" s="62"/>
      <c r="H7" s="59">
        <f>$D$7*N4*O4</f>
        <v>0.20270964920997428</v>
      </c>
    </row>
    <row r="8" spans="2:15" ht="15.75" thickBot="1" x14ac:dyDescent="0.3">
      <c r="B8" s="28" t="s">
        <v>30</v>
      </c>
      <c r="C8" s="65" t="s">
        <v>8</v>
      </c>
      <c r="D8" s="39">
        <v>14.2</v>
      </c>
      <c r="F8" s="41" t="s">
        <v>23</v>
      </c>
      <c r="G8" s="63"/>
      <c r="H8" s="60">
        <f>M4</f>
        <v>0.58067566236580315</v>
      </c>
    </row>
    <row r="9" spans="2:15" ht="15.75" thickBot="1" x14ac:dyDescent="0.3">
      <c r="B9" s="19"/>
      <c r="C9" s="19"/>
      <c r="E9" s="19"/>
      <c r="F9" s="41" t="s">
        <v>37</v>
      </c>
      <c r="G9" s="64" t="s">
        <v>36</v>
      </c>
      <c r="H9" s="60">
        <f>M4*I4/0.735</f>
        <v>5.0999999999999996</v>
      </c>
    </row>
    <row r="10" spans="2:15" ht="15.75" thickBot="1" x14ac:dyDescent="0.3">
      <c r="B10" s="70" t="s">
        <v>10</v>
      </c>
      <c r="C10" s="71"/>
      <c r="D10" s="72"/>
      <c r="E10" s="22"/>
      <c r="F10" s="20" t="s">
        <v>35</v>
      </c>
      <c r="G10" s="64" t="s">
        <v>38</v>
      </c>
      <c r="H10" s="61">
        <f>H9*0.735/H7</f>
        <v>18.49196629074703</v>
      </c>
      <c r="I10" s="22"/>
      <c r="L10" s="1"/>
      <c r="M10" s="2"/>
      <c r="N10" s="2"/>
      <c r="O10" s="1"/>
    </row>
    <row r="11" spans="2:15" x14ac:dyDescent="0.25">
      <c r="B11" s="17" t="s">
        <v>42</v>
      </c>
      <c r="C11" s="91" t="s">
        <v>0</v>
      </c>
      <c r="D11" s="40">
        <v>60</v>
      </c>
      <c r="E11" s="22"/>
      <c r="F11" s="20" t="s">
        <v>158</v>
      </c>
      <c r="G11" s="64" t="s">
        <v>66</v>
      </c>
      <c r="H11" s="61">
        <f>H10/$D$14/D15*3600</f>
        <v>2.0780733150207369</v>
      </c>
      <c r="I11" s="22"/>
      <c r="L11" s="1"/>
      <c r="M11" s="2"/>
      <c r="N11" s="2"/>
      <c r="O11" s="1"/>
    </row>
    <row r="12" spans="2:15" x14ac:dyDescent="0.25">
      <c r="B12" s="20" t="s">
        <v>31</v>
      </c>
      <c r="C12" s="89" t="s">
        <v>8</v>
      </c>
      <c r="D12" s="40">
        <v>5.0999999999999996</v>
      </c>
      <c r="E12" s="22"/>
      <c r="F12" s="20" t="s">
        <v>177</v>
      </c>
      <c r="G12" s="64" t="s">
        <v>65</v>
      </c>
      <c r="H12" s="61">
        <f>H11*D15*D16</f>
        <v>4.7838286748434875</v>
      </c>
      <c r="I12" s="22"/>
      <c r="L12" s="1"/>
      <c r="M12" s="2"/>
      <c r="N12" s="2"/>
      <c r="O12" s="1"/>
    </row>
    <row r="13" spans="2:15" ht="15.75" thickBot="1" x14ac:dyDescent="0.3">
      <c r="B13" s="20" t="s">
        <v>43</v>
      </c>
      <c r="C13" s="64" t="s">
        <v>5</v>
      </c>
      <c r="D13" s="38">
        <v>5000</v>
      </c>
      <c r="F13" s="28" t="s">
        <v>40</v>
      </c>
      <c r="G13" s="65" t="s">
        <v>41</v>
      </c>
      <c r="H13" s="26">
        <f>1/(H11/D11)</f>
        <v>28.872898548048227</v>
      </c>
      <c r="L13" s="1"/>
      <c r="M13" s="2"/>
      <c r="N13" s="2"/>
      <c r="O13" s="1"/>
    </row>
    <row r="14" spans="2:15" x14ac:dyDescent="0.25">
      <c r="B14" s="20" t="s">
        <v>32</v>
      </c>
      <c r="C14" s="64" t="s">
        <v>33</v>
      </c>
      <c r="D14" s="38">
        <v>43000</v>
      </c>
      <c r="L14" s="1"/>
      <c r="M14" s="2"/>
      <c r="N14" s="2"/>
      <c r="O14" s="1"/>
    </row>
    <row r="15" spans="2:15" x14ac:dyDescent="0.25">
      <c r="B15" s="20" t="s">
        <v>2</v>
      </c>
      <c r="C15" s="64" t="s">
        <v>39</v>
      </c>
      <c r="D15" s="38">
        <v>0.745</v>
      </c>
      <c r="E15" s="19"/>
      <c r="L15" s="1"/>
      <c r="M15" s="2"/>
      <c r="N15" s="2"/>
      <c r="O15" s="1"/>
    </row>
    <row r="16" spans="2:15" ht="15.75" thickBot="1" x14ac:dyDescent="0.3">
      <c r="B16" s="3" t="s">
        <v>178</v>
      </c>
      <c r="C16" s="92" t="s">
        <v>34</v>
      </c>
      <c r="D16" s="39">
        <v>3.09</v>
      </c>
      <c r="I16" s="2"/>
      <c r="J16" s="1"/>
      <c r="O16" s="1"/>
    </row>
    <row r="17" spans="2:15" ht="15.75" thickBot="1" x14ac:dyDescent="0.3">
      <c r="D17" s="22"/>
      <c r="I17" s="2"/>
      <c r="J17" s="1"/>
      <c r="O17" s="1"/>
    </row>
    <row r="18" spans="2:15" x14ac:dyDescent="0.25">
      <c r="B18" s="31" t="s">
        <v>26</v>
      </c>
      <c r="C18" s="32">
        <f>D8*0.735</f>
        <v>10.436999999999999</v>
      </c>
      <c r="D18" s="22"/>
      <c r="I18" s="2"/>
      <c r="J18" s="1"/>
      <c r="O18" s="1"/>
    </row>
    <row r="19" spans="2:15" ht="15.75" thickBot="1" x14ac:dyDescent="0.3">
      <c r="B19" s="33" t="s">
        <v>25</v>
      </c>
      <c r="C19" s="34">
        <f>D12*0.735</f>
        <v>3.7484999999999995</v>
      </c>
      <c r="D19" s="22"/>
      <c r="G19" s="1"/>
      <c r="H19" s="2"/>
      <c r="I19" s="2"/>
      <c r="J19" s="1"/>
      <c r="O19" s="1"/>
    </row>
    <row r="20" spans="2:15" x14ac:dyDescent="0.25">
      <c r="G20" s="1"/>
      <c r="H20" s="2"/>
      <c r="I20" s="2"/>
      <c r="J20" s="1"/>
      <c r="O20" s="1"/>
    </row>
    <row r="21" spans="2:15" x14ac:dyDescent="0.25">
      <c r="O21" s="1"/>
    </row>
    <row r="22" spans="2:15" x14ac:dyDescent="0.25">
      <c r="O22" s="1"/>
    </row>
    <row r="23" spans="2:15" x14ac:dyDescent="0.25">
      <c r="B23" s="22"/>
      <c r="C23" s="35"/>
      <c r="D23" s="22"/>
      <c r="E23" s="22"/>
      <c r="F23" s="22"/>
      <c r="G23" s="22"/>
      <c r="H23" s="22"/>
      <c r="I23" s="22"/>
      <c r="L23" s="1"/>
      <c r="M23" s="2"/>
      <c r="N23" s="2"/>
      <c r="O23" s="1"/>
    </row>
    <row r="24" spans="2:15" x14ac:dyDescent="0.25">
      <c r="B24" s="22"/>
      <c r="C24" s="35"/>
      <c r="D24" s="22"/>
      <c r="E24" s="22"/>
      <c r="F24" s="22"/>
      <c r="G24" s="22"/>
      <c r="H24" s="22"/>
      <c r="I24" s="22"/>
      <c r="L24" s="1"/>
      <c r="M24" s="2"/>
      <c r="N24" s="2"/>
      <c r="O24" s="1"/>
    </row>
    <row r="25" spans="2:15" x14ac:dyDescent="0.25">
      <c r="L25" s="1"/>
      <c r="M25" s="2"/>
      <c r="N25" s="2"/>
      <c r="O25" s="1"/>
    </row>
    <row r="26" spans="2:15" x14ac:dyDescent="0.25">
      <c r="L26" s="1"/>
      <c r="M26" s="2"/>
      <c r="N26" s="2"/>
      <c r="O26" s="1"/>
    </row>
    <row r="27" spans="2:15" x14ac:dyDescent="0.25">
      <c r="F27" s="19"/>
      <c r="G27" s="19"/>
      <c r="H27" s="19"/>
      <c r="L27" s="1"/>
      <c r="M27" s="2"/>
      <c r="N27" s="2"/>
      <c r="O27" s="1"/>
    </row>
    <row r="28" spans="2:15" x14ac:dyDescent="0.25">
      <c r="B28" s="22"/>
      <c r="C28" s="35"/>
      <c r="D28" s="22"/>
      <c r="E28" s="22"/>
      <c r="F28" s="22"/>
      <c r="G28" s="22"/>
      <c r="H28" s="22"/>
      <c r="I28" s="22"/>
      <c r="L28" s="1"/>
      <c r="M28" s="2"/>
      <c r="N28" s="2"/>
      <c r="O28" s="1"/>
    </row>
    <row r="29" spans="2:15" x14ac:dyDescent="0.25">
      <c r="B29" s="22"/>
      <c r="C29" s="35"/>
      <c r="D29" s="22"/>
      <c r="E29" s="22"/>
      <c r="F29" s="22"/>
      <c r="G29" s="22"/>
      <c r="H29" s="22"/>
      <c r="I29" s="22"/>
    </row>
    <row r="30" spans="2:15" x14ac:dyDescent="0.25">
      <c r="B30" s="22"/>
      <c r="C30" s="35"/>
      <c r="D30" s="22"/>
      <c r="E30" s="22"/>
      <c r="F30" s="22"/>
      <c r="G30" s="22"/>
      <c r="H30" s="22"/>
      <c r="I30" s="22"/>
    </row>
    <row r="33" spans="2:10" x14ac:dyDescent="0.25">
      <c r="B33" s="19"/>
      <c r="F33" s="19"/>
      <c r="G33" s="19"/>
      <c r="H33" s="19"/>
    </row>
    <row r="34" spans="2:10" x14ac:dyDescent="0.25">
      <c r="B34" s="19"/>
      <c r="C34" s="35"/>
      <c r="D34" s="22"/>
      <c r="E34" s="22"/>
      <c r="F34" s="22"/>
      <c r="G34" s="22"/>
      <c r="H34" s="22"/>
      <c r="I34" s="22"/>
      <c r="J34" s="36"/>
    </row>
    <row r="35" spans="2:10" x14ac:dyDescent="0.25">
      <c r="B35" s="19"/>
      <c r="C35" s="35"/>
      <c r="D35" s="22"/>
      <c r="E35" s="22"/>
      <c r="F35" s="22"/>
      <c r="G35" s="22"/>
      <c r="H35" s="22"/>
      <c r="I35" s="22"/>
    </row>
    <row r="36" spans="2:10" x14ac:dyDescent="0.25">
      <c r="B36" s="19"/>
      <c r="C36" s="35"/>
      <c r="D36" s="22"/>
      <c r="E36" s="22"/>
      <c r="F36" s="22"/>
      <c r="G36" s="22"/>
      <c r="H36" s="22"/>
      <c r="I36" s="22"/>
    </row>
  </sheetData>
  <sheetProtection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Ab01</vt:lpstr>
      <vt:lpstr>Ab02</vt:lpstr>
      <vt:lpstr>Ab03</vt:lpstr>
      <vt:lpstr>Ab04</vt:lpstr>
      <vt:lpstr>Ab05</vt:lpstr>
      <vt:lpstr>Ab06</vt:lpstr>
      <vt:lpstr>Ab07</vt:lpstr>
      <vt:lpstr>Ab08</vt:lpstr>
      <vt:lpstr>Ab09</vt:lpstr>
      <vt:lpstr>Ab10</vt:lpstr>
    </vt:vector>
  </TitlesOfParts>
  <Company>Equilíbrio em Duas Rodas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Visões em Duas Rodas</dc:title>
  <dc:creator>Magnani</dc:creator>
  <cp:keywords>Fábio Magnani</cp:keywords>
  <cp:lastModifiedBy>magnani</cp:lastModifiedBy>
  <dcterms:created xsi:type="dcterms:W3CDTF">2015-10-11T16:58:08Z</dcterms:created>
  <dcterms:modified xsi:type="dcterms:W3CDTF">2015-10-22T22:33:44Z</dcterms:modified>
</cp:coreProperties>
</file>