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735" yWindow="30" windowWidth="24765" windowHeight="11535"/>
  </bookViews>
  <sheets>
    <sheet name="Ab01" sheetId="1" r:id="rId1"/>
    <sheet name="Ab02" sheetId="2" r:id="rId2"/>
    <sheet name="Ab03" sheetId="4" r:id="rId3"/>
    <sheet name="Ab04" sheetId="5" r:id="rId4"/>
    <sheet name="Ab05" sheetId="8" r:id="rId5"/>
  </sheets>
  <calcPr calcId="145621"/>
</workbook>
</file>

<file path=xl/calcChain.xml><?xml version="1.0" encoding="utf-8"?>
<calcChain xmlns="http://schemas.openxmlformats.org/spreadsheetml/2006/main">
  <c r="H20" i="4" l="1"/>
  <c r="H4" i="1"/>
  <c r="H12" i="1" s="1"/>
  <c r="H5" i="1"/>
  <c r="H7" i="1"/>
  <c r="H8" i="1"/>
  <c r="L8" i="1"/>
  <c r="L9" i="1" s="1"/>
  <c r="M10" i="1"/>
  <c r="M11" i="1" s="1"/>
  <c r="M12" i="1" s="1"/>
  <c r="M13" i="1" s="1"/>
  <c r="H20" i="1"/>
  <c r="H18" i="1" l="1"/>
  <c r="L12" i="1" s="1"/>
  <c r="L10" i="1"/>
  <c r="H6" i="1"/>
  <c r="H9" i="1" s="1"/>
  <c r="H10" i="1" s="1"/>
  <c r="H11" i="1" s="1"/>
  <c r="J4" i="8"/>
  <c r="H13" i="1" l="1"/>
  <c r="H14" i="1" s="1"/>
  <c r="C30" i="5"/>
  <c r="L4" i="1" l="1"/>
  <c r="H15" i="1"/>
  <c r="G18" i="8"/>
  <c r="F18" i="8"/>
  <c r="D18" i="8"/>
  <c r="G17" i="8"/>
  <c r="F17" i="8"/>
  <c r="D17" i="8"/>
  <c r="B10" i="5"/>
  <c r="C10" i="5"/>
  <c r="D4" i="5"/>
  <c r="C4" i="5"/>
  <c r="B4" i="5"/>
  <c r="C10" i="4"/>
  <c r="B10" i="4"/>
  <c r="C4" i="4"/>
  <c r="D4" i="4"/>
  <c r="B4" i="4"/>
  <c r="B10" i="2"/>
  <c r="D4" i="2"/>
  <c r="B4" i="2"/>
  <c r="H21" i="1" l="1"/>
  <c r="H16" i="1"/>
  <c r="G11" i="8"/>
  <c r="J29" i="8"/>
  <c r="J28" i="8"/>
  <c r="J24" i="8"/>
  <c r="M9" i="5"/>
  <c r="M9" i="4"/>
  <c r="M10" i="5"/>
  <c r="M9" i="2"/>
  <c r="H17" i="1" l="1"/>
  <c r="H19" i="1"/>
  <c r="L11" i="1" s="1"/>
  <c r="L13" i="1" s="1"/>
  <c r="L5" i="1"/>
  <c r="L6" i="1"/>
  <c r="L7" i="1" s="1"/>
  <c r="M10" i="2"/>
  <c r="J25" i="8"/>
  <c r="M10" i="4"/>
  <c r="B30" i="5"/>
  <c r="B29" i="5"/>
  <c r="B30" i="4"/>
  <c r="B29" i="4"/>
  <c r="B30" i="2"/>
  <c r="B29" i="2"/>
  <c r="L14" i="1" l="1"/>
  <c r="L15" i="1"/>
  <c r="M11" i="4"/>
  <c r="M11" i="5"/>
  <c r="M11" i="2"/>
  <c r="I23" i="8"/>
  <c r="J22" i="8"/>
  <c r="I22" i="8"/>
  <c r="J21" i="8"/>
  <c r="I21" i="8"/>
  <c r="I20" i="8"/>
  <c r="G19" i="8"/>
  <c r="D19" i="8"/>
  <c r="B19" i="8"/>
  <c r="I19" i="8"/>
  <c r="G20" i="8"/>
  <c r="F20" i="8"/>
  <c r="E20" i="8"/>
  <c r="D20" i="8"/>
  <c r="B20" i="8"/>
  <c r="E16" i="8"/>
  <c r="D16" i="8"/>
  <c r="B16" i="8"/>
  <c r="E15" i="8"/>
  <c r="D15" i="8"/>
  <c r="B15" i="8"/>
  <c r="E14" i="8"/>
  <c r="D14" i="8"/>
  <c r="B14" i="8"/>
  <c r="G13" i="8"/>
  <c r="F13" i="8"/>
  <c r="E13" i="8"/>
  <c r="D13" i="8"/>
  <c r="E12" i="8"/>
  <c r="D12" i="8"/>
  <c r="C12" i="8"/>
  <c r="B12" i="8"/>
  <c r="E11" i="8"/>
  <c r="D11" i="8"/>
  <c r="B11" i="8"/>
  <c r="G10" i="8"/>
  <c r="F10" i="8"/>
  <c r="D10" i="8"/>
  <c r="B10" i="8"/>
  <c r="G9" i="8"/>
  <c r="F9" i="8"/>
  <c r="E9" i="8"/>
  <c r="D9" i="8"/>
  <c r="B9" i="8"/>
  <c r="G8" i="8"/>
  <c r="F8" i="8"/>
  <c r="D8" i="8"/>
  <c r="B8" i="8"/>
  <c r="G7" i="8"/>
  <c r="F7" i="8"/>
  <c r="D7" i="8"/>
  <c r="C7" i="8"/>
  <c r="B7" i="8"/>
  <c r="G6" i="8"/>
  <c r="F6" i="8"/>
  <c r="D6" i="8"/>
  <c r="C6" i="8"/>
  <c r="B6" i="8"/>
  <c r="C5" i="8"/>
  <c r="G5" i="8"/>
  <c r="F5" i="8"/>
  <c r="D5" i="8"/>
  <c r="B5" i="8"/>
  <c r="N18" i="8"/>
  <c r="M18" i="8"/>
  <c r="L18" i="8"/>
  <c r="K18" i="8"/>
  <c r="M12" i="2" l="1"/>
  <c r="M12" i="4"/>
  <c r="M12" i="5"/>
  <c r="J23" i="8"/>
  <c r="H20" i="5"/>
  <c r="C6" i="5"/>
  <c r="H5" i="5" s="1"/>
  <c r="C11" i="5"/>
  <c r="C12" i="5"/>
  <c r="C23" i="5"/>
  <c r="C24" i="5"/>
  <c r="C25" i="5"/>
  <c r="C26" i="5"/>
  <c r="C27" i="5"/>
  <c r="C28" i="5"/>
  <c r="C31" i="5"/>
  <c r="H4" i="5"/>
  <c r="B5" i="4"/>
  <c r="C6" i="4"/>
  <c r="C11" i="4"/>
  <c r="C12" i="4"/>
  <c r="C23" i="4"/>
  <c r="C24" i="4"/>
  <c r="C25" i="4"/>
  <c r="C26" i="4"/>
  <c r="C27" i="4"/>
  <c r="C28" i="4"/>
  <c r="C29" i="4"/>
  <c r="F19" i="8" s="1"/>
  <c r="C31" i="4"/>
  <c r="C31" i="2"/>
  <c r="E19" i="8"/>
  <c r="E18" i="8"/>
  <c r="E17" i="8"/>
  <c r="E10" i="8"/>
  <c r="E6" i="8"/>
  <c r="E7" i="8"/>
  <c r="E8" i="8"/>
  <c r="E5" i="8"/>
  <c r="M13" i="4" l="1"/>
  <c r="M13" i="5"/>
  <c r="M13" i="2"/>
  <c r="H8" i="5"/>
  <c r="L8" i="5"/>
  <c r="L10" i="5" s="1"/>
  <c r="H12" i="5"/>
  <c r="H7" i="5"/>
  <c r="H6" i="5"/>
  <c r="L8" i="4"/>
  <c r="L9" i="4" s="1"/>
  <c r="L8" i="2"/>
  <c r="L10" i="2" s="1"/>
  <c r="H20" i="2"/>
  <c r="H5" i="2"/>
  <c r="H7" i="2" s="1"/>
  <c r="H4" i="2"/>
  <c r="H12" i="2" s="1"/>
  <c r="H18" i="5" l="1"/>
  <c r="N27" i="8" s="1"/>
  <c r="L9" i="5"/>
  <c r="N24" i="8" s="1"/>
  <c r="H9" i="5"/>
  <c r="H10" i="5" s="1"/>
  <c r="H11" i="5" s="1"/>
  <c r="H6" i="2"/>
  <c r="H8" i="2"/>
  <c r="L10" i="4"/>
  <c r="L9" i="2"/>
  <c r="L24" i="8" s="1"/>
  <c r="H18" i="2"/>
  <c r="L27" i="8" s="1"/>
  <c r="H5" i="4"/>
  <c r="H7" i="4" s="1"/>
  <c r="H4" i="4"/>
  <c r="H12" i="4" s="1"/>
  <c r="H13" i="5" l="1"/>
  <c r="H14" i="5" s="1"/>
  <c r="L12" i="5"/>
  <c r="N23" i="8" s="1"/>
  <c r="M24" i="8"/>
  <c r="H9" i="2"/>
  <c r="H10" i="2" s="1"/>
  <c r="H8" i="4"/>
  <c r="L12" i="2"/>
  <c r="L23" i="8" s="1"/>
  <c r="H18" i="4"/>
  <c r="M27" i="8" s="1"/>
  <c r="H6" i="4"/>
  <c r="H15" i="5" l="1"/>
  <c r="H16" i="5" s="1"/>
  <c r="H21" i="5"/>
  <c r="L5" i="5" s="1"/>
  <c r="N21" i="8" s="1"/>
  <c r="H11" i="2"/>
  <c r="H13" i="2"/>
  <c r="H14" i="2" s="1"/>
  <c r="H19" i="5"/>
  <c r="N26" i="8" s="1"/>
  <c r="K23" i="8"/>
  <c r="K27" i="8"/>
  <c r="K19" i="8"/>
  <c r="N19" i="8"/>
  <c r="L4" i="5"/>
  <c r="H9" i="4"/>
  <c r="H10" i="4" s="1"/>
  <c r="L12" i="4"/>
  <c r="M23" i="8" s="1"/>
  <c r="K24" i="8"/>
  <c r="L11" i="5" l="1"/>
  <c r="L13" i="5" s="1"/>
  <c r="L14" i="5" s="1"/>
  <c r="N28" i="8" s="1"/>
  <c r="H11" i="4"/>
  <c r="H13" i="4"/>
  <c r="L6" i="5"/>
  <c r="L7" i="5" s="1"/>
  <c r="L4" i="2"/>
  <c r="L19" i="8"/>
  <c r="H15" i="2"/>
  <c r="H16" i="2" s="1"/>
  <c r="H17" i="5"/>
  <c r="N20" i="8" s="1"/>
  <c r="K20" i="8"/>
  <c r="N22" i="8" l="1"/>
  <c r="N25" i="8" s="1"/>
  <c r="K21" i="8"/>
  <c r="K26" i="8"/>
  <c r="L15" i="5"/>
  <c r="N29" i="8" s="1"/>
  <c r="H21" i="2"/>
  <c r="L5" i="2" s="1"/>
  <c r="L21" i="8" s="1"/>
  <c r="H14" i="4"/>
  <c r="H17" i="2"/>
  <c r="L20" i="8" s="1"/>
  <c r="H19" i="2"/>
  <c r="H15" i="4" l="1"/>
  <c r="H16" i="4" s="1"/>
  <c r="H21" i="4"/>
  <c r="K22" i="8"/>
  <c r="K25" i="8" s="1"/>
  <c r="K28" i="8"/>
  <c r="L11" i="2"/>
  <c r="L13" i="2" s="1"/>
  <c r="L14" i="2" s="1"/>
  <c r="L28" i="8" s="1"/>
  <c r="L26" i="8"/>
  <c r="M19" i="8"/>
  <c r="H19" i="4"/>
  <c r="L6" i="2"/>
  <c r="L7" i="2" s="1"/>
  <c r="L4" i="4"/>
  <c r="L11" i="4" l="1"/>
  <c r="L13" i="4" s="1"/>
  <c r="L14" i="4" s="1"/>
  <c r="M28" i="8" s="1"/>
  <c r="M26" i="8"/>
  <c r="L22" i="8"/>
  <c r="L25" i="8" s="1"/>
  <c r="L15" i="2"/>
  <c r="L29" i="8" s="1"/>
  <c r="L5" i="4"/>
  <c r="M21" i="8" s="1"/>
  <c r="L6" i="4"/>
  <c r="L7" i="4" s="1"/>
  <c r="H17" i="4"/>
  <c r="M20" i="8" s="1"/>
  <c r="K29" i="8"/>
  <c r="M22" i="8" l="1"/>
  <c r="M25" i="8" s="1"/>
  <c r="L15" i="4"/>
  <c r="M29" i="8" s="1"/>
</calcChain>
</file>

<file path=xl/sharedStrings.xml><?xml version="1.0" encoding="utf-8"?>
<sst xmlns="http://schemas.openxmlformats.org/spreadsheetml/2006/main" count="459" uniqueCount="139">
  <si>
    <t>km/h</t>
  </si>
  <si>
    <t>m/s</t>
  </si>
  <si>
    <t>Ka</t>
  </si>
  <si>
    <t>kg/m</t>
  </si>
  <si>
    <t>CR</t>
  </si>
  <si>
    <t>m_piloto</t>
  </si>
  <si>
    <t>kg</t>
  </si>
  <si>
    <t>m_veiculo</t>
  </si>
  <si>
    <t>m</t>
  </si>
  <si>
    <t>L</t>
  </si>
  <si>
    <t>I</t>
  </si>
  <si>
    <t>m/m</t>
  </si>
  <si>
    <t>DADOS</t>
  </si>
  <si>
    <t>Fa</t>
  </si>
  <si>
    <t>N</t>
  </si>
  <si>
    <t>Fr</t>
  </si>
  <si>
    <t>m_tot</t>
  </si>
  <si>
    <t>g</t>
  </si>
  <si>
    <t>m/s^2</t>
  </si>
  <si>
    <t>Fg</t>
  </si>
  <si>
    <t>Fres</t>
  </si>
  <si>
    <t>P</t>
  </si>
  <si>
    <t>W</t>
  </si>
  <si>
    <t>CV</t>
  </si>
  <si>
    <t>Vcruz</t>
  </si>
  <si>
    <t>Dt</t>
  </si>
  <si>
    <t>s</t>
  </si>
  <si>
    <t>J</t>
  </si>
  <si>
    <t>Emec</t>
  </si>
  <si>
    <t>Ecomb</t>
  </si>
  <si>
    <t>eta_motor</t>
  </si>
  <si>
    <t>eta_trans</t>
  </si>
  <si>
    <t>m_comb</t>
  </si>
  <si>
    <t>V_comb</t>
  </si>
  <si>
    <t>rho_comb</t>
  </si>
  <si>
    <t>PC_comb</t>
  </si>
  <si>
    <t>litros</t>
  </si>
  <si>
    <t>R$/litro</t>
  </si>
  <si>
    <t>R$</t>
  </si>
  <si>
    <t>VI</t>
  </si>
  <si>
    <t>kgCO2/kgCOMB</t>
  </si>
  <si>
    <t>x</t>
  </si>
  <si>
    <t>y</t>
  </si>
  <si>
    <t>z</t>
  </si>
  <si>
    <t>VR</t>
  </si>
  <si>
    <t>meses</t>
  </si>
  <si>
    <t>(mensal)</t>
  </si>
  <si>
    <t>kgCO2</t>
  </si>
  <si>
    <t>R$/mês</t>
  </si>
  <si>
    <t>dias</t>
  </si>
  <si>
    <t>horas</t>
  </si>
  <si>
    <t>trajetos por dia</t>
  </si>
  <si>
    <t>salario</t>
  </si>
  <si>
    <t>juros</t>
  </si>
  <si>
    <t>trajetos</t>
  </si>
  <si>
    <t>RESULTADOS POR TRAJETO</t>
  </si>
  <si>
    <t>RESULTADOS POR MÊS</t>
  </si>
  <si>
    <t>c_comb</t>
  </si>
  <si>
    <t>μ</t>
  </si>
  <si>
    <t>meses corrigidos</t>
  </si>
  <si>
    <t>VM</t>
  </si>
  <si>
    <t>VM_oper</t>
  </si>
  <si>
    <t>VM_temp_perd</t>
  </si>
  <si>
    <t>k_traj</t>
  </si>
  <si>
    <t>k_km</t>
  </si>
  <si>
    <t>Energia_mensal</t>
  </si>
  <si>
    <t>Emissao_mensal</t>
  </si>
  <si>
    <t>e_traj</t>
  </si>
  <si>
    <t>R$/trajeto</t>
  </si>
  <si>
    <t>R$/km</t>
  </si>
  <si>
    <t>kgCO2/trajeto</t>
  </si>
  <si>
    <t>e_km</t>
  </si>
  <si>
    <t>kgCO2/km</t>
  </si>
  <si>
    <t>J/kg</t>
  </si>
  <si>
    <t>km/litro</t>
  </si>
  <si>
    <t>AutEsp</t>
  </si>
  <si>
    <t>kWh</t>
  </si>
  <si>
    <t>R$/kWh</t>
  </si>
  <si>
    <t>kg eq</t>
  </si>
  <si>
    <t>litros eq</t>
  </si>
  <si>
    <t>km/litro eq</t>
  </si>
  <si>
    <t>kgCO2/kWh</t>
  </si>
  <si>
    <t>cal/kg</t>
  </si>
  <si>
    <t>R$/kg</t>
  </si>
  <si>
    <t>kcal</t>
  </si>
  <si>
    <t>(1)</t>
  </si>
  <si>
    <t>(2)</t>
  </si>
  <si>
    <t>(3)</t>
  </si>
  <si>
    <t>VM (soma)</t>
  </si>
  <si>
    <t>f_tax</t>
  </si>
  <si>
    <t>f_em</t>
  </si>
  <si>
    <t>R$ (mensal)</t>
  </si>
  <si>
    <t>VI-VR (mensal)</t>
  </si>
  <si>
    <t>MJ/trajeto</t>
  </si>
  <si>
    <t>c_temp_perdido</t>
  </si>
  <si>
    <t>RESULTADOS</t>
  </si>
  <si>
    <t>kg/litro</t>
  </si>
  <si>
    <t>Vini</t>
  </si>
  <si>
    <r>
      <t>L</t>
    </r>
    <r>
      <rPr>
        <sz val="8"/>
        <color theme="1"/>
        <rFont val="Calibri"/>
        <family val="2"/>
        <scheme val="minor"/>
      </rPr>
      <t>2</t>
    </r>
  </si>
  <si>
    <t>n_acel</t>
  </si>
  <si>
    <t>DADOS COMUNS</t>
  </si>
  <si>
    <r>
      <t>L</t>
    </r>
    <r>
      <rPr>
        <sz val="11"/>
        <color theme="1"/>
        <rFont val="Calibri"/>
        <family val="2"/>
        <scheme val="minor"/>
      </rPr>
      <t>2</t>
    </r>
  </si>
  <si>
    <t>Cr</t>
  </si>
  <si>
    <t>kgCO2/kg</t>
  </si>
  <si>
    <t>KAPPA_tempo</t>
  </si>
  <si>
    <t xml:space="preserve"> </t>
  </si>
  <si>
    <t>KAPPA_fonte</t>
  </si>
  <si>
    <t>kappa_litro</t>
  </si>
  <si>
    <t>kappa_J</t>
  </si>
  <si>
    <t>kappa_kg</t>
  </si>
  <si>
    <t>kappa</t>
  </si>
  <si>
    <t>n_dias</t>
  </si>
  <si>
    <t>n_horas</t>
  </si>
  <si>
    <t>n_meses</t>
  </si>
  <si>
    <t>n_traj</t>
  </si>
  <si>
    <t>ENERGIA_mensal</t>
  </si>
  <si>
    <t>j_juros</t>
  </si>
  <si>
    <t>kappa_traj</t>
  </si>
  <si>
    <t>kappa_km</t>
  </si>
  <si>
    <t>psi_kg</t>
  </si>
  <si>
    <t>PSI</t>
  </si>
  <si>
    <t>PSI_mensal</t>
  </si>
  <si>
    <t>PSI_traj</t>
  </si>
  <si>
    <t>psi_km</t>
  </si>
  <si>
    <t>psi_J</t>
  </si>
  <si>
    <t>PC_eq</t>
  </si>
  <si>
    <t>rho_eq</t>
  </si>
  <si>
    <t>Efonte</t>
  </si>
  <si>
    <t>kgCO2/kgcomida</t>
  </si>
  <si>
    <r>
      <rPr>
        <sz val="11"/>
        <color theme="1"/>
        <rFont val="Calibri"/>
        <family val="2"/>
        <scheme val="minor"/>
      </rPr>
      <t>km/litro</t>
    </r>
    <r>
      <rPr>
        <sz val="9"/>
        <color theme="1"/>
        <rFont val="Calibri"/>
        <family val="2"/>
        <scheme val="minor"/>
      </rPr>
      <t xml:space="preserve">  '(4)</t>
    </r>
  </si>
  <si>
    <t>(1) Gasolina e álcool (J/kg), comida (cal/kg)</t>
  </si>
  <si>
    <t>(2) Gasolina e álcool (R$/litro), eletricidade (R$/kWh), comida (R$/kg)</t>
  </si>
  <si>
    <t>(4) Ciclo (elet) e bicicleta usam a gasolina como combustível equivalente</t>
  </si>
  <si>
    <t>(3) Gasolina e álcool (fator mult.), eletricidade e comida (próprio fator)</t>
  </si>
  <si>
    <t>Visões em Duas Rodas - Fábio Magnani - Volume 1  - Capítulo 1 - Parte 2</t>
  </si>
  <si>
    <t>Moto (gas)</t>
  </si>
  <si>
    <t>Moto (alc)</t>
  </si>
  <si>
    <t>Ciclo (ele)</t>
  </si>
  <si>
    <t>Bicicleta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</si>
</sst>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5" fontId="1" fillId="2" borderId="0" xfId="0" applyNumberFormat="1" applyFont="1" applyFill="1" applyBorder="1" applyAlignment="1" applyProtection="1">
      <alignment horizontal="center"/>
    </xf>
    <xf numFmtId="165" fontId="1" fillId="2" borderId="4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4" xfId="0" applyFont="1" applyFill="1" applyBorder="1" applyProtection="1"/>
    <xf numFmtId="0" fontId="1" fillId="2" borderId="5" xfId="0" applyFont="1" applyFill="1" applyBorder="1" applyProtection="1"/>
    <xf numFmtId="0" fontId="1" fillId="2" borderId="12" xfId="0" applyFont="1" applyFill="1" applyBorder="1" applyProtection="1"/>
    <xf numFmtId="0" fontId="1" fillId="2" borderId="13" xfId="0" applyFont="1" applyFill="1" applyBorder="1" applyProtection="1"/>
    <xf numFmtId="0" fontId="1" fillId="2" borderId="0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164" fontId="1" fillId="2" borderId="0" xfId="0" applyNumberFormat="1" applyFont="1" applyFill="1" applyBorder="1" applyAlignment="1" applyProtection="1">
      <alignment horizontal="center"/>
    </xf>
    <xf numFmtId="2" fontId="1" fillId="2" borderId="0" xfId="0" applyNumberFormat="1" applyFont="1" applyFill="1" applyBorder="1" applyAlignment="1" applyProtection="1">
      <alignment horizontal="center"/>
    </xf>
    <xf numFmtId="0" fontId="1" fillId="2" borderId="9" xfId="0" applyFont="1" applyFill="1" applyBorder="1" applyProtection="1"/>
    <xf numFmtId="0" fontId="1" fillId="2" borderId="10" xfId="0" applyFont="1" applyFill="1" applyBorder="1" applyProtection="1"/>
    <xf numFmtId="2" fontId="1" fillId="2" borderId="9" xfId="0" applyNumberFormat="1" applyFont="1" applyFill="1" applyBorder="1" applyAlignment="1" applyProtection="1">
      <alignment horizontal="center"/>
    </xf>
    <xf numFmtId="164" fontId="1" fillId="2" borderId="9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right"/>
    </xf>
    <xf numFmtId="0" fontId="1" fillId="2" borderId="17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left"/>
    </xf>
    <xf numFmtId="0" fontId="1" fillId="2" borderId="3" xfId="0" applyFont="1" applyFill="1" applyBorder="1" applyProtection="1"/>
    <xf numFmtId="0" fontId="1" fillId="2" borderId="4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1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right"/>
    </xf>
    <xf numFmtId="0" fontId="1" fillId="3" borderId="17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2" fontId="1" fillId="2" borderId="0" xfId="0" applyNumberFormat="1" applyFont="1" applyFill="1" applyBorder="1" applyProtection="1"/>
    <xf numFmtId="0" fontId="1" fillId="2" borderId="1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left"/>
    </xf>
    <xf numFmtId="0" fontId="1" fillId="2" borderId="9" xfId="0" applyFont="1" applyFill="1" applyBorder="1" applyAlignment="1" applyProtection="1">
      <alignment horizontal="left"/>
    </xf>
    <xf numFmtId="0" fontId="1" fillId="2" borderId="24" xfId="0" applyFont="1" applyFill="1" applyBorder="1" applyAlignment="1" applyProtection="1">
      <alignment horizontal="center"/>
    </xf>
    <xf numFmtId="0" fontId="0" fillId="5" borderId="4" xfId="0" applyFon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0" xfId="0" applyFont="1" applyFill="1" applyBorder="1" applyProtection="1"/>
    <xf numFmtId="0" fontId="0" fillId="2" borderId="7" xfId="0" applyFont="1" applyFill="1" applyBorder="1" applyProtection="1"/>
    <xf numFmtId="0" fontId="0" fillId="2" borderId="8" xfId="0" applyFont="1" applyFill="1" applyBorder="1" applyAlignment="1" applyProtection="1">
      <alignment horizontal="center"/>
    </xf>
    <xf numFmtId="0" fontId="0" fillId="2" borderId="9" xfId="0" applyFont="1" applyFill="1" applyBorder="1" applyProtection="1"/>
    <xf numFmtId="0" fontId="0" fillId="2" borderId="10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ont="1" applyFill="1" applyBorder="1" applyAlignment="1" applyProtection="1">
      <alignment horizontal="center"/>
    </xf>
    <xf numFmtId="0" fontId="0" fillId="2" borderId="12" xfId="0" applyFont="1" applyFill="1" applyBorder="1" applyProtection="1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4" borderId="21" xfId="0" applyFill="1" applyBorder="1" applyAlignment="1" applyProtection="1">
      <alignment horizontal="center"/>
    </xf>
    <xf numFmtId="0" fontId="0" fillId="4" borderId="22" xfId="0" applyFill="1" applyBorder="1" applyAlignment="1" applyProtection="1">
      <alignment horizontal="center"/>
    </xf>
    <xf numFmtId="0" fontId="0" fillId="4" borderId="23" xfId="0" applyFill="1" applyBorder="1" applyAlignment="1" applyProtection="1">
      <alignment horizontal="center"/>
    </xf>
    <xf numFmtId="0" fontId="0" fillId="2" borderId="0" xfId="0" applyFont="1" applyFill="1" applyProtection="1"/>
    <xf numFmtId="0" fontId="0" fillId="4" borderId="21" xfId="0" applyFont="1" applyFill="1" applyBorder="1" applyAlignment="1" applyProtection="1">
      <alignment horizontal="center"/>
    </xf>
    <xf numFmtId="0" fontId="0" fillId="4" borderId="22" xfId="0" applyFont="1" applyFill="1" applyBorder="1" applyAlignment="1" applyProtection="1">
      <alignment horizontal="center"/>
    </xf>
    <xf numFmtId="0" fontId="0" fillId="4" borderId="23" xfId="0" applyFont="1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0" fillId="2" borderId="5" xfId="0" applyFont="1" applyFill="1" applyBorder="1" applyAlignment="1" applyProtection="1">
      <alignment horizontal="center"/>
    </xf>
    <xf numFmtId="165" fontId="0" fillId="2" borderId="0" xfId="0" applyNumberFormat="1" applyFont="1" applyFill="1" applyBorder="1" applyAlignment="1" applyProtection="1">
      <alignment horizontal="center"/>
    </xf>
    <xf numFmtId="165" fontId="0" fillId="2" borderId="7" xfId="0" applyNumberFormat="1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7" xfId="0" applyFont="1" applyFill="1" applyBorder="1" applyAlignment="1" applyProtection="1">
      <alignment horizontal="center"/>
    </xf>
    <xf numFmtId="0" fontId="0" fillId="2" borderId="18" xfId="0" applyFont="1" applyFill="1" applyBorder="1" applyAlignment="1" applyProtection="1">
      <alignment horizontal="center"/>
    </xf>
    <xf numFmtId="2" fontId="0" fillId="2" borderId="0" xfId="0" applyNumberFormat="1" applyFont="1" applyFill="1" applyBorder="1" applyAlignment="1" applyProtection="1">
      <alignment horizontal="center"/>
    </xf>
    <xf numFmtId="2" fontId="0" fillId="2" borderId="7" xfId="0" applyNumberFormat="1" applyFont="1" applyFill="1" applyBorder="1" applyAlignment="1" applyProtection="1">
      <alignment horizontal="center"/>
    </xf>
    <xf numFmtId="0" fontId="0" fillId="2" borderId="7" xfId="0" quotePrefix="1" applyFill="1" applyBorder="1" applyAlignment="1" applyProtection="1">
      <alignment horizontal="center"/>
    </xf>
    <xf numFmtId="165" fontId="0" fillId="2" borderId="1" xfId="0" applyNumberFormat="1" applyFont="1" applyFill="1" applyBorder="1" applyAlignment="1" applyProtection="1">
      <alignment horizontal="center"/>
    </xf>
    <xf numFmtId="2" fontId="0" fillId="2" borderId="9" xfId="0" applyNumberFormat="1" applyFont="1" applyFill="1" applyBorder="1" applyAlignment="1" applyProtection="1">
      <alignment horizontal="center"/>
    </xf>
    <xf numFmtId="2" fontId="0" fillId="2" borderId="10" xfId="0" applyNumberFormat="1" applyFont="1" applyFill="1" applyBorder="1" applyAlignment="1" applyProtection="1">
      <alignment horizontal="center"/>
    </xf>
    <xf numFmtId="165" fontId="0" fillId="2" borderId="7" xfId="0" applyNumberFormat="1" applyFill="1" applyBorder="1" applyAlignment="1" applyProtection="1">
      <alignment horizontal="center"/>
    </xf>
    <xf numFmtId="0" fontId="0" fillId="2" borderId="0" xfId="0" applyFill="1" applyAlignment="1" applyProtection="1"/>
    <xf numFmtId="0" fontId="0" fillId="2" borderId="0" xfId="0" quotePrefix="1" applyFill="1" applyAlignment="1" applyProtection="1">
      <alignment horizontal="right"/>
    </xf>
    <xf numFmtId="2" fontId="1" fillId="3" borderId="19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2" borderId="1" xfId="0" applyFont="1" applyFill="1" applyBorder="1" applyProtection="1"/>
    <xf numFmtId="0" fontId="1" fillId="2" borderId="6" xfId="0" applyFont="1" applyFill="1" applyBorder="1" applyProtection="1"/>
    <xf numFmtId="0" fontId="1" fillId="2" borderId="7" xfId="0" quotePrefix="1" applyFont="1" applyFill="1" applyBorder="1" applyAlignment="1" applyProtection="1">
      <alignment horizontal="center"/>
    </xf>
    <xf numFmtId="0" fontId="1" fillId="2" borderId="10" xfId="0" quotePrefix="1" applyFont="1" applyFill="1" applyBorder="1" applyAlignment="1" applyProtection="1">
      <alignment horizontal="center"/>
    </xf>
    <xf numFmtId="0" fontId="0" fillId="5" borderId="3" xfId="0" applyFont="1" applyFill="1" applyBorder="1" applyProtection="1"/>
    <xf numFmtId="0" fontId="0" fillId="5" borderId="4" xfId="0" applyFont="1" applyFill="1" applyBorder="1" applyProtection="1"/>
    <xf numFmtId="0" fontId="0" fillId="5" borderId="5" xfId="0" applyFont="1" applyFill="1" applyBorder="1" applyProtection="1"/>
    <xf numFmtId="0" fontId="0" fillId="2" borderId="17" xfId="0" applyFont="1" applyFill="1" applyBorder="1" applyAlignment="1" applyProtection="1">
      <alignment horizontal="center"/>
    </xf>
    <xf numFmtId="0" fontId="0" fillId="2" borderId="4" xfId="0" applyFont="1" applyFill="1" applyBorder="1" applyProtection="1"/>
    <xf numFmtId="0" fontId="0" fillId="2" borderId="5" xfId="0" applyFont="1" applyFill="1" applyBorder="1" applyProtection="1"/>
    <xf numFmtId="0" fontId="1" fillId="2" borderId="0" xfId="0" applyFont="1" applyFill="1" applyProtection="1"/>
    <xf numFmtId="0" fontId="1" fillId="2" borderId="0" xfId="0" applyFont="1" applyFill="1" applyAlignment="1" applyProtection="1"/>
    <xf numFmtId="1" fontId="0" fillId="2" borderId="0" xfId="0" applyNumberFormat="1" applyFont="1" applyFill="1" applyBorder="1" applyAlignment="1" applyProtection="1">
      <alignment horizontal="center"/>
    </xf>
    <xf numFmtId="1" fontId="0" fillId="2" borderId="7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28575</xdr:rowOff>
    </xdr:from>
    <xdr:to>
      <xdr:col>1</xdr:col>
      <xdr:colOff>1323975</xdr:colOff>
      <xdr:row>11</xdr:row>
      <xdr:rowOff>142875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504825"/>
          <a:ext cx="127635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12</xdr:row>
      <xdr:rowOff>28575</xdr:rowOff>
    </xdr:from>
    <xdr:to>
      <xdr:col>1</xdr:col>
      <xdr:colOff>1333500</xdr:colOff>
      <xdr:row>19</xdr:row>
      <xdr:rowOff>133350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85950"/>
          <a:ext cx="13144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28</xdr:row>
      <xdr:rowOff>9525</xdr:rowOff>
    </xdr:from>
    <xdr:to>
      <xdr:col>2</xdr:col>
      <xdr:colOff>0</xdr:colOff>
      <xdr:row>30</xdr:row>
      <xdr:rowOff>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362450"/>
          <a:ext cx="1333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20</xdr:row>
      <xdr:rowOff>19050</xdr:rowOff>
    </xdr:from>
    <xdr:to>
      <xdr:col>1</xdr:col>
      <xdr:colOff>1333500</xdr:colOff>
      <xdr:row>28</xdr:row>
      <xdr:rowOff>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114675"/>
          <a:ext cx="13239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3</xdr:row>
      <xdr:rowOff>9525</xdr:rowOff>
    </xdr:from>
    <xdr:to>
      <xdr:col>6</xdr:col>
      <xdr:colOff>838200</xdr:colOff>
      <xdr:row>20</xdr:row>
      <xdr:rowOff>142875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85775"/>
          <a:ext cx="72390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295275</xdr:colOff>
      <xdr:row>3</xdr:row>
      <xdr:rowOff>38100</xdr:rowOff>
    </xdr:from>
    <xdr:to>
      <xdr:col>10</xdr:col>
      <xdr:colOff>1190625</xdr:colOff>
      <xdr:row>14</xdr:row>
      <xdr:rowOff>142875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514350"/>
          <a:ext cx="8953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19050</xdr:rowOff>
    </xdr:from>
    <xdr:to>
      <xdr:col>1</xdr:col>
      <xdr:colOff>1323975</xdr:colOff>
      <xdr:row>11</xdr:row>
      <xdr:rowOff>133350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95300"/>
          <a:ext cx="127635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12</xdr:row>
      <xdr:rowOff>19050</xdr:rowOff>
    </xdr:from>
    <xdr:to>
      <xdr:col>1</xdr:col>
      <xdr:colOff>1323975</xdr:colOff>
      <xdr:row>19</xdr:row>
      <xdr:rowOff>123825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876425"/>
          <a:ext cx="13144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28</xdr:row>
      <xdr:rowOff>9525</xdr:rowOff>
    </xdr:from>
    <xdr:to>
      <xdr:col>1</xdr:col>
      <xdr:colOff>1343025</xdr:colOff>
      <xdr:row>30</xdr:row>
      <xdr:rowOff>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371975"/>
          <a:ext cx="1333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20</xdr:row>
      <xdr:rowOff>9525</xdr:rowOff>
    </xdr:from>
    <xdr:to>
      <xdr:col>1</xdr:col>
      <xdr:colOff>1333500</xdr:colOff>
      <xdr:row>27</xdr:row>
      <xdr:rowOff>152400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105150"/>
          <a:ext cx="13239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3</xdr:row>
      <xdr:rowOff>19050</xdr:rowOff>
    </xdr:from>
    <xdr:to>
      <xdr:col>6</xdr:col>
      <xdr:colOff>866775</xdr:colOff>
      <xdr:row>20</xdr:row>
      <xdr:rowOff>152400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495300"/>
          <a:ext cx="72390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304800</xdr:colOff>
      <xdr:row>3</xdr:row>
      <xdr:rowOff>19050</xdr:rowOff>
    </xdr:from>
    <xdr:to>
      <xdr:col>10</xdr:col>
      <xdr:colOff>1200150</xdr:colOff>
      <xdr:row>14</xdr:row>
      <xdr:rowOff>123825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495300"/>
          <a:ext cx="8953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38100</xdr:rowOff>
    </xdr:from>
    <xdr:to>
      <xdr:col>1</xdr:col>
      <xdr:colOff>1314450</xdr:colOff>
      <xdr:row>11</xdr:row>
      <xdr:rowOff>152400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14350"/>
          <a:ext cx="127635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28</xdr:row>
      <xdr:rowOff>9525</xdr:rowOff>
    </xdr:from>
    <xdr:to>
      <xdr:col>1</xdr:col>
      <xdr:colOff>1343025</xdr:colOff>
      <xdr:row>30</xdr:row>
      <xdr:rowOff>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371975"/>
          <a:ext cx="1333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20</xdr:row>
      <xdr:rowOff>19050</xdr:rowOff>
    </xdr:from>
    <xdr:to>
      <xdr:col>2</xdr:col>
      <xdr:colOff>0</xdr:colOff>
      <xdr:row>28</xdr:row>
      <xdr:rowOff>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114675"/>
          <a:ext cx="13239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323850</xdr:colOff>
      <xdr:row>3</xdr:row>
      <xdr:rowOff>28575</xdr:rowOff>
    </xdr:from>
    <xdr:to>
      <xdr:col>10</xdr:col>
      <xdr:colOff>1219200</xdr:colOff>
      <xdr:row>14</xdr:row>
      <xdr:rowOff>133350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504825"/>
          <a:ext cx="8953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12</xdr:row>
      <xdr:rowOff>38100</xdr:rowOff>
    </xdr:from>
    <xdr:to>
      <xdr:col>1</xdr:col>
      <xdr:colOff>1143000</xdr:colOff>
      <xdr:row>19</xdr:row>
      <xdr:rowOff>57150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895475"/>
          <a:ext cx="8667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28575</xdr:colOff>
      <xdr:row>20</xdr:row>
      <xdr:rowOff>142875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485775"/>
          <a:ext cx="106680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19050</xdr:rowOff>
    </xdr:from>
    <xdr:to>
      <xdr:col>1</xdr:col>
      <xdr:colOff>1314450</xdr:colOff>
      <xdr:row>11</xdr:row>
      <xdr:rowOff>133350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95300"/>
          <a:ext cx="127635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28</xdr:row>
      <xdr:rowOff>9525</xdr:rowOff>
    </xdr:from>
    <xdr:to>
      <xdr:col>2</xdr:col>
      <xdr:colOff>9525</xdr:colOff>
      <xdr:row>30</xdr:row>
      <xdr:rowOff>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371975"/>
          <a:ext cx="1333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20</xdr:row>
      <xdr:rowOff>19050</xdr:rowOff>
    </xdr:from>
    <xdr:to>
      <xdr:col>2</xdr:col>
      <xdr:colOff>0</xdr:colOff>
      <xdr:row>28</xdr:row>
      <xdr:rowOff>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114675"/>
          <a:ext cx="13239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323850</xdr:colOff>
      <xdr:row>3</xdr:row>
      <xdr:rowOff>28575</xdr:rowOff>
    </xdr:from>
    <xdr:to>
      <xdr:col>10</xdr:col>
      <xdr:colOff>1219200</xdr:colOff>
      <xdr:row>14</xdr:row>
      <xdr:rowOff>133350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504825"/>
          <a:ext cx="8953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12</xdr:row>
      <xdr:rowOff>19050</xdr:rowOff>
    </xdr:from>
    <xdr:to>
      <xdr:col>1</xdr:col>
      <xdr:colOff>1171575</xdr:colOff>
      <xdr:row>19</xdr:row>
      <xdr:rowOff>123825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876425"/>
          <a:ext cx="8953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3</xdr:row>
      <xdr:rowOff>19050</xdr:rowOff>
    </xdr:from>
    <xdr:to>
      <xdr:col>6</xdr:col>
      <xdr:colOff>1009650</xdr:colOff>
      <xdr:row>20</xdr:row>
      <xdr:rowOff>142875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495300"/>
          <a:ext cx="98107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38100</xdr:rowOff>
    </xdr:from>
    <xdr:to>
      <xdr:col>2</xdr:col>
      <xdr:colOff>9525</xdr:colOff>
      <xdr:row>19</xdr:row>
      <xdr:rowOff>161925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828675"/>
          <a:ext cx="666750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438150</xdr:colOff>
      <xdr:row>8</xdr:row>
      <xdr:rowOff>19050</xdr:rowOff>
    </xdr:from>
    <xdr:to>
      <xdr:col>8</xdr:col>
      <xdr:colOff>1104900</xdr:colOff>
      <xdr:row>13</xdr:row>
      <xdr:rowOff>180975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581150"/>
          <a:ext cx="6667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514350</xdr:colOff>
      <xdr:row>3</xdr:row>
      <xdr:rowOff>38100</xdr:rowOff>
    </xdr:from>
    <xdr:to>
      <xdr:col>8</xdr:col>
      <xdr:colOff>1057275</xdr:colOff>
      <xdr:row>7</xdr:row>
      <xdr:rowOff>161925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28650"/>
          <a:ext cx="5429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18</xdr:row>
      <xdr:rowOff>66675</xdr:rowOff>
    </xdr:from>
    <xdr:to>
      <xdr:col>8</xdr:col>
      <xdr:colOff>1466850</xdr:colOff>
      <xdr:row>28</xdr:row>
      <xdr:rowOff>142875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3571875"/>
          <a:ext cx="1438275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zoomScaleNormal="100" workbookViewId="0">
      <selection activeCell="C11" sqref="C11"/>
    </sheetView>
  </sheetViews>
  <sheetFormatPr defaultRowHeight="12" x14ac:dyDescent="0.2"/>
  <cols>
    <col min="1" max="1" width="9.140625" style="3"/>
    <col min="2" max="2" width="20.28515625" style="3" customWidth="1"/>
    <col min="3" max="3" width="15.42578125" style="3" customWidth="1"/>
    <col min="4" max="4" width="9.5703125" style="3" bestFit="1" customWidth="1"/>
    <col min="5" max="5" width="9.140625" style="3"/>
    <col min="6" max="6" width="4.140625" style="3" customWidth="1"/>
    <col min="7" max="7" width="14.85546875" style="3" customWidth="1"/>
    <col min="8" max="8" width="18.140625" style="3" customWidth="1"/>
    <col min="9" max="9" width="14.28515625" style="3" customWidth="1"/>
    <col min="10" max="10" width="4.140625" style="3" customWidth="1"/>
    <col min="11" max="11" width="22.5703125" style="3" customWidth="1"/>
    <col min="12" max="12" width="18.42578125" style="3" customWidth="1"/>
    <col min="13" max="13" width="15" style="3" customWidth="1"/>
    <col min="14" max="16384" width="9.140625" style="3"/>
  </cols>
  <sheetData>
    <row r="1" spans="2:13" x14ac:dyDescent="0.2">
      <c r="B1" s="3" t="s">
        <v>134</v>
      </c>
    </row>
    <row r="2" spans="2:13" ht="12.75" thickBot="1" x14ac:dyDescent="0.25"/>
    <row r="3" spans="2:13" ht="12.75" thickBot="1" x14ac:dyDescent="0.25">
      <c r="B3" s="25"/>
      <c r="C3" s="26" t="s">
        <v>12</v>
      </c>
      <c r="D3" s="6"/>
      <c r="E3" s="7"/>
      <c r="G3" s="19"/>
      <c r="H3" s="20" t="s">
        <v>55</v>
      </c>
      <c r="I3" s="5"/>
      <c r="K3" s="25"/>
      <c r="L3" s="31" t="s">
        <v>56</v>
      </c>
      <c r="M3" s="7"/>
    </row>
    <row r="4" spans="2:13" x14ac:dyDescent="0.2">
      <c r="B4" s="22" t="s">
        <v>97</v>
      </c>
      <c r="C4" s="36">
        <v>0</v>
      </c>
      <c r="D4" s="3" t="s">
        <v>0</v>
      </c>
      <c r="E4" s="9"/>
      <c r="G4" s="27" t="s">
        <v>24</v>
      </c>
      <c r="H4" s="2">
        <f>C5/3.6</f>
        <v>16.666666666666668</v>
      </c>
      <c r="I4" s="5" t="s">
        <v>1</v>
      </c>
      <c r="K4" s="27" t="s">
        <v>115</v>
      </c>
      <c r="L4" s="38">
        <f>H14*C28*C26</f>
        <v>445348135.47237086</v>
      </c>
      <c r="M4" s="9" t="s">
        <v>27</v>
      </c>
    </row>
    <row r="5" spans="2:13" x14ac:dyDescent="0.2">
      <c r="B5" s="22" t="s">
        <v>24</v>
      </c>
      <c r="C5" s="36">
        <v>60</v>
      </c>
      <c r="D5" s="3" t="s">
        <v>0</v>
      </c>
      <c r="E5" s="9"/>
      <c r="G5" s="28" t="s">
        <v>16</v>
      </c>
      <c r="H5" s="8">
        <f>C6+C7</f>
        <v>230</v>
      </c>
      <c r="I5" s="9" t="s">
        <v>6</v>
      </c>
      <c r="K5" s="28" t="s">
        <v>121</v>
      </c>
      <c r="L5" s="1">
        <f>H21*C28*C26</f>
        <v>33.578268231454153</v>
      </c>
      <c r="M5" s="9" t="s">
        <v>47</v>
      </c>
    </row>
    <row r="6" spans="2:13" x14ac:dyDescent="0.2">
      <c r="B6" s="22" t="s">
        <v>5</v>
      </c>
      <c r="C6" s="33">
        <v>80</v>
      </c>
      <c r="D6" s="3" t="s">
        <v>6</v>
      </c>
      <c r="E6" s="9"/>
      <c r="G6" s="28" t="s">
        <v>13</v>
      </c>
      <c r="H6" s="1">
        <f>C8*H4^2</f>
        <v>111.11111111111114</v>
      </c>
      <c r="I6" s="9" t="s">
        <v>14</v>
      </c>
      <c r="K6" s="28" t="s">
        <v>122</v>
      </c>
      <c r="L6" s="10">
        <f>H21</f>
        <v>0.79948257693938463</v>
      </c>
      <c r="M6" s="9" t="s">
        <v>70</v>
      </c>
    </row>
    <row r="7" spans="2:13" x14ac:dyDescent="0.2">
      <c r="B7" s="22" t="s">
        <v>7</v>
      </c>
      <c r="C7" s="33">
        <v>150</v>
      </c>
      <c r="D7" s="3" t="s">
        <v>6</v>
      </c>
      <c r="E7" s="9"/>
      <c r="G7" s="28" t="s">
        <v>15</v>
      </c>
      <c r="H7" s="1">
        <f>H5*C31*C9</f>
        <v>67.730400000000003</v>
      </c>
      <c r="I7" s="9" t="s">
        <v>14</v>
      </c>
      <c r="K7" s="28" t="s">
        <v>123</v>
      </c>
      <c r="L7" s="10">
        <f>L6/C11*1000</f>
        <v>0.1332470961565641</v>
      </c>
      <c r="M7" s="9" t="s">
        <v>72</v>
      </c>
    </row>
    <row r="8" spans="2:13" x14ac:dyDescent="0.2">
      <c r="B8" s="22" t="s">
        <v>2</v>
      </c>
      <c r="C8" s="33">
        <v>0.4</v>
      </c>
      <c r="D8" s="3" t="s">
        <v>3</v>
      </c>
      <c r="E8" s="9"/>
      <c r="G8" s="28" t="s">
        <v>19</v>
      </c>
      <c r="H8" s="1">
        <f>H5*C31*C12</f>
        <v>45.153600000000004</v>
      </c>
      <c r="I8" s="9" t="s">
        <v>14</v>
      </c>
      <c r="K8" s="29" t="s">
        <v>58</v>
      </c>
      <c r="L8" s="1">
        <f>((1+C23)^C24-1)/(C23*(1+C23)^C24)</f>
        <v>44.955038406224034</v>
      </c>
      <c r="M8" s="9" t="s">
        <v>59</v>
      </c>
    </row>
    <row r="9" spans="2:13" x14ac:dyDescent="0.2">
      <c r="B9" s="22" t="s">
        <v>102</v>
      </c>
      <c r="C9" s="33">
        <v>0.03</v>
      </c>
      <c r="E9" s="9"/>
      <c r="G9" s="28" t="s">
        <v>20</v>
      </c>
      <c r="H9" s="1">
        <f>SUM(H6:H8)</f>
        <v>223.99511111111116</v>
      </c>
      <c r="I9" s="9" t="s">
        <v>14</v>
      </c>
      <c r="K9" s="28" t="s">
        <v>39</v>
      </c>
      <c r="L9" s="11">
        <f>C21/L8</f>
        <v>222.4444768490176</v>
      </c>
      <c r="M9" s="9" t="s">
        <v>91</v>
      </c>
    </row>
    <row r="10" spans="2:13" x14ac:dyDescent="0.2">
      <c r="B10" s="22" t="s">
        <v>99</v>
      </c>
      <c r="C10" s="33">
        <v>20</v>
      </c>
      <c r="E10" s="9"/>
      <c r="G10" s="28" t="s">
        <v>21</v>
      </c>
      <c r="H10" s="1">
        <f>H9*H4</f>
        <v>3733.2518518518527</v>
      </c>
      <c r="I10" s="9" t="s">
        <v>22</v>
      </c>
      <c r="K10" s="28" t="s">
        <v>44</v>
      </c>
      <c r="L10" s="11">
        <f>C22/((C23+1)^C24)/L8</f>
        <v>73.466686109410574</v>
      </c>
      <c r="M10" s="9" t="str">
        <f>M9</f>
        <v>R$ (mensal)</v>
      </c>
    </row>
    <row r="11" spans="2:13" x14ac:dyDescent="0.2">
      <c r="B11" s="22" t="s">
        <v>98</v>
      </c>
      <c r="C11" s="33">
        <v>6000</v>
      </c>
      <c r="D11" s="3" t="s">
        <v>8</v>
      </c>
      <c r="E11" s="9"/>
      <c r="G11" s="28" t="s">
        <v>21</v>
      </c>
      <c r="H11" s="1">
        <f>H10/1000/0.735</f>
        <v>5.079254220206602</v>
      </c>
      <c r="I11" s="9" t="s">
        <v>23</v>
      </c>
      <c r="K11" s="28" t="s">
        <v>61</v>
      </c>
      <c r="L11" s="11">
        <f>H19*C28*C26</f>
        <v>63.253754218800928</v>
      </c>
      <c r="M11" s="9" t="str">
        <f t="shared" ref="M11:M13" si="0">M10</f>
        <v>R$ (mensal)</v>
      </c>
    </row>
    <row r="12" spans="2:13" ht="12.75" thickBot="1" x14ac:dyDescent="0.25">
      <c r="B12" s="23" t="s">
        <v>10</v>
      </c>
      <c r="C12" s="34">
        <v>0.02</v>
      </c>
      <c r="D12" s="12" t="s">
        <v>11</v>
      </c>
      <c r="E12" s="13"/>
      <c r="G12" s="28" t="s">
        <v>25</v>
      </c>
      <c r="H12" s="1">
        <f>C11/H4</f>
        <v>360</v>
      </c>
      <c r="I12" s="9" t="s">
        <v>26</v>
      </c>
      <c r="K12" s="28" t="s">
        <v>62</v>
      </c>
      <c r="L12" s="11">
        <f>H18*C28*C26</f>
        <v>37.5</v>
      </c>
      <c r="M12" s="9" t="str">
        <f t="shared" si="0"/>
        <v>R$ (mensal)</v>
      </c>
    </row>
    <row r="13" spans="2:13" x14ac:dyDescent="0.2">
      <c r="B13" s="21" t="s">
        <v>30</v>
      </c>
      <c r="C13" s="32">
        <v>0.22</v>
      </c>
      <c r="D13" s="4"/>
      <c r="E13" s="5"/>
      <c r="G13" s="28" t="s">
        <v>28</v>
      </c>
      <c r="H13" s="1">
        <f>H12*H10+C10*1/2*H5*((C5/3.6)^2-(C4/3.6)^2)</f>
        <v>1982859.555555556</v>
      </c>
      <c r="I13" s="9" t="s">
        <v>27</v>
      </c>
      <c r="K13" s="28" t="s">
        <v>60</v>
      </c>
      <c r="L13" s="11">
        <f>L9-L10+L11+L12</f>
        <v>249.73154495840797</v>
      </c>
      <c r="M13" s="9" t="str">
        <f t="shared" si="0"/>
        <v>R$ (mensal)</v>
      </c>
    </row>
    <row r="14" spans="2:13" x14ac:dyDescent="0.2">
      <c r="B14" s="22" t="s">
        <v>31</v>
      </c>
      <c r="C14" s="33">
        <v>0.85</v>
      </c>
      <c r="E14" s="9"/>
      <c r="G14" s="28" t="s">
        <v>29</v>
      </c>
      <c r="H14" s="1">
        <f>H13/C13/C14</f>
        <v>10603527.035056449</v>
      </c>
      <c r="I14" s="9" t="s">
        <v>27</v>
      </c>
      <c r="K14" s="28" t="s">
        <v>117</v>
      </c>
      <c r="L14" s="11">
        <f>L13/C26/C28</f>
        <v>5.9459891656763801</v>
      </c>
      <c r="M14" s="9" t="s">
        <v>68</v>
      </c>
    </row>
    <row r="15" spans="2:13" ht="12.75" thickBot="1" x14ac:dyDescent="0.25">
      <c r="B15" s="22" t="s">
        <v>35</v>
      </c>
      <c r="C15" s="33">
        <v>43000000</v>
      </c>
      <c r="D15" s="3" t="s">
        <v>73</v>
      </c>
      <c r="E15" s="9"/>
      <c r="G15" s="28" t="s">
        <v>32</v>
      </c>
      <c r="H15" s="10">
        <f>H14/C15</f>
        <v>0.24659365197805697</v>
      </c>
      <c r="I15" s="9" t="s">
        <v>6</v>
      </c>
      <c r="K15" s="30" t="s">
        <v>118</v>
      </c>
      <c r="L15" s="14">
        <f>L13/C26/C28/C11*1000</f>
        <v>0.99099819427939673</v>
      </c>
      <c r="M15" s="13" t="s">
        <v>69</v>
      </c>
    </row>
    <row r="16" spans="2:13" x14ac:dyDescent="0.2">
      <c r="B16" s="22" t="s">
        <v>34</v>
      </c>
      <c r="C16" s="33">
        <v>0.745</v>
      </c>
      <c r="D16" s="3" t="s">
        <v>96</v>
      </c>
      <c r="E16" s="9"/>
      <c r="G16" s="28" t="s">
        <v>33</v>
      </c>
      <c r="H16" s="10">
        <f>H15/C16</f>
        <v>0.33099819057457314</v>
      </c>
      <c r="I16" s="9" t="s">
        <v>36</v>
      </c>
    </row>
    <row r="17" spans="2:9" x14ac:dyDescent="0.2">
      <c r="B17" s="22" t="s">
        <v>107</v>
      </c>
      <c r="C17" s="33">
        <v>3.5</v>
      </c>
      <c r="D17" s="3" t="s">
        <v>37</v>
      </c>
      <c r="E17" s="9"/>
      <c r="G17" s="28" t="s">
        <v>75</v>
      </c>
      <c r="H17" s="10">
        <f>C11/1000/H16</f>
        <v>18.12698730946148</v>
      </c>
      <c r="I17" s="9" t="s">
        <v>74</v>
      </c>
    </row>
    <row r="18" spans="2:9" x14ac:dyDescent="0.2">
      <c r="B18" s="22" t="s">
        <v>41</v>
      </c>
      <c r="C18" s="33">
        <v>8</v>
      </c>
      <c r="E18" s="9"/>
      <c r="G18" s="28" t="s">
        <v>104</v>
      </c>
      <c r="H18" s="10">
        <f>H12/60/60*C25/C26/C27</f>
        <v>0.8928571428571429</v>
      </c>
      <c r="I18" s="9" t="s">
        <v>38</v>
      </c>
    </row>
    <row r="19" spans="2:9" x14ac:dyDescent="0.2">
      <c r="B19" s="22" t="s">
        <v>42</v>
      </c>
      <c r="C19" s="33">
        <v>18</v>
      </c>
      <c r="E19" s="9"/>
      <c r="G19" s="28" t="s">
        <v>106</v>
      </c>
      <c r="H19" s="10">
        <f>H16*C17*C29</f>
        <v>1.5060417671143078</v>
      </c>
      <c r="I19" s="9" t="s">
        <v>38</v>
      </c>
    </row>
    <row r="20" spans="2:9" ht="12.75" thickBot="1" x14ac:dyDescent="0.25">
      <c r="B20" s="23" t="s">
        <v>43</v>
      </c>
      <c r="C20" s="34">
        <v>0</v>
      </c>
      <c r="D20" s="12"/>
      <c r="E20" s="13"/>
      <c r="G20" s="29" t="s">
        <v>119</v>
      </c>
      <c r="H20" s="10">
        <f>C18*(12+2*16)/(C18*12+C19*1+C20*16)*C30</f>
        <v>3.2421052631578946</v>
      </c>
      <c r="I20" s="9" t="s">
        <v>40</v>
      </c>
    </row>
    <row r="21" spans="2:9" ht="12.75" thickBot="1" x14ac:dyDescent="0.25">
      <c r="B21" s="21" t="s">
        <v>39</v>
      </c>
      <c r="C21" s="32">
        <v>10000</v>
      </c>
      <c r="D21" s="4" t="s">
        <v>38</v>
      </c>
      <c r="E21" s="5"/>
      <c r="G21" s="30" t="s">
        <v>120</v>
      </c>
      <c r="H21" s="15">
        <f>H15*H20</f>
        <v>0.79948257693938463</v>
      </c>
      <c r="I21" s="13" t="s">
        <v>47</v>
      </c>
    </row>
    <row r="22" spans="2:9" x14ac:dyDescent="0.2">
      <c r="B22" s="22" t="s">
        <v>44</v>
      </c>
      <c r="C22" s="33">
        <v>6000</v>
      </c>
      <c r="D22" s="3" t="s">
        <v>38</v>
      </c>
      <c r="E22" s="9"/>
      <c r="H22" s="16"/>
    </row>
    <row r="23" spans="2:9" x14ac:dyDescent="0.2">
      <c r="B23" s="22" t="s">
        <v>116</v>
      </c>
      <c r="C23" s="33">
        <v>0.01</v>
      </c>
      <c r="D23" s="3" t="s">
        <v>46</v>
      </c>
      <c r="E23" s="9"/>
      <c r="H23" s="16"/>
    </row>
    <row r="24" spans="2:9" x14ac:dyDescent="0.2">
      <c r="B24" s="22" t="s">
        <v>113</v>
      </c>
      <c r="C24" s="33">
        <v>60</v>
      </c>
      <c r="D24" s="3" t="s">
        <v>45</v>
      </c>
      <c r="E24" s="9"/>
      <c r="H24" s="18"/>
    </row>
    <row r="25" spans="2:9" x14ac:dyDescent="0.2">
      <c r="B25" s="22" t="s">
        <v>52</v>
      </c>
      <c r="C25" s="35">
        <v>1500</v>
      </c>
      <c r="D25" s="3" t="s">
        <v>48</v>
      </c>
      <c r="E25" s="9"/>
    </row>
    <row r="26" spans="2:9" x14ac:dyDescent="0.2">
      <c r="B26" s="22" t="s">
        <v>111</v>
      </c>
      <c r="C26" s="33">
        <v>21</v>
      </c>
      <c r="D26" s="3" t="s">
        <v>49</v>
      </c>
      <c r="E26" s="9"/>
    </row>
    <row r="27" spans="2:9" x14ac:dyDescent="0.2">
      <c r="B27" s="22" t="s">
        <v>112</v>
      </c>
      <c r="C27" s="33">
        <v>8</v>
      </c>
      <c r="D27" s="3" t="s">
        <v>50</v>
      </c>
      <c r="E27" s="9"/>
    </row>
    <row r="28" spans="2:9" ht="12.75" thickBot="1" x14ac:dyDescent="0.25">
      <c r="B28" s="23" t="s">
        <v>114</v>
      </c>
      <c r="C28" s="34">
        <v>2</v>
      </c>
      <c r="D28" s="12" t="s">
        <v>51</v>
      </c>
      <c r="E28" s="13"/>
    </row>
    <row r="29" spans="2:9" x14ac:dyDescent="0.2">
      <c r="B29" s="22" t="s">
        <v>89</v>
      </c>
      <c r="C29" s="36">
        <v>1.3</v>
      </c>
      <c r="E29" s="9"/>
    </row>
    <row r="30" spans="2:9" ht="12.75" thickBot="1" x14ac:dyDescent="0.25">
      <c r="B30" s="22" t="s">
        <v>90</v>
      </c>
      <c r="C30" s="37">
        <v>1.05</v>
      </c>
      <c r="E30" s="9"/>
    </row>
    <row r="31" spans="2:9" ht="12.75" thickBot="1" x14ac:dyDescent="0.25">
      <c r="B31" s="24" t="s">
        <v>17</v>
      </c>
      <c r="C31" s="39">
        <v>9.8160000000000007</v>
      </c>
      <c r="D31" s="6" t="s">
        <v>18</v>
      </c>
      <c r="E31" s="7"/>
    </row>
    <row r="46" spans="9:9" x14ac:dyDescent="0.2">
      <c r="I46" s="3" t="s">
        <v>105</v>
      </c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B1" sqref="B1"/>
    </sheetView>
  </sheetViews>
  <sheetFormatPr defaultRowHeight="12" x14ac:dyDescent="0.2"/>
  <cols>
    <col min="1" max="1" width="9.140625" style="3"/>
    <col min="2" max="2" width="20.28515625" style="3" customWidth="1"/>
    <col min="3" max="3" width="15.42578125" style="3" customWidth="1"/>
    <col min="4" max="4" width="9.5703125" style="3" bestFit="1" customWidth="1"/>
    <col min="5" max="5" width="9.140625" style="3"/>
    <col min="6" max="6" width="4.140625" style="3" customWidth="1"/>
    <col min="7" max="7" width="15.7109375" style="3" bestFit="1" customWidth="1"/>
    <col min="8" max="8" width="18.140625" style="3" customWidth="1"/>
    <col min="9" max="9" width="14.28515625" style="3" customWidth="1"/>
    <col min="10" max="10" width="4.140625" style="3" customWidth="1"/>
    <col min="11" max="11" width="22.5703125" style="3" customWidth="1"/>
    <col min="12" max="12" width="18.42578125" style="3" customWidth="1"/>
    <col min="13" max="13" width="15" style="3" customWidth="1"/>
    <col min="14" max="16384" width="9.140625" style="3"/>
  </cols>
  <sheetData>
    <row r="1" spans="2:13" x14ac:dyDescent="0.2">
      <c r="B1" s="3" t="s">
        <v>134</v>
      </c>
    </row>
    <row r="2" spans="2:13" ht="12.75" thickBot="1" x14ac:dyDescent="0.25"/>
    <row r="3" spans="2:13" ht="12.75" thickBot="1" x14ac:dyDescent="0.25">
      <c r="B3" s="19"/>
      <c r="C3" s="20" t="s">
        <v>12</v>
      </c>
      <c r="D3" s="4"/>
      <c r="E3" s="5"/>
      <c r="G3" s="25"/>
      <c r="H3" s="26" t="s">
        <v>55</v>
      </c>
      <c r="I3" s="7"/>
      <c r="K3" s="25"/>
      <c r="L3" s="31" t="s">
        <v>56</v>
      </c>
      <c r="M3" s="7"/>
    </row>
    <row r="4" spans="2:13" x14ac:dyDescent="0.2">
      <c r="B4" s="21" t="str">
        <f>'Ab01'!B4</f>
        <v>Vini</v>
      </c>
      <c r="C4" s="32">
        <v>0</v>
      </c>
      <c r="D4" s="44" t="str">
        <f>'Ab01'!D4</f>
        <v>km/h</v>
      </c>
      <c r="E4" s="5"/>
      <c r="G4" s="27" t="s">
        <v>24</v>
      </c>
      <c r="H4" s="2">
        <f>C5/3.6</f>
        <v>16.666666666666668</v>
      </c>
      <c r="I4" s="5" t="s">
        <v>1</v>
      </c>
      <c r="K4" s="27" t="s">
        <v>65</v>
      </c>
      <c r="L4" s="38">
        <f>H14*C28*C26</f>
        <v>425985173.06052858</v>
      </c>
      <c r="M4" s="9" t="s">
        <v>27</v>
      </c>
    </row>
    <row r="5" spans="2:13" x14ac:dyDescent="0.2">
      <c r="B5" s="22" t="s">
        <v>24</v>
      </c>
      <c r="C5" s="36">
        <v>60</v>
      </c>
      <c r="D5" s="18" t="s">
        <v>0</v>
      </c>
      <c r="E5" s="9"/>
      <c r="G5" s="28" t="s">
        <v>16</v>
      </c>
      <c r="H5" s="8">
        <f>C6+C7</f>
        <v>230</v>
      </c>
      <c r="I5" s="9" t="s">
        <v>6</v>
      </c>
      <c r="K5" s="28" t="s">
        <v>66</v>
      </c>
      <c r="L5" s="1">
        <f>H21*C28*C26</f>
        <v>26.194119337262318</v>
      </c>
      <c r="M5" s="9" t="s">
        <v>47</v>
      </c>
    </row>
    <row r="6" spans="2:13" x14ac:dyDescent="0.2">
      <c r="B6" s="22" t="s">
        <v>5</v>
      </c>
      <c r="C6" s="33">
        <v>80</v>
      </c>
      <c r="D6" s="18" t="s">
        <v>6</v>
      </c>
      <c r="E6" s="9"/>
      <c r="G6" s="28" t="s">
        <v>13</v>
      </c>
      <c r="H6" s="1">
        <f>C8*H4^2</f>
        <v>111.11111111111114</v>
      </c>
      <c r="I6" s="9" t="s">
        <v>14</v>
      </c>
      <c r="K6" s="28" t="s">
        <v>67</v>
      </c>
      <c r="L6" s="10">
        <f>H21</f>
        <v>0.62366950803005516</v>
      </c>
      <c r="M6" s="9" t="s">
        <v>70</v>
      </c>
    </row>
    <row r="7" spans="2:13" x14ac:dyDescent="0.2">
      <c r="B7" s="22" t="s">
        <v>7</v>
      </c>
      <c r="C7" s="33">
        <v>150</v>
      </c>
      <c r="D7" s="18" t="s">
        <v>6</v>
      </c>
      <c r="E7" s="9"/>
      <c r="G7" s="28" t="s">
        <v>15</v>
      </c>
      <c r="H7" s="1">
        <f>H5*C31*C9</f>
        <v>67.730400000000003</v>
      </c>
      <c r="I7" s="9" t="s">
        <v>14</v>
      </c>
      <c r="K7" s="28" t="s">
        <v>71</v>
      </c>
      <c r="L7" s="10">
        <f>L6/C11*1000</f>
        <v>0.10394491800500918</v>
      </c>
      <c r="M7" s="9" t="s">
        <v>72</v>
      </c>
    </row>
    <row r="8" spans="2:13" x14ac:dyDescent="0.2">
      <c r="B8" s="22" t="s">
        <v>2</v>
      </c>
      <c r="C8" s="33">
        <v>0.4</v>
      </c>
      <c r="D8" s="18" t="s">
        <v>3</v>
      </c>
      <c r="E8" s="9"/>
      <c r="G8" s="28" t="s">
        <v>19</v>
      </c>
      <c r="H8" s="1">
        <f>H5*C31*C12</f>
        <v>45.153600000000004</v>
      </c>
      <c r="I8" s="9" t="s">
        <v>14</v>
      </c>
      <c r="K8" s="29" t="s">
        <v>58</v>
      </c>
      <c r="L8" s="1">
        <f>((1+C23)^C24-1)/(C23*(1+C23)^C24)</f>
        <v>44.955038406224034</v>
      </c>
      <c r="M8" s="9" t="s">
        <v>59</v>
      </c>
    </row>
    <row r="9" spans="2:13" x14ac:dyDescent="0.2">
      <c r="B9" s="22" t="s">
        <v>4</v>
      </c>
      <c r="C9" s="33">
        <v>0.03</v>
      </c>
      <c r="D9" s="18"/>
      <c r="E9" s="9"/>
      <c r="G9" s="28" t="s">
        <v>20</v>
      </c>
      <c r="H9" s="1">
        <f>SUM(H6:H8)</f>
        <v>223.99511111111116</v>
      </c>
      <c r="I9" s="9" t="s">
        <v>14</v>
      </c>
      <c r="K9" s="28" t="s">
        <v>39</v>
      </c>
      <c r="L9" s="11">
        <f>C21/L8</f>
        <v>222.4444768490176</v>
      </c>
      <c r="M9" s="9" t="str">
        <f>'Ab01'!M9</f>
        <v>R$ (mensal)</v>
      </c>
    </row>
    <row r="10" spans="2:13" x14ac:dyDescent="0.2">
      <c r="B10" s="22" t="str">
        <f>'Ab01'!B10</f>
        <v>n_acel</v>
      </c>
      <c r="C10" s="33">
        <v>20</v>
      </c>
      <c r="D10" s="18"/>
      <c r="E10" s="9"/>
      <c r="G10" s="28" t="s">
        <v>21</v>
      </c>
      <c r="H10" s="1">
        <f>H9*H4</f>
        <v>3733.2518518518527</v>
      </c>
      <c r="I10" s="9" t="s">
        <v>22</v>
      </c>
      <c r="K10" s="28" t="s">
        <v>44</v>
      </c>
      <c r="L10" s="11">
        <f>C22/((C23+1)^C24)/L8</f>
        <v>73.466686109410574</v>
      </c>
      <c r="M10" s="9" t="str">
        <f>'Ab01'!M10</f>
        <v>R$ (mensal)</v>
      </c>
    </row>
    <row r="11" spans="2:13" x14ac:dyDescent="0.2">
      <c r="B11" s="22" t="s">
        <v>9</v>
      </c>
      <c r="C11" s="33">
        <v>6000</v>
      </c>
      <c r="D11" s="18" t="s">
        <v>8</v>
      </c>
      <c r="E11" s="9"/>
      <c r="G11" s="28" t="s">
        <v>21</v>
      </c>
      <c r="H11" s="1">
        <f>H10/1000/0.735</f>
        <v>5.079254220206602</v>
      </c>
      <c r="I11" s="9" t="s">
        <v>23</v>
      </c>
      <c r="K11" s="28" t="s">
        <v>61</v>
      </c>
      <c r="L11" s="11">
        <f>H19*C28*C26</f>
        <v>62.986888646347495</v>
      </c>
      <c r="M11" s="9" t="str">
        <f>'Ab01'!M11</f>
        <v>R$ (mensal)</v>
      </c>
    </row>
    <row r="12" spans="2:13" ht="12.75" thickBot="1" x14ac:dyDescent="0.25">
      <c r="B12" s="23" t="s">
        <v>10</v>
      </c>
      <c r="C12" s="34">
        <v>0.02</v>
      </c>
      <c r="D12" s="45" t="s">
        <v>11</v>
      </c>
      <c r="E12" s="13"/>
      <c r="G12" s="28" t="s">
        <v>25</v>
      </c>
      <c r="H12" s="1">
        <f>C11/H4</f>
        <v>360</v>
      </c>
      <c r="I12" s="9" t="s">
        <v>26</v>
      </c>
      <c r="K12" s="28" t="s">
        <v>62</v>
      </c>
      <c r="L12" s="11">
        <f>H18*C28*C26</f>
        <v>37.5</v>
      </c>
      <c r="M12" s="9" t="str">
        <f>'Ab01'!M12</f>
        <v>R$ (mensal)</v>
      </c>
    </row>
    <row r="13" spans="2:13" x14ac:dyDescent="0.2">
      <c r="B13" s="21" t="s">
        <v>30</v>
      </c>
      <c r="C13" s="32">
        <v>0.23</v>
      </c>
      <c r="D13" s="44"/>
      <c r="E13" s="5"/>
      <c r="G13" s="28" t="s">
        <v>28</v>
      </c>
      <c r="H13" s="1">
        <f>H12*H10+C10*1/2*H5*((C5/3.6)^2-(C4/3.6)^2)</f>
        <v>1982859.555555556</v>
      </c>
      <c r="I13" s="9" t="s">
        <v>27</v>
      </c>
      <c r="K13" s="28" t="s">
        <v>60</v>
      </c>
      <c r="L13" s="11">
        <f>L9-L10+L11+L12</f>
        <v>249.46467938595453</v>
      </c>
      <c r="M13" s="9" t="str">
        <f>'Ab01'!M13</f>
        <v>R$ (mensal)</v>
      </c>
    </row>
    <row r="14" spans="2:13" x14ac:dyDescent="0.2">
      <c r="B14" s="22" t="s">
        <v>31</v>
      </c>
      <c r="C14" s="33">
        <v>0.85</v>
      </c>
      <c r="D14" s="18"/>
      <c r="E14" s="9"/>
      <c r="G14" s="28" t="s">
        <v>29</v>
      </c>
      <c r="H14" s="1">
        <f>H13/C13/C14</f>
        <v>10142504.120488776</v>
      </c>
      <c r="I14" s="9" t="s">
        <v>27</v>
      </c>
      <c r="K14" s="28" t="s">
        <v>63</v>
      </c>
      <c r="L14" s="11">
        <f>L13/C26/C28</f>
        <v>5.9396352234751078</v>
      </c>
      <c r="M14" s="9" t="s">
        <v>68</v>
      </c>
    </row>
    <row r="15" spans="2:13" ht="12.75" thickBot="1" x14ac:dyDescent="0.25">
      <c r="B15" s="22" t="s">
        <v>35</v>
      </c>
      <c r="C15" s="33">
        <v>28000000</v>
      </c>
      <c r="D15" s="18" t="s">
        <v>73</v>
      </c>
      <c r="E15" s="9"/>
      <c r="G15" s="28" t="s">
        <v>32</v>
      </c>
      <c r="H15" s="10">
        <f>H14/C15</f>
        <v>0.36223229001745627</v>
      </c>
      <c r="I15" s="9" t="s">
        <v>6</v>
      </c>
      <c r="K15" s="30" t="s">
        <v>64</v>
      </c>
      <c r="L15" s="14">
        <f>L13/C26/C28/C11*1000</f>
        <v>0.989939203912518</v>
      </c>
      <c r="M15" s="13" t="s">
        <v>69</v>
      </c>
    </row>
    <row r="16" spans="2:13" x14ac:dyDescent="0.2">
      <c r="B16" s="22" t="s">
        <v>34</v>
      </c>
      <c r="C16" s="33">
        <v>0.78500000000000003</v>
      </c>
      <c r="D16" s="18" t="s">
        <v>96</v>
      </c>
      <c r="E16" s="9"/>
      <c r="G16" s="28" t="s">
        <v>33</v>
      </c>
      <c r="H16" s="10">
        <f>H15/C16</f>
        <v>0.46144240766554939</v>
      </c>
      <c r="I16" s="9" t="s">
        <v>36</v>
      </c>
    </row>
    <row r="17" spans="2:12" x14ac:dyDescent="0.2">
      <c r="B17" s="22" t="s">
        <v>107</v>
      </c>
      <c r="C17" s="33">
        <v>2.5</v>
      </c>
      <c r="D17" s="18" t="s">
        <v>37</v>
      </c>
      <c r="E17" s="9"/>
      <c r="G17" s="28" t="s">
        <v>75</v>
      </c>
      <c r="H17" s="10">
        <f>C11/1000/H16</f>
        <v>13.002706080600991</v>
      </c>
      <c r="I17" s="9" t="s">
        <v>74</v>
      </c>
    </row>
    <row r="18" spans="2:12" x14ac:dyDescent="0.2">
      <c r="B18" s="22" t="s">
        <v>41</v>
      </c>
      <c r="C18" s="33">
        <v>2</v>
      </c>
      <c r="D18" s="18"/>
      <c r="E18" s="9"/>
      <c r="G18" s="28" t="s">
        <v>104</v>
      </c>
      <c r="H18" s="10">
        <f>H12/60/60*C25/C26/C27</f>
        <v>0.8928571428571429</v>
      </c>
      <c r="I18" s="9" t="s">
        <v>38</v>
      </c>
      <c r="L18" s="40"/>
    </row>
    <row r="19" spans="2:12" x14ac:dyDescent="0.2">
      <c r="B19" s="22" t="s">
        <v>42</v>
      </c>
      <c r="C19" s="33">
        <v>6</v>
      </c>
      <c r="D19" s="18"/>
      <c r="E19" s="9"/>
      <c r="G19" s="28" t="s">
        <v>106</v>
      </c>
      <c r="H19" s="10">
        <f>H16*C17*C29</f>
        <v>1.4996878249130356</v>
      </c>
      <c r="I19" s="9" t="s">
        <v>38</v>
      </c>
      <c r="L19" s="40"/>
    </row>
    <row r="20" spans="2:12" ht="12.75" thickBot="1" x14ac:dyDescent="0.25">
      <c r="B20" s="23" t="s">
        <v>43</v>
      </c>
      <c r="C20" s="34">
        <v>1</v>
      </c>
      <c r="D20" s="45"/>
      <c r="E20" s="13"/>
      <c r="G20" s="29" t="s">
        <v>119</v>
      </c>
      <c r="H20" s="10">
        <f>C18*(12+2*16)/(C18*12+C19*1+C20*16)*C30</f>
        <v>1.7217391304347827</v>
      </c>
      <c r="I20" s="9" t="s">
        <v>40</v>
      </c>
      <c r="L20" s="40"/>
    </row>
    <row r="21" spans="2:12" ht="12.75" thickBot="1" x14ac:dyDescent="0.25">
      <c r="B21" s="21" t="s">
        <v>39</v>
      </c>
      <c r="C21" s="32">
        <v>10000</v>
      </c>
      <c r="D21" s="44" t="s">
        <v>38</v>
      </c>
      <c r="E21" s="5"/>
      <c r="G21" s="30" t="s">
        <v>120</v>
      </c>
      <c r="H21" s="15">
        <f>H15*H20</f>
        <v>0.62366950803005516</v>
      </c>
      <c r="I21" s="13" t="s">
        <v>47</v>
      </c>
      <c r="L21" s="40"/>
    </row>
    <row r="22" spans="2:12" x14ac:dyDescent="0.2">
      <c r="B22" s="22" t="s">
        <v>44</v>
      </c>
      <c r="C22" s="33">
        <v>6000</v>
      </c>
      <c r="D22" s="18" t="s">
        <v>38</v>
      </c>
      <c r="E22" s="9"/>
      <c r="H22" s="16"/>
      <c r="L22" s="40"/>
    </row>
    <row r="23" spans="2:12" x14ac:dyDescent="0.2">
      <c r="B23" s="22" t="s">
        <v>53</v>
      </c>
      <c r="C23" s="33">
        <v>0.01</v>
      </c>
      <c r="D23" s="18" t="s">
        <v>46</v>
      </c>
      <c r="E23" s="9"/>
      <c r="H23" s="18"/>
      <c r="L23" s="40"/>
    </row>
    <row r="24" spans="2:12" x14ac:dyDescent="0.2">
      <c r="B24" s="22" t="s">
        <v>45</v>
      </c>
      <c r="C24" s="33">
        <v>60</v>
      </c>
      <c r="D24" s="18" t="s">
        <v>45</v>
      </c>
      <c r="E24" s="9"/>
      <c r="H24" s="18"/>
    </row>
    <row r="25" spans="2:12" x14ac:dyDescent="0.2">
      <c r="B25" s="22" t="s">
        <v>52</v>
      </c>
      <c r="C25" s="35">
        <v>1500</v>
      </c>
      <c r="D25" s="18" t="s">
        <v>48</v>
      </c>
      <c r="E25" s="9"/>
      <c r="L25" s="40"/>
    </row>
    <row r="26" spans="2:12" x14ac:dyDescent="0.2">
      <c r="B26" s="22" t="s">
        <v>49</v>
      </c>
      <c r="C26" s="33">
        <v>21</v>
      </c>
      <c r="D26" s="18" t="s">
        <v>49</v>
      </c>
      <c r="E26" s="9"/>
    </row>
    <row r="27" spans="2:12" x14ac:dyDescent="0.2">
      <c r="B27" s="22" t="s">
        <v>50</v>
      </c>
      <c r="C27" s="33">
        <v>8</v>
      </c>
      <c r="D27" s="18" t="s">
        <v>50</v>
      </c>
      <c r="E27" s="9"/>
    </row>
    <row r="28" spans="2:12" ht="12.75" thickBot="1" x14ac:dyDescent="0.25">
      <c r="B28" s="22" t="s">
        <v>54</v>
      </c>
      <c r="C28" s="34">
        <v>2</v>
      </c>
      <c r="D28" s="18" t="s">
        <v>51</v>
      </c>
      <c r="E28" s="9"/>
    </row>
    <row r="29" spans="2:12" x14ac:dyDescent="0.2">
      <c r="B29" s="21" t="str">
        <f>'Ab01'!B29</f>
        <v>f_tax</v>
      </c>
      <c r="C29" s="36">
        <v>1.3</v>
      </c>
      <c r="D29" s="44"/>
      <c r="E29" s="5"/>
    </row>
    <row r="30" spans="2:12" ht="12.75" thickBot="1" x14ac:dyDescent="0.25">
      <c r="B30" s="23" t="str">
        <f>'Ab01'!B30</f>
        <v>f_em</v>
      </c>
      <c r="C30" s="34">
        <v>0.9</v>
      </c>
      <c r="D30" s="45"/>
      <c r="E30" s="13"/>
    </row>
    <row r="31" spans="2:12" ht="12.75" thickBot="1" x14ac:dyDescent="0.25">
      <c r="B31" s="23" t="s">
        <v>17</v>
      </c>
      <c r="C31" s="46">
        <f>'Ab01'!C31</f>
        <v>9.8160000000000007</v>
      </c>
      <c r="D31" s="45" t="s">
        <v>18</v>
      </c>
      <c r="E31" s="13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zoomScaleNormal="100" workbookViewId="0">
      <selection activeCell="B1" sqref="B1:F1"/>
    </sheetView>
  </sheetViews>
  <sheetFormatPr defaultRowHeight="12" x14ac:dyDescent="0.2"/>
  <cols>
    <col min="1" max="1" width="9.140625" style="3"/>
    <col min="2" max="2" width="20.28515625" style="3" customWidth="1"/>
    <col min="3" max="3" width="15.42578125" style="3" customWidth="1"/>
    <col min="4" max="4" width="9.5703125" style="3" bestFit="1" customWidth="1"/>
    <col min="5" max="5" width="9.140625" style="3"/>
    <col min="6" max="6" width="4.140625" style="3" customWidth="1"/>
    <col min="7" max="7" width="15.7109375" style="3" bestFit="1" customWidth="1"/>
    <col min="8" max="8" width="18.140625" style="3" customWidth="1"/>
    <col min="9" max="9" width="14.28515625" style="3" customWidth="1"/>
    <col min="10" max="10" width="4.140625" style="3" customWidth="1"/>
    <col min="11" max="11" width="22.5703125" style="3" customWidth="1"/>
    <col min="12" max="12" width="18.42578125" style="3" customWidth="1"/>
    <col min="13" max="13" width="15" style="3" customWidth="1"/>
    <col min="14" max="16384" width="9.140625" style="3"/>
  </cols>
  <sheetData>
    <row r="1" spans="2:13" x14ac:dyDescent="0.2">
      <c r="B1" s="3" t="s">
        <v>134</v>
      </c>
    </row>
    <row r="2" spans="2:13" ht="12.75" thickBot="1" x14ac:dyDescent="0.25"/>
    <row r="3" spans="2:13" ht="12.75" thickBot="1" x14ac:dyDescent="0.25">
      <c r="B3" s="25"/>
      <c r="C3" s="26" t="s">
        <v>12</v>
      </c>
      <c r="D3" s="6"/>
      <c r="E3" s="7"/>
      <c r="G3" s="19"/>
      <c r="H3" s="20" t="s">
        <v>55</v>
      </c>
      <c r="I3" s="5"/>
      <c r="K3" s="25"/>
      <c r="L3" s="31" t="s">
        <v>56</v>
      </c>
      <c r="M3" s="7"/>
    </row>
    <row r="4" spans="2:13" x14ac:dyDescent="0.2">
      <c r="B4" s="21" t="str">
        <f>'Ab01'!B4</f>
        <v>Vini</v>
      </c>
      <c r="C4" s="17">
        <f>'Ab01'!C4</f>
        <v>0</v>
      </c>
      <c r="D4" s="4" t="str">
        <f>'Ab01'!D4</f>
        <v>km/h</v>
      </c>
      <c r="E4" s="5"/>
      <c r="G4" s="27" t="s">
        <v>24</v>
      </c>
      <c r="H4" s="2">
        <f>C5/3.6</f>
        <v>11.111111111111111</v>
      </c>
      <c r="I4" s="5" t="s">
        <v>1</v>
      </c>
      <c r="K4" s="27" t="s">
        <v>65</v>
      </c>
      <c r="L4" s="1">
        <f>H14*C28*C26</f>
        <v>15.236765692007801</v>
      </c>
      <c r="M4" s="9" t="s">
        <v>76</v>
      </c>
    </row>
    <row r="5" spans="2:13" x14ac:dyDescent="0.2">
      <c r="B5" s="22" t="str">
        <f>'Ab01'!B5</f>
        <v>Vcruz</v>
      </c>
      <c r="C5" s="33">
        <v>40</v>
      </c>
      <c r="D5" s="3" t="s">
        <v>0</v>
      </c>
      <c r="E5" s="9"/>
      <c r="G5" s="28" t="s">
        <v>16</v>
      </c>
      <c r="H5" s="8">
        <f>C6+C7</f>
        <v>180</v>
      </c>
      <c r="I5" s="9" t="s">
        <v>6</v>
      </c>
      <c r="K5" s="28" t="s">
        <v>66</v>
      </c>
      <c r="L5" s="1">
        <f>H21*C28*C26</f>
        <v>4.5710297076023396</v>
      </c>
      <c r="M5" s="9" t="s">
        <v>47</v>
      </c>
    </row>
    <row r="6" spans="2:13" x14ac:dyDescent="0.2">
      <c r="B6" s="22" t="s">
        <v>5</v>
      </c>
      <c r="C6" s="41">
        <f>'Ab01'!C6</f>
        <v>80</v>
      </c>
      <c r="D6" s="3" t="s">
        <v>6</v>
      </c>
      <c r="E6" s="9"/>
      <c r="G6" s="28" t="s">
        <v>13</v>
      </c>
      <c r="H6" s="1">
        <f>C8*H4^2</f>
        <v>37.037037037037031</v>
      </c>
      <c r="I6" s="9" t="s">
        <v>14</v>
      </c>
      <c r="K6" s="28" t="s">
        <v>67</v>
      </c>
      <c r="L6" s="10">
        <f>H21</f>
        <v>0.10883404065719857</v>
      </c>
      <c r="M6" s="9" t="s">
        <v>70</v>
      </c>
    </row>
    <row r="7" spans="2:13" x14ac:dyDescent="0.2">
      <c r="B7" s="22" t="s">
        <v>7</v>
      </c>
      <c r="C7" s="33">
        <v>100</v>
      </c>
      <c r="D7" s="3" t="s">
        <v>6</v>
      </c>
      <c r="E7" s="9"/>
      <c r="G7" s="28" t="s">
        <v>15</v>
      </c>
      <c r="H7" s="1">
        <f>H5*C31*C9</f>
        <v>35.337600000000002</v>
      </c>
      <c r="I7" s="9" t="s">
        <v>14</v>
      </c>
      <c r="K7" s="28" t="s">
        <v>71</v>
      </c>
      <c r="L7" s="10">
        <f>L6/C11*1000</f>
        <v>1.813900677619976E-2</v>
      </c>
      <c r="M7" s="9" t="s">
        <v>72</v>
      </c>
    </row>
    <row r="8" spans="2:13" x14ac:dyDescent="0.2">
      <c r="B8" s="22" t="s">
        <v>2</v>
      </c>
      <c r="C8" s="33">
        <v>0.3</v>
      </c>
      <c r="D8" s="3" t="s">
        <v>3</v>
      </c>
      <c r="E8" s="9"/>
      <c r="G8" s="28" t="s">
        <v>19</v>
      </c>
      <c r="H8" s="1">
        <f>H5*C31*C12</f>
        <v>35.337600000000002</v>
      </c>
      <c r="I8" s="9" t="s">
        <v>14</v>
      </c>
      <c r="K8" s="29" t="s">
        <v>58</v>
      </c>
      <c r="L8" s="1">
        <f>((1+C23)^C24-1)/(C23*(1+C23)^C24)</f>
        <v>44.955038406224034</v>
      </c>
      <c r="M8" s="9" t="s">
        <v>59</v>
      </c>
    </row>
    <row r="9" spans="2:13" x14ac:dyDescent="0.2">
      <c r="B9" s="22" t="s">
        <v>4</v>
      </c>
      <c r="C9" s="33">
        <v>0.02</v>
      </c>
      <c r="E9" s="9"/>
      <c r="G9" s="28" t="s">
        <v>20</v>
      </c>
      <c r="H9" s="1">
        <f>SUM(H6:H8)</f>
        <v>107.71223703703703</v>
      </c>
      <c r="I9" s="9" t="s">
        <v>14</v>
      </c>
      <c r="K9" s="28" t="s">
        <v>39</v>
      </c>
      <c r="L9" s="11">
        <f>C21/L8</f>
        <v>444.88895369803521</v>
      </c>
      <c r="M9" s="9" t="str">
        <f>'Ab01'!M9</f>
        <v>R$ (mensal)</v>
      </c>
    </row>
    <row r="10" spans="2:13" x14ac:dyDescent="0.2">
      <c r="B10" s="22" t="str">
        <f>'Ab01'!B10</f>
        <v>n_acel</v>
      </c>
      <c r="C10" s="41">
        <f>'Ab01'!C10</f>
        <v>20</v>
      </c>
      <c r="E10" s="9"/>
      <c r="G10" s="28" t="s">
        <v>21</v>
      </c>
      <c r="H10" s="1">
        <f>H9*H4</f>
        <v>1196.8026337448557</v>
      </c>
      <c r="I10" s="9" t="s">
        <v>22</v>
      </c>
      <c r="K10" s="28" t="s">
        <v>44</v>
      </c>
      <c r="L10" s="11">
        <f>C22/((C23+1)^C24)/L8</f>
        <v>122.44447684901763</v>
      </c>
      <c r="M10" s="9" t="str">
        <f>'Ab01'!M10</f>
        <v>R$ (mensal)</v>
      </c>
    </row>
    <row r="11" spans="2:13" x14ac:dyDescent="0.2">
      <c r="B11" s="22" t="s">
        <v>9</v>
      </c>
      <c r="C11" s="41">
        <f>'Ab01'!C11</f>
        <v>6000</v>
      </c>
      <c r="D11" s="3" t="s">
        <v>8</v>
      </c>
      <c r="E11" s="9"/>
      <c r="G11" s="28" t="s">
        <v>21</v>
      </c>
      <c r="H11" s="1">
        <f>H10/1000/0.735</f>
        <v>1.6283029030542253</v>
      </c>
      <c r="I11" s="9" t="s">
        <v>23</v>
      </c>
      <c r="K11" s="28" t="s">
        <v>61</v>
      </c>
      <c r="L11" s="11">
        <f>H19*C28*C26</f>
        <v>11.884677239766084</v>
      </c>
      <c r="M11" s="9" t="str">
        <f>'Ab01'!M11</f>
        <v>R$ (mensal)</v>
      </c>
    </row>
    <row r="12" spans="2:13" ht="12.75" thickBot="1" x14ac:dyDescent="0.25">
      <c r="B12" s="22" t="s">
        <v>10</v>
      </c>
      <c r="C12" s="43">
        <f>'Ab01'!C12</f>
        <v>0.02</v>
      </c>
      <c r="D12" s="3" t="s">
        <v>11</v>
      </c>
      <c r="E12" s="9"/>
      <c r="G12" s="28" t="s">
        <v>25</v>
      </c>
      <c r="H12" s="1">
        <f>C11/H4</f>
        <v>540</v>
      </c>
      <c r="I12" s="9" t="s">
        <v>26</v>
      </c>
      <c r="K12" s="28" t="s">
        <v>62</v>
      </c>
      <c r="L12" s="11">
        <f>H18*C28*C26</f>
        <v>56.249999999999993</v>
      </c>
      <c r="M12" s="9" t="str">
        <f>'Ab01'!M12</f>
        <v>R$ (mensal)</v>
      </c>
    </row>
    <row r="13" spans="2:13" x14ac:dyDescent="0.2">
      <c r="B13" s="21" t="s">
        <v>30</v>
      </c>
      <c r="C13" s="32">
        <v>0.7</v>
      </c>
      <c r="D13" s="4"/>
      <c r="E13" s="5"/>
      <c r="G13" s="28" t="s">
        <v>28</v>
      </c>
      <c r="H13" s="1">
        <f>H12*H10+C10*1/2*H5*((C5/3.6)^2-(C4/3.6)^2)</f>
        <v>868495.64444444433</v>
      </c>
      <c r="I13" s="9" t="s">
        <v>27</v>
      </c>
      <c r="K13" s="28" t="s">
        <v>60</v>
      </c>
      <c r="L13" s="11">
        <f>L9-L10+L11+L12</f>
        <v>390.57915408878364</v>
      </c>
      <c r="M13" s="9" t="str">
        <f>'Ab01'!M13</f>
        <v>R$ (mensal)</v>
      </c>
    </row>
    <row r="14" spans="2:13" x14ac:dyDescent="0.2">
      <c r="B14" s="22" t="s">
        <v>31</v>
      </c>
      <c r="C14" s="33">
        <v>0.95</v>
      </c>
      <c r="E14" s="9"/>
      <c r="G14" s="28" t="s">
        <v>29</v>
      </c>
      <c r="H14" s="1">
        <f>H13/C13/C14/3600/1000</f>
        <v>0.36278013552399524</v>
      </c>
      <c r="I14" s="9" t="s">
        <v>76</v>
      </c>
      <c r="K14" s="28" t="s">
        <v>63</v>
      </c>
      <c r="L14" s="11">
        <f>L13/C26/C28</f>
        <v>9.299503668780563</v>
      </c>
      <c r="M14" s="9" t="s">
        <v>68</v>
      </c>
    </row>
    <row r="15" spans="2:13" ht="12.75" thickBot="1" x14ac:dyDescent="0.25">
      <c r="B15" s="97"/>
      <c r="C15" s="96"/>
      <c r="E15" s="9"/>
      <c r="G15" s="28" t="s">
        <v>32</v>
      </c>
      <c r="H15" s="10">
        <f>H14*1000*3600/C18</f>
        <v>3.0372290415962389E-2</v>
      </c>
      <c r="I15" s="9" t="s">
        <v>78</v>
      </c>
      <c r="K15" s="30" t="s">
        <v>64</v>
      </c>
      <c r="L15" s="14">
        <f>L13/C26/C28/C11*1000</f>
        <v>1.5499172781300938</v>
      </c>
      <c r="M15" s="13" t="s">
        <v>69</v>
      </c>
    </row>
    <row r="16" spans="2:13" x14ac:dyDescent="0.2">
      <c r="B16" s="97"/>
      <c r="C16" s="96"/>
      <c r="E16" s="9"/>
      <c r="G16" s="28" t="s">
        <v>33</v>
      </c>
      <c r="H16" s="10">
        <f>H15/C19</f>
        <v>4.076817505498307E-2</v>
      </c>
      <c r="I16" s="9" t="s">
        <v>79</v>
      </c>
    </row>
    <row r="17" spans="2:9" x14ac:dyDescent="0.2">
      <c r="B17" s="22" t="s">
        <v>108</v>
      </c>
      <c r="C17" s="33">
        <v>0.6</v>
      </c>
      <c r="D17" s="3" t="s">
        <v>77</v>
      </c>
      <c r="E17" s="9"/>
      <c r="G17" s="28" t="s">
        <v>75</v>
      </c>
      <c r="H17" s="10">
        <f>C11/1000/H16</f>
        <v>147.17362236371736</v>
      </c>
      <c r="I17" s="9" t="s">
        <v>80</v>
      </c>
    </row>
    <row r="18" spans="2:9" x14ac:dyDescent="0.2">
      <c r="B18" s="22" t="s">
        <v>125</v>
      </c>
      <c r="C18" s="33">
        <v>43000000</v>
      </c>
      <c r="D18" s="3" t="s">
        <v>73</v>
      </c>
      <c r="E18" s="9"/>
      <c r="G18" s="28" t="s">
        <v>104</v>
      </c>
      <c r="H18" s="10">
        <f>H12/60/60*C25/C26/C27</f>
        <v>1.3392857142857142</v>
      </c>
      <c r="I18" s="9" t="s">
        <v>38</v>
      </c>
    </row>
    <row r="19" spans="2:9" x14ac:dyDescent="0.2">
      <c r="B19" s="22" t="s">
        <v>126</v>
      </c>
      <c r="C19" s="95">
        <v>0.745</v>
      </c>
      <c r="D19" s="3" t="s">
        <v>96</v>
      </c>
      <c r="E19" s="9"/>
      <c r="G19" s="28" t="s">
        <v>106</v>
      </c>
      <c r="H19" s="10">
        <f>H14*C17*C29</f>
        <v>0.28296850570871629</v>
      </c>
      <c r="I19" s="9" t="s">
        <v>38</v>
      </c>
    </row>
    <row r="20" spans="2:9" ht="12.75" thickBot="1" x14ac:dyDescent="0.25">
      <c r="B20" s="23"/>
      <c r="C20" s="42"/>
      <c r="D20" s="12"/>
      <c r="E20" s="13"/>
      <c r="G20" s="29" t="s">
        <v>124</v>
      </c>
      <c r="H20" s="10">
        <f>C30</f>
        <v>0.3</v>
      </c>
      <c r="I20" s="9" t="s">
        <v>81</v>
      </c>
    </row>
    <row r="21" spans="2:9" ht="12.75" thickBot="1" x14ac:dyDescent="0.25">
      <c r="B21" s="22" t="s">
        <v>39</v>
      </c>
      <c r="C21" s="36">
        <v>20000</v>
      </c>
      <c r="D21" s="3" t="s">
        <v>38</v>
      </c>
      <c r="E21" s="9"/>
      <c r="G21" s="30" t="s">
        <v>120</v>
      </c>
      <c r="H21" s="15">
        <f>H14*H20</f>
        <v>0.10883404065719857</v>
      </c>
      <c r="I21" s="13" t="s">
        <v>47</v>
      </c>
    </row>
    <row r="22" spans="2:9" x14ac:dyDescent="0.2">
      <c r="B22" s="22" t="s">
        <v>44</v>
      </c>
      <c r="C22" s="33">
        <v>10000</v>
      </c>
      <c r="D22" s="3" t="s">
        <v>38</v>
      </c>
      <c r="E22" s="9"/>
      <c r="H22" s="16"/>
    </row>
    <row r="23" spans="2:9" x14ac:dyDescent="0.2">
      <c r="B23" s="22" t="s">
        <v>53</v>
      </c>
      <c r="C23" s="41">
        <f>'Ab01'!C23</f>
        <v>0.01</v>
      </c>
      <c r="D23" s="3" t="s">
        <v>46</v>
      </c>
      <c r="E23" s="9"/>
      <c r="H23" s="16"/>
    </row>
    <row r="24" spans="2:9" x14ac:dyDescent="0.2">
      <c r="B24" s="22" t="s">
        <v>45</v>
      </c>
      <c r="C24" s="41">
        <f>'Ab01'!C24</f>
        <v>60</v>
      </c>
      <c r="D24" s="3" t="s">
        <v>45</v>
      </c>
      <c r="E24" s="9"/>
      <c r="H24" s="18"/>
    </row>
    <row r="25" spans="2:9" x14ac:dyDescent="0.2">
      <c r="B25" s="22" t="s">
        <v>52</v>
      </c>
      <c r="C25" s="41">
        <f>'Ab01'!C25</f>
        <v>1500</v>
      </c>
      <c r="D25" s="3" t="s">
        <v>48</v>
      </c>
      <c r="E25" s="9"/>
    </row>
    <row r="26" spans="2:9" x14ac:dyDescent="0.2">
      <c r="B26" s="22" t="s">
        <v>49</v>
      </c>
      <c r="C26" s="41">
        <f>'Ab01'!C26</f>
        <v>21</v>
      </c>
      <c r="D26" s="3" t="s">
        <v>49</v>
      </c>
      <c r="E26" s="9"/>
    </row>
    <row r="27" spans="2:9" x14ac:dyDescent="0.2">
      <c r="B27" s="22" t="s">
        <v>50</v>
      </c>
      <c r="C27" s="41">
        <f>'Ab01'!C27</f>
        <v>8</v>
      </c>
      <c r="D27" s="3" t="s">
        <v>50</v>
      </c>
      <c r="E27" s="9"/>
    </row>
    <row r="28" spans="2:9" ht="12.75" thickBot="1" x14ac:dyDescent="0.25">
      <c r="B28" s="22" t="s">
        <v>54</v>
      </c>
      <c r="C28" s="43">
        <f>'Ab01'!C28</f>
        <v>2</v>
      </c>
      <c r="D28" s="3" t="s">
        <v>51</v>
      </c>
      <c r="E28" s="9"/>
    </row>
    <row r="29" spans="2:9" x14ac:dyDescent="0.2">
      <c r="B29" s="21" t="str">
        <f>'Ab01'!B29</f>
        <v>f_tax</v>
      </c>
      <c r="C29" s="17">
        <f>'Ab01'!C29</f>
        <v>1.3</v>
      </c>
      <c r="D29" s="4"/>
      <c r="E29" s="5"/>
    </row>
    <row r="30" spans="2:9" ht="12.75" thickBot="1" x14ac:dyDescent="0.25">
      <c r="B30" s="23" t="str">
        <f>'Ab01'!B30</f>
        <v>f_em</v>
      </c>
      <c r="C30" s="34">
        <v>0.3</v>
      </c>
      <c r="D30" s="12" t="s">
        <v>81</v>
      </c>
      <c r="E30" s="13"/>
    </row>
    <row r="31" spans="2:9" ht="12.75" thickBot="1" x14ac:dyDescent="0.25">
      <c r="B31" s="23" t="s">
        <v>17</v>
      </c>
      <c r="C31" s="46">
        <f>'Ab01'!C31</f>
        <v>9.8160000000000007</v>
      </c>
      <c r="D31" s="12" t="s">
        <v>18</v>
      </c>
      <c r="E31" s="13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B1" sqref="B1:F1"/>
    </sheetView>
  </sheetViews>
  <sheetFormatPr defaultRowHeight="12" x14ac:dyDescent="0.2"/>
  <cols>
    <col min="1" max="1" width="9.140625" style="3"/>
    <col min="2" max="2" width="20.28515625" style="3" customWidth="1"/>
    <col min="3" max="3" width="15.42578125" style="3" customWidth="1"/>
    <col min="4" max="4" width="9.5703125" style="3" bestFit="1" customWidth="1"/>
    <col min="5" max="5" width="9.140625" style="3"/>
    <col min="6" max="6" width="4.140625" style="3" customWidth="1"/>
    <col min="7" max="7" width="15.7109375" style="3" bestFit="1" customWidth="1"/>
    <col min="8" max="8" width="18.140625" style="3" customWidth="1"/>
    <col min="9" max="9" width="14.28515625" style="3" customWidth="1"/>
    <col min="10" max="10" width="4.140625" style="3" customWidth="1"/>
    <col min="11" max="11" width="22.5703125" style="3" customWidth="1"/>
    <col min="12" max="12" width="18.42578125" style="3" customWidth="1"/>
    <col min="13" max="13" width="15" style="3" customWidth="1"/>
    <col min="14" max="16384" width="9.140625" style="3"/>
  </cols>
  <sheetData>
    <row r="1" spans="2:13" x14ac:dyDescent="0.2">
      <c r="B1" s="3" t="s">
        <v>134</v>
      </c>
    </row>
    <row r="2" spans="2:13" ht="12.75" thickBot="1" x14ac:dyDescent="0.25"/>
    <row r="3" spans="2:13" ht="12.75" thickBot="1" x14ac:dyDescent="0.25">
      <c r="B3" s="21"/>
      <c r="C3" s="20" t="s">
        <v>12</v>
      </c>
      <c r="D3" s="4"/>
      <c r="E3" s="5"/>
      <c r="G3" s="19"/>
      <c r="H3" s="20" t="s">
        <v>55</v>
      </c>
      <c r="I3" s="5"/>
      <c r="K3" s="25"/>
      <c r="L3" s="31" t="s">
        <v>56</v>
      </c>
      <c r="M3" s="7"/>
    </row>
    <row r="4" spans="2:13" x14ac:dyDescent="0.2">
      <c r="B4" s="21" t="str">
        <f>'Ab01'!B4</f>
        <v>Vini</v>
      </c>
      <c r="C4" s="17">
        <f>'Ab01'!C4</f>
        <v>0</v>
      </c>
      <c r="D4" s="4" t="str">
        <f>'Ab01'!D4</f>
        <v>km/h</v>
      </c>
      <c r="E4" s="5"/>
      <c r="G4" s="27" t="s">
        <v>24</v>
      </c>
      <c r="H4" s="2">
        <f>C5/3.6</f>
        <v>5</v>
      </c>
      <c r="I4" s="5" t="s">
        <v>1</v>
      </c>
      <c r="K4" s="27" t="s">
        <v>65</v>
      </c>
      <c r="L4" s="38">
        <f>H14*C28*C26</f>
        <v>16089.016173167645</v>
      </c>
      <c r="M4" s="9" t="s">
        <v>84</v>
      </c>
    </row>
    <row r="5" spans="2:13" x14ac:dyDescent="0.2">
      <c r="B5" s="22" t="s">
        <v>24</v>
      </c>
      <c r="C5" s="33">
        <v>18</v>
      </c>
      <c r="D5" s="3" t="s">
        <v>0</v>
      </c>
      <c r="E5" s="9"/>
      <c r="G5" s="28" t="s">
        <v>16</v>
      </c>
      <c r="H5" s="8">
        <f>C6+C7</f>
        <v>100</v>
      </c>
      <c r="I5" s="9" t="s">
        <v>6</v>
      </c>
      <c r="K5" s="28" t="s">
        <v>66</v>
      </c>
      <c r="L5" s="1">
        <f>H21*C28*C26</f>
        <v>6.033381064937867</v>
      </c>
      <c r="M5" s="9" t="s">
        <v>47</v>
      </c>
    </row>
    <row r="6" spans="2:13" x14ac:dyDescent="0.2">
      <c r="B6" s="22" t="s">
        <v>5</v>
      </c>
      <c r="C6" s="41">
        <f>'Ab01'!C6</f>
        <v>80</v>
      </c>
      <c r="D6" s="3" t="s">
        <v>6</v>
      </c>
      <c r="E6" s="9"/>
      <c r="G6" s="28" t="s">
        <v>13</v>
      </c>
      <c r="H6" s="1">
        <f>C8*H4^2</f>
        <v>11.25</v>
      </c>
      <c r="I6" s="9" t="s">
        <v>14</v>
      </c>
      <c r="K6" s="28" t="s">
        <v>67</v>
      </c>
      <c r="L6" s="10">
        <f>H21</f>
        <v>0.14365193011756827</v>
      </c>
      <c r="M6" s="9" t="s">
        <v>70</v>
      </c>
    </row>
    <row r="7" spans="2:13" x14ac:dyDescent="0.2">
      <c r="B7" s="22" t="s">
        <v>7</v>
      </c>
      <c r="C7" s="33">
        <v>20</v>
      </c>
      <c r="D7" s="3" t="s">
        <v>6</v>
      </c>
      <c r="E7" s="9"/>
      <c r="G7" s="28" t="s">
        <v>15</v>
      </c>
      <c r="H7" s="1">
        <f>H5*C31*C9</f>
        <v>19.632000000000001</v>
      </c>
      <c r="I7" s="9" t="s">
        <v>14</v>
      </c>
      <c r="K7" s="28" t="s">
        <v>71</v>
      </c>
      <c r="L7" s="10">
        <f>L6/C11*1000</f>
        <v>2.3941988352928045E-2</v>
      </c>
      <c r="M7" s="9" t="s">
        <v>72</v>
      </c>
    </row>
    <row r="8" spans="2:13" x14ac:dyDescent="0.2">
      <c r="B8" s="22" t="s">
        <v>2</v>
      </c>
      <c r="C8" s="33">
        <v>0.45</v>
      </c>
      <c r="D8" s="3" t="s">
        <v>3</v>
      </c>
      <c r="E8" s="9"/>
      <c r="G8" s="28" t="s">
        <v>19</v>
      </c>
      <c r="H8" s="1">
        <f>H5*C31*C12</f>
        <v>19.632000000000001</v>
      </c>
      <c r="I8" s="9" t="s">
        <v>14</v>
      </c>
      <c r="K8" s="29" t="s">
        <v>58</v>
      </c>
      <c r="L8" s="1">
        <f>((1+C23)^C24-1)/(C23*(1+C23)^C24)</f>
        <v>44.955038406224034</v>
      </c>
      <c r="M8" s="9" t="s">
        <v>59</v>
      </c>
    </row>
    <row r="9" spans="2:13" x14ac:dyDescent="0.2">
      <c r="B9" s="22" t="s">
        <v>4</v>
      </c>
      <c r="C9" s="33">
        <v>0.02</v>
      </c>
      <c r="E9" s="9"/>
      <c r="G9" s="28" t="s">
        <v>20</v>
      </c>
      <c r="H9" s="1">
        <f>SUM(H6:H8)</f>
        <v>50.514000000000003</v>
      </c>
      <c r="I9" s="9" t="s">
        <v>14</v>
      </c>
      <c r="K9" s="28" t="s">
        <v>39</v>
      </c>
      <c r="L9" s="11">
        <f>C21/L8</f>
        <v>17.795558147921408</v>
      </c>
      <c r="M9" s="9" t="str">
        <f>'Ab01'!M9</f>
        <v>R$ (mensal)</v>
      </c>
    </row>
    <row r="10" spans="2:13" x14ac:dyDescent="0.2">
      <c r="B10" s="22" t="str">
        <f>'Ab01'!B10</f>
        <v>n_acel</v>
      </c>
      <c r="C10" s="41">
        <f>'Ab01'!C10</f>
        <v>20</v>
      </c>
      <c r="E10" s="9"/>
      <c r="G10" s="28" t="s">
        <v>21</v>
      </c>
      <c r="H10" s="1">
        <f>H9*H4</f>
        <v>252.57000000000002</v>
      </c>
      <c r="I10" s="9" t="s">
        <v>22</v>
      </c>
      <c r="K10" s="28" t="s">
        <v>44</v>
      </c>
      <c r="L10" s="11">
        <f>C22/((C23+1)^C24)/L8</f>
        <v>1.2244447684901762</v>
      </c>
      <c r="M10" s="9" t="str">
        <f>'Ab01'!M10</f>
        <v>R$ (mensal)</v>
      </c>
    </row>
    <row r="11" spans="2:13" x14ac:dyDescent="0.2">
      <c r="B11" s="22" t="s">
        <v>9</v>
      </c>
      <c r="C11" s="41">
        <f>'Ab01'!C11</f>
        <v>6000</v>
      </c>
      <c r="D11" s="3" t="s">
        <v>8</v>
      </c>
      <c r="E11" s="9"/>
      <c r="G11" s="28" t="s">
        <v>21</v>
      </c>
      <c r="H11" s="1">
        <f>H10/1000/0.735</f>
        <v>0.34363265306122454</v>
      </c>
      <c r="I11" s="9" t="s">
        <v>23</v>
      </c>
      <c r="K11" s="28" t="s">
        <v>61</v>
      </c>
      <c r="L11" s="11">
        <f>H19*C28*C26</f>
        <v>160.89016173167644</v>
      </c>
      <c r="M11" s="9" t="str">
        <f>'Ab01'!M11</f>
        <v>R$ (mensal)</v>
      </c>
    </row>
    <row r="12" spans="2:13" ht="12.75" thickBot="1" x14ac:dyDescent="0.25">
      <c r="B12" s="23" t="s">
        <v>10</v>
      </c>
      <c r="C12" s="43">
        <f>'Ab01'!C12</f>
        <v>0.02</v>
      </c>
      <c r="D12" s="12" t="s">
        <v>11</v>
      </c>
      <c r="E12" s="13"/>
      <c r="G12" s="28" t="s">
        <v>25</v>
      </c>
      <c r="H12" s="1">
        <f>C11/H4</f>
        <v>1200</v>
      </c>
      <c r="I12" s="9" t="s">
        <v>26</v>
      </c>
      <c r="K12" s="28" t="s">
        <v>62</v>
      </c>
      <c r="L12" s="11">
        <f>H18*C28*C26</f>
        <v>125</v>
      </c>
      <c r="M12" s="9" t="str">
        <f>'Ab01'!M12</f>
        <v>R$ (mensal)</v>
      </c>
    </row>
    <row r="13" spans="2:13" x14ac:dyDescent="0.2">
      <c r="B13" s="21" t="s">
        <v>30</v>
      </c>
      <c r="C13" s="33">
        <v>0.22</v>
      </c>
      <c r="D13" s="4"/>
      <c r="E13" s="5"/>
      <c r="G13" s="28" t="s">
        <v>28</v>
      </c>
      <c r="H13" s="1">
        <f>H12*H10+C10*1/2*H5*((C5/3.6)^2-(C4/3.6)^2)</f>
        <v>328084</v>
      </c>
      <c r="I13" s="9" t="s">
        <v>27</v>
      </c>
      <c r="K13" s="28" t="s">
        <v>60</v>
      </c>
      <c r="L13" s="11">
        <f>L9-L10+L11+L12</f>
        <v>302.46127511110768</v>
      </c>
      <c r="M13" s="9" t="str">
        <f>'Ab01'!M13</f>
        <v>R$ (mensal)</v>
      </c>
    </row>
    <row r="14" spans="2:13" x14ac:dyDescent="0.2">
      <c r="B14" s="22" t="s">
        <v>31</v>
      </c>
      <c r="C14" s="33">
        <v>0.93</v>
      </c>
      <c r="E14" s="9"/>
      <c r="G14" s="28" t="s">
        <v>127</v>
      </c>
      <c r="H14" s="1">
        <f>H13/C13/C14/1000/4.186</f>
        <v>383.07181364684868</v>
      </c>
      <c r="I14" s="9" t="s">
        <v>84</v>
      </c>
      <c r="K14" s="28" t="s">
        <v>63</v>
      </c>
      <c r="L14" s="11">
        <f>L13/C26/C28</f>
        <v>7.20145893121685</v>
      </c>
      <c r="M14" s="9" t="s">
        <v>68</v>
      </c>
    </row>
    <row r="15" spans="2:13" ht="12.75" thickBot="1" x14ac:dyDescent="0.25">
      <c r="B15" s="22" t="s">
        <v>35</v>
      </c>
      <c r="C15" s="33">
        <v>2000000</v>
      </c>
      <c r="D15" s="3" t="s">
        <v>82</v>
      </c>
      <c r="E15" s="9"/>
      <c r="G15" s="28" t="s">
        <v>32</v>
      </c>
      <c r="H15" s="10">
        <f>H14*1000*4.186/C18</f>
        <v>3.7291595626179272E-2</v>
      </c>
      <c r="I15" s="9" t="s">
        <v>78</v>
      </c>
      <c r="K15" s="30" t="s">
        <v>64</v>
      </c>
      <c r="L15" s="14">
        <f>L13/C26/C28/C11*1000</f>
        <v>1.2002431552028083</v>
      </c>
      <c r="M15" s="13" t="s">
        <v>69</v>
      </c>
    </row>
    <row r="16" spans="2:13" x14ac:dyDescent="0.2">
      <c r="B16" s="97"/>
      <c r="C16" s="96"/>
      <c r="E16" s="9"/>
      <c r="G16" s="28" t="s">
        <v>33</v>
      </c>
      <c r="H16" s="10">
        <f>H15/C19</f>
        <v>5.0055833055274189E-2</v>
      </c>
      <c r="I16" s="9" t="s">
        <v>79</v>
      </c>
    </row>
    <row r="17" spans="2:9" x14ac:dyDescent="0.2">
      <c r="B17" s="22" t="s">
        <v>109</v>
      </c>
      <c r="C17" s="33">
        <v>20</v>
      </c>
      <c r="D17" s="3" t="s">
        <v>83</v>
      </c>
      <c r="E17" s="9"/>
      <c r="G17" s="28" t="s">
        <v>75</v>
      </c>
      <c r="H17" s="10">
        <f>C11/1000/H16</f>
        <v>119.8661501322832</v>
      </c>
      <c r="I17" s="9" t="s">
        <v>80</v>
      </c>
    </row>
    <row r="18" spans="2:9" x14ac:dyDescent="0.2">
      <c r="B18" s="22" t="s">
        <v>125</v>
      </c>
      <c r="C18" s="95">
        <v>43000000</v>
      </c>
      <c r="D18" s="3" t="s">
        <v>73</v>
      </c>
      <c r="E18" s="9"/>
      <c r="G18" s="28" t="s">
        <v>104</v>
      </c>
      <c r="H18" s="10">
        <f>H12/60/60*C25/C26/C27</f>
        <v>2.9761904761904763</v>
      </c>
      <c r="I18" s="9" t="s">
        <v>38</v>
      </c>
    </row>
    <row r="19" spans="2:9" x14ac:dyDescent="0.2">
      <c r="B19" s="22" t="s">
        <v>126</v>
      </c>
      <c r="C19" s="95">
        <v>0.745</v>
      </c>
      <c r="D19" s="3" t="s">
        <v>96</v>
      </c>
      <c r="E19" s="9"/>
      <c r="G19" s="28" t="s">
        <v>106</v>
      </c>
      <c r="H19" s="10">
        <f>H14*1000/C15*C17*C29</f>
        <v>3.8307181364684868</v>
      </c>
      <c r="I19" s="9" t="s">
        <v>38</v>
      </c>
    </row>
    <row r="20" spans="2:9" ht="12.75" thickBot="1" x14ac:dyDescent="0.25">
      <c r="B20" s="23"/>
      <c r="C20" s="41"/>
      <c r="D20" s="12"/>
      <c r="E20" s="13"/>
      <c r="G20" s="29" t="s">
        <v>119</v>
      </c>
      <c r="H20" s="11">
        <f>C30</f>
        <v>0.75</v>
      </c>
      <c r="I20" s="9" t="s">
        <v>128</v>
      </c>
    </row>
    <row r="21" spans="2:9" ht="12.75" thickBot="1" x14ac:dyDescent="0.25">
      <c r="B21" s="21" t="s">
        <v>39</v>
      </c>
      <c r="C21" s="36">
        <v>800</v>
      </c>
      <c r="D21" s="4" t="s">
        <v>38</v>
      </c>
      <c r="E21" s="5"/>
      <c r="G21" s="30" t="s">
        <v>120</v>
      </c>
      <c r="H21" s="15">
        <f>H14/C15*C30*1000</f>
        <v>0.14365193011756827</v>
      </c>
      <c r="I21" s="13" t="s">
        <v>47</v>
      </c>
    </row>
    <row r="22" spans="2:9" x14ac:dyDescent="0.2">
      <c r="B22" s="22" t="s">
        <v>44</v>
      </c>
      <c r="C22" s="33">
        <v>100</v>
      </c>
      <c r="D22" s="3" t="s">
        <v>38</v>
      </c>
      <c r="E22" s="9"/>
      <c r="H22" s="16"/>
    </row>
    <row r="23" spans="2:9" x14ac:dyDescent="0.2">
      <c r="B23" s="22" t="s">
        <v>53</v>
      </c>
      <c r="C23" s="41">
        <f>'Ab01'!C23</f>
        <v>0.01</v>
      </c>
      <c r="D23" s="3" t="s">
        <v>46</v>
      </c>
      <c r="E23" s="9"/>
      <c r="H23" s="16"/>
    </row>
    <row r="24" spans="2:9" x14ac:dyDescent="0.2">
      <c r="B24" s="22" t="s">
        <v>45</v>
      </c>
      <c r="C24" s="41">
        <f>'Ab01'!C24</f>
        <v>60</v>
      </c>
      <c r="D24" s="3" t="s">
        <v>45</v>
      </c>
      <c r="E24" s="9"/>
      <c r="H24" s="18"/>
    </row>
    <row r="25" spans="2:9" x14ac:dyDescent="0.2">
      <c r="B25" s="22" t="s">
        <v>52</v>
      </c>
      <c r="C25" s="41">
        <f>'Ab01'!C25</f>
        <v>1500</v>
      </c>
      <c r="D25" s="3" t="s">
        <v>48</v>
      </c>
      <c r="E25" s="9"/>
    </row>
    <row r="26" spans="2:9" x14ac:dyDescent="0.2">
      <c r="B26" s="22" t="s">
        <v>49</v>
      </c>
      <c r="C26" s="41">
        <f>'Ab01'!C26</f>
        <v>21</v>
      </c>
      <c r="D26" s="3" t="s">
        <v>49</v>
      </c>
      <c r="E26" s="9"/>
    </row>
    <row r="27" spans="2:9" x14ac:dyDescent="0.2">
      <c r="B27" s="22" t="s">
        <v>50</v>
      </c>
      <c r="C27" s="41">
        <f>'Ab01'!C27</f>
        <v>8</v>
      </c>
      <c r="D27" s="3" t="s">
        <v>50</v>
      </c>
      <c r="E27" s="9"/>
    </row>
    <row r="28" spans="2:9" ht="12.75" thickBot="1" x14ac:dyDescent="0.25">
      <c r="B28" s="23" t="s">
        <v>54</v>
      </c>
      <c r="C28" s="42">
        <f>'Ab01'!C28</f>
        <v>2</v>
      </c>
      <c r="D28" s="12" t="s">
        <v>51</v>
      </c>
      <c r="E28" s="13"/>
    </row>
    <row r="29" spans="2:9" x14ac:dyDescent="0.2">
      <c r="B29" s="22" t="str">
        <f>'Ab01'!B29</f>
        <v>f_tax</v>
      </c>
      <c r="C29" s="36">
        <v>1</v>
      </c>
      <c r="E29" s="9"/>
    </row>
    <row r="30" spans="2:9" ht="12.75" thickBot="1" x14ac:dyDescent="0.25">
      <c r="B30" s="22" t="str">
        <f>'Ab01'!B30</f>
        <v>f_em</v>
      </c>
      <c r="C30" s="93">
        <f>2.5*0.3</f>
        <v>0.75</v>
      </c>
      <c r="D30" s="3" t="s">
        <v>103</v>
      </c>
      <c r="E30" s="9"/>
    </row>
    <row r="31" spans="2:9" ht="12.75" thickBot="1" x14ac:dyDescent="0.25">
      <c r="B31" s="24" t="s">
        <v>17</v>
      </c>
      <c r="C31" s="39">
        <f>'Ab01'!C31</f>
        <v>9.8160000000000007</v>
      </c>
      <c r="D31" s="6" t="s">
        <v>18</v>
      </c>
      <c r="E31" s="7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workbookViewId="0">
      <selection activeCell="E31" sqref="E31"/>
    </sheetView>
  </sheetViews>
  <sheetFormatPr defaultRowHeight="15" x14ac:dyDescent="0.25"/>
  <cols>
    <col min="1" max="1" width="9.140625" style="58"/>
    <col min="2" max="2" width="10.28515625" style="58" customWidth="1"/>
    <col min="3" max="3" width="7.5703125" style="58" customWidth="1"/>
    <col min="4" max="4" width="10.42578125" style="58" customWidth="1"/>
    <col min="5" max="5" width="10" style="58" customWidth="1"/>
    <col min="6" max="6" width="10.7109375" style="58" customWidth="1"/>
    <col min="7" max="7" width="8.42578125" style="58" customWidth="1"/>
    <col min="8" max="8" width="2.28515625" style="58" customWidth="1"/>
    <col min="9" max="9" width="22.85546875" style="58" customWidth="1"/>
    <col min="10" max="10" width="15.140625" style="58" customWidth="1"/>
    <col min="11" max="11" width="12.28515625" style="58" customWidth="1"/>
    <col min="12" max="12" width="10" style="58" customWidth="1"/>
    <col min="13" max="13" width="12.42578125" style="58" customWidth="1"/>
    <col min="14" max="14" width="12.5703125" style="58" customWidth="1"/>
    <col min="15" max="15" width="15.140625" style="58" customWidth="1"/>
    <col min="16" max="16" width="12.28515625" style="58" customWidth="1"/>
    <col min="17" max="17" width="10" style="58" customWidth="1"/>
    <col min="18" max="18" width="10.7109375" style="58" customWidth="1"/>
    <col min="19" max="19" width="8.42578125" style="58" customWidth="1"/>
    <col min="20" max="20" width="10.7109375" style="58" bestFit="1" customWidth="1"/>
    <col min="21" max="21" width="8.42578125" style="58" customWidth="1"/>
    <col min="22" max="16384" width="9.140625" style="58"/>
  </cols>
  <sheetData>
    <row r="1" spans="2:14" x14ac:dyDescent="0.25">
      <c r="B1" s="3" t="s">
        <v>134</v>
      </c>
      <c r="C1" s="3"/>
      <c r="D1" s="3"/>
      <c r="E1" s="3"/>
      <c r="F1" s="3"/>
    </row>
    <row r="2" spans="2:14" ht="15.75" thickBot="1" x14ac:dyDescent="0.3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2:14" ht="15.75" thickBot="1" x14ac:dyDescent="0.3">
      <c r="B3" s="59"/>
      <c r="C3" s="60"/>
      <c r="D3" s="60" t="s">
        <v>12</v>
      </c>
      <c r="E3" s="60"/>
      <c r="F3" s="60"/>
      <c r="G3" s="61"/>
      <c r="H3" s="57"/>
      <c r="I3" s="100"/>
      <c r="J3" s="47" t="s">
        <v>100</v>
      </c>
      <c r="K3" s="101"/>
      <c r="L3" s="102"/>
      <c r="M3" s="62"/>
    </row>
    <row r="4" spans="2:14" ht="15.75" thickBot="1" x14ac:dyDescent="0.3">
      <c r="B4" s="66"/>
      <c r="C4" s="67"/>
      <c r="D4" s="67" t="s">
        <v>135</v>
      </c>
      <c r="E4" s="67" t="s">
        <v>136</v>
      </c>
      <c r="F4" s="67" t="s">
        <v>137</v>
      </c>
      <c r="G4" s="68" t="s">
        <v>138</v>
      </c>
      <c r="H4" s="57"/>
      <c r="I4" s="77" t="s">
        <v>97</v>
      </c>
      <c r="J4" s="103">
        <f>'Ab01'!C4</f>
        <v>0</v>
      </c>
      <c r="K4" s="104" t="s">
        <v>0</v>
      </c>
      <c r="L4" s="105"/>
      <c r="M4" s="62"/>
    </row>
    <row r="5" spans="2:14" x14ac:dyDescent="0.25">
      <c r="B5" s="73" t="str">
        <f>'Ab01'!B5</f>
        <v>Vcruz</v>
      </c>
      <c r="C5" s="74" t="str">
        <f>'Ab01'!D5</f>
        <v>km/h</v>
      </c>
      <c r="D5" s="75">
        <f>'Ab01'!C5</f>
        <v>60</v>
      </c>
      <c r="E5" s="75">
        <f>'Ab02'!C5</f>
        <v>60</v>
      </c>
      <c r="F5" s="75">
        <f>'Ab03'!C5</f>
        <v>40</v>
      </c>
      <c r="G5" s="76">
        <f>'Ab04'!C5</f>
        <v>18</v>
      </c>
      <c r="H5" s="57"/>
      <c r="I5" s="48" t="s">
        <v>5</v>
      </c>
      <c r="J5" s="69">
        <v>80</v>
      </c>
      <c r="K5" s="49" t="s">
        <v>6</v>
      </c>
      <c r="L5" s="50"/>
      <c r="M5" s="62"/>
    </row>
    <row r="6" spans="2:14" x14ac:dyDescent="0.25">
      <c r="B6" s="81" t="str">
        <f>'Ab01'!B7</f>
        <v>m_veiculo</v>
      </c>
      <c r="C6" s="76" t="str">
        <f>'Ab01'!D7</f>
        <v>kg</v>
      </c>
      <c r="D6" s="75">
        <f>'Ab01'!C7</f>
        <v>150</v>
      </c>
      <c r="E6" s="75">
        <f>'Ab02'!C7</f>
        <v>150</v>
      </c>
      <c r="F6" s="75">
        <f>'Ab03'!C7</f>
        <v>100</v>
      </c>
      <c r="G6" s="76">
        <f>'Ab04'!C7</f>
        <v>20</v>
      </c>
      <c r="H6" s="57"/>
      <c r="I6" s="48" t="s">
        <v>99</v>
      </c>
      <c r="J6" s="69">
        <v>20</v>
      </c>
      <c r="K6" s="49"/>
      <c r="L6" s="50"/>
      <c r="M6" s="62"/>
    </row>
    <row r="7" spans="2:14" x14ac:dyDescent="0.25">
      <c r="B7" s="81" t="str">
        <f>'Ab01'!B8</f>
        <v>Ka</v>
      </c>
      <c r="C7" s="76" t="str">
        <f>'Ab01'!D8</f>
        <v>kg/m</v>
      </c>
      <c r="D7" s="75">
        <f>'Ab01'!C8</f>
        <v>0.4</v>
      </c>
      <c r="E7" s="75">
        <f>'Ab02'!C8</f>
        <v>0.4</v>
      </c>
      <c r="F7" s="75">
        <f>'Ab03'!C8</f>
        <v>0.3</v>
      </c>
      <c r="G7" s="76">
        <f>'Ab04'!C8</f>
        <v>0.45</v>
      </c>
      <c r="H7" s="57"/>
      <c r="I7" s="48" t="s">
        <v>101</v>
      </c>
      <c r="J7" s="69">
        <v>10000</v>
      </c>
      <c r="K7" s="49" t="s">
        <v>8</v>
      </c>
      <c r="L7" s="50"/>
      <c r="M7" s="62"/>
    </row>
    <row r="8" spans="2:14" ht="15.75" thickBot="1" x14ac:dyDescent="0.3">
      <c r="B8" s="81" t="str">
        <f>'Ab01'!B9</f>
        <v>Cr</v>
      </c>
      <c r="C8" s="76"/>
      <c r="D8" s="75">
        <f>'Ab01'!C9</f>
        <v>0.03</v>
      </c>
      <c r="E8" s="75">
        <f>'Ab02'!C9</f>
        <v>0.03</v>
      </c>
      <c r="F8" s="75">
        <f>'Ab03'!C9</f>
        <v>0.02</v>
      </c>
      <c r="G8" s="76">
        <f>'Ab04'!C9</f>
        <v>0.02</v>
      </c>
      <c r="H8" s="57"/>
      <c r="I8" s="51" t="s">
        <v>10</v>
      </c>
      <c r="J8" s="83">
        <v>0.02</v>
      </c>
      <c r="K8" s="52" t="s">
        <v>11</v>
      </c>
      <c r="L8" s="53"/>
      <c r="M8" s="62"/>
    </row>
    <row r="9" spans="2:14" x14ac:dyDescent="0.25">
      <c r="B9" s="81" t="str">
        <f>'Ab01'!B13</f>
        <v>eta_motor</v>
      </c>
      <c r="C9" s="76"/>
      <c r="D9" s="75">
        <f>'Ab01'!C13</f>
        <v>0.22</v>
      </c>
      <c r="E9" s="75">
        <f>'Ab02'!C13</f>
        <v>0.23</v>
      </c>
      <c r="F9" s="75">
        <f>'Ab03'!C13</f>
        <v>0.7</v>
      </c>
      <c r="G9" s="76">
        <f>'Ab04'!C13</f>
        <v>0.22</v>
      </c>
      <c r="H9" s="57"/>
      <c r="I9" s="48" t="s">
        <v>53</v>
      </c>
      <c r="J9" s="69">
        <v>0.01</v>
      </c>
      <c r="K9" s="49" t="s">
        <v>46</v>
      </c>
      <c r="L9" s="50"/>
      <c r="M9" s="62"/>
    </row>
    <row r="10" spans="2:14" x14ac:dyDescent="0.25">
      <c r="B10" s="81" t="str">
        <f>'Ab01'!B14</f>
        <v>eta_trans</v>
      </c>
      <c r="C10" s="76"/>
      <c r="D10" s="75">
        <f>'Ab01'!C14</f>
        <v>0.85</v>
      </c>
      <c r="E10" s="75">
        <f>'Ab02'!C14</f>
        <v>0.85</v>
      </c>
      <c r="F10" s="75">
        <f>'Ab03'!C14</f>
        <v>0.95</v>
      </c>
      <c r="G10" s="76">
        <f>'Ab04'!C14</f>
        <v>0.93</v>
      </c>
      <c r="H10" s="57"/>
      <c r="I10" s="48" t="s">
        <v>45</v>
      </c>
      <c r="J10" s="69">
        <v>60</v>
      </c>
      <c r="K10" s="49" t="s">
        <v>45</v>
      </c>
      <c r="L10" s="50"/>
      <c r="M10" s="62"/>
    </row>
    <row r="11" spans="2:14" x14ac:dyDescent="0.25">
      <c r="B11" s="81" t="str">
        <f>'Ab01'!B15</f>
        <v>PC_comb</v>
      </c>
      <c r="C11" s="98" t="s">
        <v>85</v>
      </c>
      <c r="D11" s="75">
        <f>'Ab01'!C15</f>
        <v>43000000</v>
      </c>
      <c r="E11" s="75">
        <f>'Ab02'!C15</f>
        <v>28000000</v>
      </c>
      <c r="F11" s="75"/>
      <c r="G11" s="76">
        <f>'Ab04'!C15</f>
        <v>2000000</v>
      </c>
      <c r="H11" s="57"/>
      <c r="I11" s="48" t="s">
        <v>52</v>
      </c>
      <c r="J11" s="87">
        <v>1500</v>
      </c>
      <c r="K11" s="49" t="s">
        <v>48</v>
      </c>
      <c r="L11" s="50"/>
      <c r="M11" s="62"/>
    </row>
    <row r="12" spans="2:14" x14ac:dyDescent="0.25">
      <c r="B12" s="81" t="str">
        <f>'Ab01'!B16</f>
        <v>rho_comb</v>
      </c>
      <c r="C12" s="76" t="str">
        <f>'Ab01'!D16</f>
        <v>kg/litro</v>
      </c>
      <c r="D12" s="75">
        <f>'Ab01'!C16</f>
        <v>0.745</v>
      </c>
      <c r="E12" s="75">
        <f>'Ab02'!C16</f>
        <v>0.78500000000000003</v>
      </c>
      <c r="F12" s="75"/>
      <c r="G12" s="76"/>
      <c r="H12" s="57"/>
      <c r="I12" s="48" t="s">
        <v>49</v>
      </c>
      <c r="J12" s="69">
        <v>21</v>
      </c>
      <c r="K12" s="49" t="s">
        <v>49</v>
      </c>
      <c r="L12" s="50"/>
      <c r="M12" s="62"/>
    </row>
    <row r="13" spans="2:14" x14ac:dyDescent="0.25">
      <c r="B13" s="81" t="s">
        <v>110</v>
      </c>
      <c r="C13" s="98" t="s">
        <v>86</v>
      </c>
      <c r="D13" s="75">
        <f>'Ab01'!C17</f>
        <v>3.5</v>
      </c>
      <c r="E13" s="75">
        <f>'Ab02'!C17</f>
        <v>2.5</v>
      </c>
      <c r="F13" s="75">
        <f>'Ab03'!C17</f>
        <v>0.6</v>
      </c>
      <c r="G13" s="76">
        <f>'Ab04'!C17</f>
        <v>20</v>
      </c>
      <c r="H13" s="57"/>
      <c r="I13" s="48" t="s">
        <v>50</v>
      </c>
      <c r="J13" s="69">
        <v>8</v>
      </c>
      <c r="K13" s="49" t="s">
        <v>50</v>
      </c>
      <c r="L13" s="50"/>
      <c r="M13" s="62"/>
    </row>
    <row r="14" spans="2:14" ht="15.75" thickBot="1" x14ac:dyDescent="0.3">
      <c r="B14" s="81" t="str">
        <f>'Ab01'!B18</f>
        <v>x</v>
      </c>
      <c r="C14" s="76"/>
      <c r="D14" s="75">
        <f>'Ab01'!C18</f>
        <v>8</v>
      </c>
      <c r="E14" s="75">
        <f>'Ab02'!C18</f>
        <v>2</v>
      </c>
      <c r="F14" s="75"/>
      <c r="G14" s="76"/>
      <c r="H14" s="57"/>
      <c r="I14" s="51" t="s">
        <v>54</v>
      </c>
      <c r="J14" s="83">
        <v>2</v>
      </c>
      <c r="K14" s="52" t="s">
        <v>51</v>
      </c>
      <c r="L14" s="53"/>
      <c r="M14" s="62"/>
    </row>
    <row r="15" spans="2:14" ht="15.75" thickBot="1" x14ac:dyDescent="0.3">
      <c r="B15" s="81" t="str">
        <f>'Ab01'!B19</f>
        <v>y</v>
      </c>
      <c r="C15" s="76"/>
      <c r="D15" s="75">
        <f>'Ab01'!C19</f>
        <v>18</v>
      </c>
      <c r="E15" s="75">
        <f>'Ab02'!C19</f>
        <v>6</v>
      </c>
      <c r="F15" s="75"/>
      <c r="G15" s="76"/>
      <c r="H15" s="57"/>
      <c r="I15" s="54" t="s">
        <v>17</v>
      </c>
      <c r="J15" s="55">
        <v>9.8160000000000007</v>
      </c>
      <c r="K15" s="56" t="s">
        <v>18</v>
      </c>
      <c r="L15" s="7"/>
      <c r="M15" s="62"/>
    </row>
    <row r="16" spans="2:14" ht="15.75" thickBot="1" x14ac:dyDescent="0.3">
      <c r="B16" s="81" t="str">
        <f>'Ab01'!B20</f>
        <v>z</v>
      </c>
      <c r="C16" s="76"/>
      <c r="D16" s="75">
        <f>'Ab01'!C20</f>
        <v>0</v>
      </c>
      <c r="E16" s="75">
        <f>'Ab02'!C20</f>
        <v>1</v>
      </c>
      <c r="F16" s="75"/>
      <c r="G16" s="76"/>
      <c r="H16" s="57"/>
      <c r="I16" s="57"/>
      <c r="M16" s="62"/>
    </row>
    <row r="17" spans="2:14" x14ac:dyDescent="0.25">
      <c r="B17" s="81" t="s">
        <v>39</v>
      </c>
      <c r="C17" s="76"/>
      <c r="D17" s="75">
        <f>'Ab01'!C21</f>
        <v>10000</v>
      </c>
      <c r="E17" s="75">
        <f>'Ab02'!C21</f>
        <v>10000</v>
      </c>
      <c r="F17" s="75">
        <f>'Ab03'!C21</f>
        <v>20000</v>
      </c>
      <c r="G17" s="76">
        <f>'Ab04'!C21</f>
        <v>800</v>
      </c>
      <c r="H17" s="57"/>
      <c r="I17" s="63"/>
      <c r="J17" s="64"/>
      <c r="K17" s="64" t="s">
        <v>95</v>
      </c>
      <c r="L17" s="64"/>
      <c r="M17" s="64"/>
      <c r="N17" s="65"/>
    </row>
    <row r="18" spans="2:14" ht="15.75" thickBot="1" x14ac:dyDescent="0.3">
      <c r="B18" s="81" t="s">
        <v>44</v>
      </c>
      <c r="C18" s="76"/>
      <c r="D18" s="75">
        <f>'Ab01'!C22</f>
        <v>6000</v>
      </c>
      <c r="E18" s="75">
        <f>'Ab02'!C22</f>
        <v>6000</v>
      </c>
      <c r="F18" s="75">
        <f>'Ab03'!C22</f>
        <v>10000</v>
      </c>
      <c r="G18" s="76">
        <f>'Ab04'!C22</f>
        <v>100</v>
      </c>
      <c r="H18" s="57"/>
      <c r="I18" s="48"/>
      <c r="J18" s="70"/>
      <c r="K18" s="71" t="str">
        <f>D4</f>
        <v>Moto (gas)</v>
      </c>
      <c r="L18" s="71" t="str">
        <f>E4</f>
        <v>Moto (alc)</v>
      </c>
      <c r="M18" s="71" t="str">
        <f>F4</f>
        <v>Ciclo (ele)</v>
      </c>
      <c r="N18" s="72" t="str">
        <f>G4</f>
        <v>Bicicleta</v>
      </c>
    </row>
    <row r="19" spans="2:14" x14ac:dyDescent="0.25">
      <c r="B19" s="81" t="str">
        <f>'Ab01'!B29</f>
        <v>f_tax</v>
      </c>
      <c r="C19" s="86"/>
      <c r="D19" s="75">
        <f>'Ab01'!C29</f>
        <v>1.3</v>
      </c>
      <c r="E19" s="75">
        <f>'Ab02'!C29</f>
        <v>1.3</v>
      </c>
      <c r="F19" s="75">
        <f>'Ab03'!C29</f>
        <v>1.3</v>
      </c>
      <c r="G19" s="90">
        <f>'Ab04'!C29</f>
        <v>1</v>
      </c>
      <c r="H19" s="57"/>
      <c r="I19" s="77" t="str">
        <f>'Ab01'!G14</f>
        <v>Ecomb</v>
      </c>
      <c r="J19" s="78" t="s">
        <v>93</v>
      </c>
      <c r="K19" s="79">
        <f>'Ab01'!H14/1000000</f>
        <v>10.60352703505645</v>
      </c>
      <c r="L19" s="79">
        <f>'Ab02'!H14/1000000</f>
        <v>10.142504120488775</v>
      </c>
      <c r="M19" s="79">
        <f>'Ab03'!H14*3600/1000</f>
        <v>1.3060084878863829</v>
      </c>
      <c r="N19" s="80">
        <f>'Ab04'!H14/1000*4.186</f>
        <v>1.6035386119257085</v>
      </c>
    </row>
    <row r="20" spans="2:14" ht="15.75" thickBot="1" x14ac:dyDescent="0.3">
      <c r="B20" s="66" t="str">
        <f>'Ab01'!B30</f>
        <v>f_em</v>
      </c>
      <c r="C20" s="99" t="s">
        <v>87</v>
      </c>
      <c r="D20" s="67">
        <f>'Ab01'!C30</f>
        <v>1.05</v>
      </c>
      <c r="E20" s="67">
        <f>'Ab02'!C30</f>
        <v>0.9</v>
      </c>
      <c r="F20" s="67">
        <f>'Ab03'!C30</f>
        <v>0.3</v>
      </c>
      <c r="G20" s="94">
        <f>'Ab04'!C30</f>
        <v>0.75</v>
      </c>
      <c r="H20" s="91"/>
      <c r="I20" s="48" t="str">
        <f>'Ab01'!G17</f>
        <v>AutEsp</v>
      </c>
      <c r="J20" s="98" t="s">
        <v>129</v>
      </c>
      <c r="K20" s="79">
        <f>'Ab01'!H17</f>
        <v>18.12698730946148</v>
      </c>
      <c r="L20" s="79">
        <f>'Ab02'!H17</f>
        <v>13.002706080600991</v>
      </c>
      <c r="M20" s="79">
        <f>'Ab03'!H17</f>
        <v>147.17362236371736</v>
      </c>
      <c r="N20" s="80">
        <f>'Ab04'!H17</f>
        <v>119.8661501322832</v>
      </c>
    </row>
    <row r="21" spans="2:14" x14ac:dyDescent="0.25">
      <c r="B21" s="57"/>
      <c r="C21" s="57"/>
      <c r="D21" s="57"/>
      <c r="E21" s="57"/>
      <c r="F21" s="57"/>
      <c r="G21" s="57"/>
      <c r="I21" s="48" t="str">
        <f>'Ab01'!K5</f>
        <v>PSI_mensal</v>
      </c>
      <c r="J21" s="82" t="str">
        <f>'Ab01'!M5</f>
        <v>kgCO2</v>
      </c>
      <c r="K21" s="108">
        <f>'Ab01'!L5</f>
        <v>33.578268231454153</v>
      </c>
      <c r="L21" s="108">
        <f>'Ab02'!L5</f>
        <v>26.194119337262318</v>
      </c>
      <c r="M21" s="108">
        <f>'Ab03'!L5</f>
        <v>4.5710297076023396</v>
      </c>
      <c r="N21" s="109">
        <f>'Ab04'!L5</f>
        <v>6.033381064937867</v>
      </c>
    </row>
    <row r="22" spans="2:14" x14ac:dyDescent="0.25">
      <c r="B22" s="106" t="s">
        <v>130</v>
      </c>
      <c r="C22" s="106"/>
      <c r="D22" s="106"/>
      <c r="E22" s="106"/>
      <c r="F22" s="106"/>
      <c r="G22" s="106"/>
      <c r="H22" s="106"/>
      <c r="I22" s="48" t="str">
        <f>'Ab01'!K11</f>
        <v>VM_oper</v>
      </c>
      <c r="J22" s="82" t="str">
        <f>'Ab01'!M11</f>
        <v>R$ (mensal)</v>
      </c>
      <c r="K22" s="108">
        <f>'Ab01'!L11</f>
        <v>63.253754218800928</v>
      </c>
      <c r="L22" s="108">
        <f>'Ab02'!L11</f>
        <v>62.986888646347495</v>
      </c>
      <c r="M22" s="108">
        <f>'Ab03'!L11</f>
        <v>11.884677239766084</v>
      </c>
      <c r="N22" s="109">
        <f>'Ab04'!L11</f>
        <v>160.89016173167644</v>
      </c>
    </row>
    <row r="23" spans="2:14" x14ac:dyDescent="0.25">
      <c r="B23" s="106" t="s">
        <v>131</v>
      </c>
      <c r="C23" s="106"/>
      <c r="D23" s="106"/>
      <c r="E23" s="106"/>
      <c r="F23" s="106"/>
      <c r="G23" s="106"/>
      <c r="H23" s="106"/>
      <c r="I23" s="48" t="str">
        <f>'Ab01'!K12</f>
        <v>VM_temp_perd</v>
      </c>
      <c r="J23" s="82" t="str">
        <f>'Ab01'!M12</f>
        <v>R$ (mensal)</v>
      </c>
      <c r="K23" s="108">
        <f>'Ab01'!L12</f>
        <v>37.5</v>
      </c>
      <c r="L23" s="108">
        <f>'Ab02'!L12</f>
        <v>37.5</v>
      </c>
      <c r="M23" s="108">
        <f>'Ab03'!L12</f>
        <v>56.249999999999993</v>
      </c>
      <c r="N23" s="109">
        <f>'Ab04'!L12</f>
        <v>125</v>
      </c>
    </row>
    <row r="24" spans="2:14" x14ac:dyDescent="0.25">
      <c r="B24" s="106" t="s">
        <v>133</v>
      </c>
      <c r="C24" s="106"/>
      <c r="D24" s="106"/>
      <c r="E24" s="106"/>
      <c r="F24" s="106"/>
      <c r="G24" s="106"/>
      <c r="H24" s="106"/>
      <c r="I24" s="48" t="s">
        <v>92</v>
      </c>
      <c r="J24" s="82" t="str">
        <f>'Ab01'!M9</f>
        <v>R$ (mensal)</v>
      </c>
      <c r="K24" s="108">
        <f>'Ab01'!L9-'Ab01'!L10</f>
        <v>148.97779073960703</v>
      </c>
      <c r="L24" s="108">
        <f>'Ab02'!L9-'Ab02'!L10</f>
        <v>148.97779073960703</v>
      </c>
      <c r="M24" s="108">
        <f>'Ab03'!L9-'Ab03'!L10</f>
        <v>322.44447684901758</v>
      </c>
      <c r="N24" s="109">
        <f>'Ab04'!L9-'Ab04'!L10</f>
        <v>16.571113379431232</v>
      </c>
    </row>
    <row r="25" spans="2:14" x14ac:dyDescent="0.25">
      <c r="B25" s="107" t="s">
        <v>132</v>
      </c>
      <c r="C25" s="106"/>
      <c r="D25" s="106"/>
      <c r="E25" s="106"/>
      <c r="F25" s="106"/>
      <c r="G25" s="106"/>
      <c r="H25" s="106"/>
      <c r="I25" s="48" t="s">
        <v>88</v>
      </c>
      <c r="J25" s="82" t="str">
        <f>'Ab01'!M10</f>
        <v>R$ (mensal)</v>
      </c>
      <c r="K25" s="108">
        <f>SUM(K22:K24)</f>
        <v>249.73154495840797</v>
      </c>
      <c r="L25" s="108">
        <f t="shared" ref="L25:N25" si="0">SUM(L22:L24)</f>
        <v>249.46467938595453</v>
      </c>
      <c r="M25" s="108">
        <f t="shared" si="0"/>
        <v>390.57915408878364</v>
      </c>
      <c r="N25" s="109">
        <f t="shared" si="0"/>
        <v>302.46127511110768</v>
      </c>
    </row>
    <row r="26" spans="2:14" x14ac:dyDescent="0.25">
      <c r="B26" s="92"/>
      <c r="I26" s="48" t="s">
        <v>57</v>
      </c>
      <c r="J26" s="82" t="s">
        <v>68</v>
      </c>
      <c r="K26" s="84">
        <f>'Ab01'!H19</f>
        <v>1.5060417671143078</v>
      </c>
      <c r="L26" s="84">
        <f>'Ab02'!H19</f>
        <v>1.4996878249130356</v>
      </c>
      <c r="M26" s="84">
        <f>'Ab03'!H19</f>
        <v>0.28296850570871629</v>
      </c>
      <c r="N26" s="85">
        <f>'Ab04'!H19</f>
        <v>3.8307181364684868</v>
      </c>
    </row>
    <row r="27" spans="2:14" x14ac:dyDescent="0.25">
      <c r="I27" s="48" t="s">
        <v>94</v>
      </c>
      <c r="J27" s="82" t="s">
        <v>68</v>
      </c>
      <c r="K27" s="84">
        <f>'Ab01'!H18</f>
        <v>0.8928571428571429</v>
      </c>
      <c r="L27" s="84">
        <f>'Ab02'!H18</f>
        <v>0.8928571428571429</v>
      </c>
      <c r="M27" s="84">
        <f>'Ab03'!H18</f>
        <v>1.3392857142857142</v>
      </c>
      <c r="N27" s="85">
        <f>'Ab04'!H18</f>
        <v>2.9761904761904763</v>
      </c>
    </row>
    <row r="28" spans="2:14" x14ac:dyDescent="0.25">
      <c r="I28" s="48" t="s">
        <v>63</v>
      </c>
      <c r="J28" s="82" t="str">
        <f>'Ab01'!M14</f>
        <v>R$/trajeto</v>
      </c>
      <c r="K28" s="84">
        <f>'Ab01'!L14</f>
        <v>5.9459891656763801</v>
      </c>
      <c r="L28" s="84">
        <f>'Ab02'!L14</f>
        <v>5.9396352234751078</v>
      </c>
      <c r="M28" s="84">
        <f>'Ab03'!L14</f>
        <v>9.299503668780563</v>
      </c>
      <c r="N28" s="85">
        <f>'Ab04'!L14</f>
        <v>7.20145893121685</v>
      </c>
    </row>
    <row r="29" spans="2:14" ht="15.75" thickBot="1" x14ac:dyDescent="0.3">
      <c r="I29" s="51" t="s">
        <v>64</v>
      </c>
      <c r="J29" s="72" t="str">
        <f>'Ab01'!M15</f>
        <v>R$/km</v>
      </c>
      <c r="K29" s="88">
        <f>'Ab01'!L15</f>
        <v>0.99099819427939673</v>
      </c>
      <c r="L29" s="88">
        <f>'Ab02'!L15</f>
        <v>0.989939203912518</v>
      </c>
      <c r="M29" s="88">
        <f>'Ab03'!L15</f>
        <v>1.5499172781300938</v>
      </c>
      <c r="N29" s="89">
        <f>'Ab04'!L15</f>
        <v>1.2002431552028083</v>
      </c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Ab01</vt:lpstr>
      <vt:lpstr>Ab02</vt:lpstr>
      <vt:lpstr>Ab03</vt:lpstr>
      <vt:lpstr>Ab04</vt:lpstr>
      <vt:lpstr>Ab05</vt:lpstr>
    </vt:vector>
  </TitlesOfParts>
  <Company>Equilíbrio em Duas Rodas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Visões em Duas Rodas</dc:title>
  <dc:creator>Magnani</dc:creator>
  <cp:keywords>Fábio Magnani</cp:keywords>
  <cp:lastModifiedBy>magnani</cp:lastModifiedBy>
  <dcterms:created xsi:type="dcterms:W3CDTF">2015-10-11T16:58:08Z</dcterms:created>
  <dcterms:modified xsi:type="dcterms:W3CDTF">2015-10-23T10:59:28Z</dcterms:modified>
</cp:coreProperties>
</file>